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omments8.xml" ContentType="application/vnd.openxmlformats-officedocument.spreadsheetml.comments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omments9.xml" ContentType="application/vnd.openxmlformats-officedocument.spreadsheetml.comments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drawings/drawing2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Mes Documents\01 CONTROLE DE GESTION EMB\00 TCR EPE EMB Spa\"/>
    </mc:Choice>
  </mc:AlternateContent>
  <bookViews>
    <workbookView xWindow="-108" yWindow="-108" windowWidth="23256" windowHeight="12576" tabRatio="920" firstSheet="9" activeTab="19"/>
  </bookViews>
  <sheets>
    <sheet name="contrôler la prod " sheetId="2" state="hidden" r:id="rId1"/>
    <sheet name="01 2021" sheetId="3" r:id="rId2"/>
    <sheet name="02 2021" sheetId="4" r:id="rId3"/>
    <sheet name="03 2021" sheetId="5" r:id="rId4"/>
    <sheet name="T01 2021" sheetId="6" r:id="rId5"/>
    <sheet name="04 2021" sheetId="7" r:id="rId6"/>
    <sheet name="05 2021" sheetId="8" r:id="rId7"/>
    <sheet name="06 2021" sheetId="9" r:id="rId8"/>
    <sheet name="T02 2021" sheetId="10" r:id="rId9"/>
    <sheet name="07 2021" sheetId="11" r:id="rId10"/>
    <sheet name="08 2021" sheetId="12" r:id="rId11"/>
    <sheet name="09 2021" sheetId="13" r:id="rId12"/>
    <sheet name="T03 2021" sheetId="14" r:id="rId13"/>
    <sheet name="10 2021" sheetId="17" r:id="rId14"/>
    <sheet name="11 2021" sheetId="18" r:id="rId15"/>
    <sheet name="12 2021" sheetId="16" r:id="rId16"/>
    <sheet name="T04 2021" sheetId="15" r:id="rId17"/>
    <sheet name="EX 2021" sheetId="19" r:id="rId18"/>
    <sheet name="CONSOLIDE" sheetId="25" r:id="rId19"/>
    <sheet name="SIEGE 2021" sheetId="21" r:id="rId20"/>
    <sheet name="KDU 2021" sheetId="22" r:id="rId21"/>
    <sheet name="SKDU 2021" sheetId="23" r:id="rId22"/>
    <sheet name="AZDU 2021" sheetId="24" r:id="rId23"/>
    <sheet name="GRAPHYQUES" sheetId="27" r:id="rId24"/>
    <sheet name="TCR 12 2020 Consolidé" sheetId="20" state="hidden" r:id="rId25"/>
  </sheets>
  <definedNames>
    <definedName name="anneprecd" localSheetId="22">#REF!</definedName>
    <definedName name="anneprecd" localSheetId="18">#REF!</definedName>
    <definedName name="anneprecd" localSheetId="20">#REF!</definedName>
    <definedName name="anneprecd" localSheetId="19">#REF!</definedName>
    <definedName name="anneprecd" localSheetId="21">#REF!</definedName>
    <definedName name="anneprecd">#REF!</definedName>
    <definedName name="dataprecedent" localSheetId="22">#REF!</definedName>
    <definedName name="dataprecedent" localSheetId="18">#REF!</definedName>
    <definedName name="dataprecedent" localSheetId="20">#REF!</definedName>
    <definedName name="dataprecedent" localSheetId="19">#REF!</definedName>
    <definedName name="dataprecedent" localSheetId="21">#REF!</definedName>
    <definedName name="dataprecedent">#REF!</definedName>
    <definedName name="dataprev" localSheetId="22">#REF!</definedName>
    <definedName name="dataprev" localSheetId="18">#REF!</definedName>
    <definedName name="dataprev" localSheetId="20">#REF!</definedName>
    <definedName name="dataprev" localSheetId="19">#REF!</definedName>
    <definedName name="dataprev" localSheetId="21">#REF!</definedName>
    <definedName name="dataprev">#REF!</definedName>
    <definedName name="datareal" localSheetId="22">#REF!</definedName>
    <definedName name="datareal" localSheetId="18">#REF!</definedName>
    <definedName name="datareal" localSheetId="20">#REF!</definedName>
    <definedName name="datareal" localSheetId="19">#REF!</definedName>
    <definedName name="datareal" localSheetId="21">#REF!</definedName>
    <definedName name="datareal">#REF!</definedName>
    <definedName name="dataréal" localSheetId="22">#REF!</definedName>
    <definedName name="dataréal" localSheetId="18">#REF!</definedName>
    <definedName name="dataréal" localSheetId="20">#REF!</definedName>
    <definedName name="dataréal" localSheetId="19">#REF!</definedName>
    <definedName name="dataréal" localSheetId="21">#REF!</definedName>
    <definedName name="dataréal">#REF!</definedName>
    <definedName name="Décembre" localSheetId="22">#REF!</definedName>
    <definedName name="Décembre" localSheetId="18">#REF!</definedName>
    <definedName name="Décembre" localSheetId="20">#REF!</definedName>
    <definedName name="Décembre" localSheetId="19">#REF!</definedName>
    <definedName name="Décembre" localSheetId="21">#REF!</definedName>
    <definedName name="Décembre">#REF!</definedName>
    <definedName name="Des" localSheetId="22">#REF!</definedName>
    <definedName name="Des" localSheetId="18">#REF!</definedName>
    <definedName name="Des" localSheetId="20">#REF!</definedName>
    <definedName name="Des" localSheetId="19">#REF!</definedName>
    <definedName name="Des" localSheetId="21">#REF!</definedName>
    <definedName name="Des">#REF!</definedName>
    <definedName name="Desig1" localSheetId="22">#REF!</definedName>
    <definedName name="Desig1" localSheetId="18">#REF!</definedName>
    <definedName name="Desig1" localSheetId="20">#REF!</definedName>
    <definedName name="Desig1" localSheetId="19">#REF!</definedName>
    <definedName name="Desig1" localSheetId="21">#REF!</definedName>
    <definedName name="Desig1">#REF!</definedName>
    <definedName name="Desig2" localSheetId="22">#REF!</definedName>
    <definedName name="Desig2" localSheetId="18">#REF!</definedName>
    <definedName name="Desig2" localSheetId="20">#REF!</definedName>
    <definedName name="Desig2" localSheetId="19">#REF!</definedName>
    <definedName name="Desig2" localSheetId="21">#REF!</definedName>
    <definedName name="Desig2">#REF!</definedName>
    <definedName name="designation" localSheetId="22">#REF!</definedName>
    <definedName name="designation" localSheetId="18">#REF!</definedName>
    <definedName name="designation" localSheetId="20">#REF!</definedName>
    <definedName name="designation" localSheetId="19">#REF!</definedName>
    <definedName name="designation" localSheetId="21">#REF!</definedName>
    <definedName name="designation">#REF!</definedName>
    <definedName name="Février" localSheetId="22">#REF!</definedName>
    <definedName name="Février" localSheetId="18">#REF!</definedName>
    <definedName name="Février" localSheetId="20">#REF!</definedName>
    <definedName name="Février" localSheetId="19">#REF!</definedName>
    <definedName name="Février" localSheetId="21">#REF!</definedName>
    <definedName name="Février">#REF!</definedName>
    <definedName name="Janvier" localSheetId="22">#REF!</definedName>
    <definedName name="Janvier" localSheetId="18">#REF!</definedName>
    <definedName name="Janvier" localSheetId="20">#REF!</definedName>
    <definedName name="Janvier" localSheetId="19">#REF!</definedName>
    <definedName name="Janvier" localSheetId="21">#REF!</definedName>
    <definedName name="Janvier">#REF!</definedName>
    <definedName name="Juillet" localSheetId="22">#REF!</definedName>
    <definedName name="Juillet" localSheetId="18">#REF!</definedName>
    <definedName name="Juillet" localSheetId="20">#REF!</definedName>
    <definedName name="Juillet" localSheetId="19">#REF!</definedName>
    <definedName name="Juillet" localSheetId="21">#REF!</definedName>
    <definedName name="Juillet">#REF!</definedName>
    <definedName name="Juin" localSheetId="22">#REF!</definedName>
    <definedName name="Juin" localSheetId="18">#REF!</definedName>
    <definedName name="Juin" localSheetId="20">#REF!</definedName>
    <definedName name="Juin" localSheetId="19">#REF!</definedName>
    <definedName name="Juin" localSheetId="21">#REF!</definedName>
    <definedName name="Juin">#REF!</definedName>
    <definedName name="Mai" localSheetId="22">#REF!</definedName>
    <definedName name="Mai" localSheetId="18">#REF!</definedName>
    <definedName name="Mai" localSheetId="20">#REF!</definedName>
    <definedName name="Mai" localSheetId="19">#REF!</definedName>
    <definedName name="Mai" localSheetId="21">#REF!</definedName>
    <definedName name="Mai">#REF!</definedName>
    <definedName name="Mars" localSheetId="22">#REF!</definedName>
    <definedName name="Mars" localSheetId="18">#REF!</definedName>
    <definedName name="Mars" localSheetId="20">#REF!</definedName>
    <definedName name="Mars" localSheetId="19">#REF!</definedName>
    <definedName name="Mars" localSheetId="21">#REF!</definedName>
    <definedName name="Mars">#REF!</definedName>
    <definedName name="Mois1" localSheetId="22">OFFSET(#REF!,0,#REF!,1,COUNTA(#REF!))</definedName>
    <definedName name="Mois1" localSheetId="18">OFFSET(#REF!,0,#REF!,1,COUNTA(#REF!))</definedName>
    <definedName name="Mois1" localSheetId="20">OFFSET(#REF!,0,#REF!,1,COUNTA(#REF!))</definedName>
    <definedName name="Mois1" localSheetId="19">OFFSET(#REF!,0,#REF!,1,COUNTA(#REF!))</definedName>
    <definedName name="Mois1" localSheetId="21">OFFSET(#REF!,0,#REF!,1,COUNTA(#REF!))</definedName>
    <definedName name="Mois1">OFFSET(#REF!,0,#REF!,1,COUNTA(#REF!))</definedName>
    <definedName name="Mois2" localSheetId="22">#REF!</definedName>
    <definedName name="Mois2" localSheetId="18">#REF!</definedName>
    <definedName name="Mois2" localSheetId="20">#REF!</definedName>
    <definedName name="Mois2" localSheetId="19">#REF!</definedName>
    <definedName name="Mois2" localSheetId="21">#REF!</definedName>
    <definedName name="Mois2">#REF!</definedName>
    <definedName name="mois4" localSheetId="22">#REF!</definedName>
    <definedName name="mois4" localSheetId="18">#REF!</definedName>
    <definedName name="mois4" localSheetId="20">#REF!</definedName>
    <definedName name="mois4" localSheetId="19">#REF!</definedName>
    <definedName name="mois4" localSheetId="21">#REF!</definedName>
    <definedName name="mois4">#REF!</definedName>
    <definedName name="Mois5" localSheetId="22">#REF!</definedName>
    <definedName name="Mois5" localSheetId="18">#REF!</definedName>
    <definedName name="Mois5" localSheetId="20">#REF!</definedName>
    <definedName name="Mois5" localSheetId="19">#REF!</definedName>
    <definedName name="Mois5" localSheetId="21">#REF!</definedName>
    <definedName name="Mois5">#REF!</definedName>
    <definedName name="ms" localSheetId="22">#REF!</definedName>
    <definedName name="ms" localSheetId="18">#REF!</definedName>
    <definedName name="ms" localSheetId="20">#REF!</definedName>
    <definedName name="ms" localSheetId="19">#REF!</definedName>
    <definedName name="ms" localSheetId="21">#REF!</definedName>
    <definedName name="ms">#REF!</definedName>
    <definedName name="msdeux" localSheetId="22">#REF!</definedName>
    <definedName name="msdeux" localSheetId="18">#REF!</definedName>
    <definedName name="msdeux" localSheetId="20">#REF!</definedName>
    <definedName name="msdeux" localSheetId="19">#REF!</definedName>
    <definedName name="msdeux" localSheetId="21">#REF!</definedName>
    <definedName name="msdeux">#REF!</definedName>
    <definedName name="mstrois" localSheetId="22">#REF!</definedName>
    <definedName name="mstrois" localSheetId="18">#REF!</definedName>
    <definedName name="mstrois" localSheetId="20">#REF!</definedName>
    <definedName name="mstrois" localSheetId="19">#REF!</definedName>
    <definedName name="mstrois" localSheetId="21">#REF!</definedName>
    <definedName name="mstrois">#REF!</definedName>
    <definedName name="Novembre" localSheetId="22">#REF!</definedName>
    <definedName name="Novembre" localSheetId="18">#REF!</definedName>
    <definedName name="Novembre" localSheetId="20">#REF!</definedName>
    <definedName name="Novembre" localSheetId="19">#REF!</definedName>
    <definedName name="Novembre" localSheetId="21">#REF!</definedName>
    <definedName name="Novembre">#REF!</definedName>
    <definedName name="Octobre" localSheetId="22">#REF!</definedName>
    <definedName name="Octobre" localSheetId="18">#REF!</definedName>
    <definedName name="Octobre" localSheetId="20">#REF!</definedName>
    <definedName name="Octobre" localSheetId="19">#REF!</definedName>
    <definedName name="Octobre" localSheetId="21">#REF!</definedName>
    <definedName name="Octobre">#REF!</definedName>
    <definedName name="qqs" localSheetId="22">#REF!</definedName>
    <definedName name="qqs" localSheetId="18">#REF!</definedName>
    <definedName name="qqs" localSheetId="20">#REF!</definedName>
    <definedName name="qqs" localSheetId="19">#REF!</definedName>
    <definedName name="qqs" localSheetId="21">#REF!</definedName>
    <definedName name="qqs">#REF!</definedName>
    <definedName name="réal1" localSheetId="22">#REF!</definedName>
    <definedName name="réal1" localSheetId="18">#REF!</definedName>
    <definedName name="réal1" localSheetId="20">#REF!</definedName>
    <definedName name="réal1" localSheetId="19">#REF!</definedName>
    <definedName name="réal1" localSheetId="21">#REF!</definedName>
    <definedName name="réal1">#REF!</definedName>
    <definedName name="réal2" localSheetId="22">#REF!</definedName>
    <definedName name="réal2" localSheetId="18">#REF!</definedName>
    <definedName name="réal2" localSheetId="20">#REF!</definedName>
    <definedName name="réal2" localSheetId="19">#REF!</definedName>
    <definedName name="réal2" localSheetId="21">#REF!</definedName>
    <definedName name="réal2">#REF!</definedName>
    <definedName name="réal3" localSheetId="22">#REF!</definedName>
    <definedName name="réal3" localSheetId="18">#REF!</definedName>
    <definedName name="réal3" localSheetId="20">#REF!</definedName>
    <definedName name="réal3" localSheetId="19">#REF!</definedName>
    <definedName name="réal3" localSheetId="21">#REF!</definedName>
    <definedName name="réal3">#REF!</definedName>
    <definedName name="réal4" localSheetId="22">#REF!</definedName>
    <definedName name="réal4" localSheetId="18">#REF!</definedName>
    <definedName name="réal4" localSheetId="20">#REF!</definedName>
    <definedName name="réal4" localSheetId="19">#REF!</definedName>
    <definedName name="réal4" localSheetId="21">#REF!</definedName>
    <definedName name="réal4">#REF!</definedName>
    <definedName name="realprev" localSheetId="22">#REF!</definedName>
    <definedName name="realprev" localSheetId="18">#REF!</definedName>
    <definedName name="realprev" localSheetId="20">#REF!</definedName>
    <definedName name="realprev" localSheetId="19">#REF!</definedName>
    <definedName name="realprev" localSheetId="21">#REF!</definedName>
    <definedName name="realprev">#REF!</definedName>
    <definedName name="Septembre" localSheetId="22">#REF!</definedName>
    <definedName name="Septembre" localSheetId="18">#REF!</definedName>
    <definedName name="Septembre" localSheetId="20">#REF!</definedName>
    <definedName name="Septembre" localSheetId="19">#REF!</definedName>
    <definedName name="Septembre" localSheetId="21">#REF!</definedName>
    <definedName name="Septembre">#REF!</definedName>
    <definedName name="titreprev" localSheetId="22">#REF!</definedName>
    <definedName name="titreprev" localSheetId="18">#REF!</definedName>
    <definedName name="titreprev" localSheetId="20">#REF!</definedName>
    <definedName name="titreprev" localSheetId="19">#REF!</definedName>
    <definedName name="titreprev" localSheetId="21">#REF!</definedName>
    <definedName name="titreprev">#REF!</definedName>
    <definedName name="titreréal" localSheetId="22">#REF!</definedName>
    <definedName name="titreréal" localSheetId="18">#REF!</definedName>
    <definedName name="titreréal" localSheetId="20">#REF!</definedName>
    <definedName name="titreréal" localSheetId="19">#REF!</definedName>
    <definedName name="titreréal" localSheetId="21">#REF!</definedName>
    <definedName name="titreréal">#REF!</definedName>
    <definedName name="_xlnm.Print_Area" localSheetId="1">'01 2021'!$A$1:$G$49</definedName>
    <definedName name="_xlnm.Print_Area" localSheetId="2">'02 2021'!$A$1:$G$49</definedName>
    <definedName name="_xlnm.Print_Area" localSheetId="3">'03 2021'!$A$1:$G$49</definedName>
    <definedName name="_xlnm.Print_Area" localSheetId="5">'04 2021'!$A$1:$G$49</definedName>
    <definedName name="_xlnm.Print_Area" localSheetId="6">'05 2021'!$A$1:$G$49</definedName>
    <definedName name="_xlnm.Print_Area" localSheetId="7">'06 2021'!$A$1:$G$49</definedName>
    <definedName name="_xlnm.Print_Area" localSheetId="9">'07 2021'!$A$1:$G$49</definedName>
    <definedName name="_xlnm.Print_Area" localSheetId="10">'08 2021'!$A$1:$G$49</definedName>
    <definedName name="_xlnm.Print_Area" localSheetId="11">'09 2021'!$A$1:$G$49</definedName>
    <definedName name="_xlnm.Print_Area" localSheetId="13">'10 2021'!$A$1:$G$49</definedName>
    <definedName name="_xlnm.Print_Area" localSheetId="14">'11 2021'!$A$1:$G$49</definedName>
    <definedName name="_xlnm.Print_Area" localSheetId="15">'12 2021'!$A$1:$G$49</definedName>
    <definedName name="_xlnm.Print_Area" localSheetId="22">'AZDU 2021'!$A$1:$O$49</definedName>
    <definedName name="_xlnm.Print_Area" localSheetId="18">CONSOLIDE!$A$1:$S$49</definedName>
    <definedName name="_xlnm.Print_Area" localSheetId="17">'EX 2021'!$A$1:$G$49</definedName>
    <definedName name="_xlnm.Print_Area" localSheetId="23">GRAPHYQUES!$A$1:$L$175</definedName>
    <definedName name="_xlnm.Print_Area" localSheetId="20">'KDU 2021'!$A$1:$O$49</definedName>
    <definedName name="_xlnm.Print_Area" localSheetId="19">'SIEGE 2021'!$A$1:$O$49</definedName>
    <definedName name="_xlnm.Print_Area" localSheetId="21">'SKDU 2021'!$A$1:$O$49</definedName>
    <definedName name="_xlnm.Print_Area" localSheetId="4">'T01 2021'!$A$1:$G$49</definedName>
    <definedName name="_xlnm.Print_Area" localSheetId="8">'T02 2021'!$A$1:$G$49</definedName>
    <definedName name="_xlnm.Print_Area" localSheetId="12">'T03 2021'!$A$1:$G$49</definedName>
    <definedName name="_xlnm.Print_Area" localSheetId="16">'T04 2021'!$A$1:$G$49</definedName>
    <definedName name="_xlnm.Print_Area" localSheetId="24">'TCR 12 2020 Consolidé'!$A$1:$S$48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  <c r="C3" i="16"/>
  <c r="C2" i="16"/>
  <c r="C1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I39" i="16"/>
  <c r="J8" i="17" l="1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7" i="17"/>
  <c r="D35" i="17" l="1"/>
  <c r="D34" i="17"/>
  <c r="D30" i="17"/>
  <c r="D16" i="17"/>
  <c r="D12" i="17"/>
  <c r="D36" i="17" l="1"/>
  <c r="D17" i="17"/>
  <c r="D20" i="17" s="1"/>
  <c r="D27" i="17" s="1"/>
  <c r="D31" i="17" s="1"/>
  <c r="F34" i="18"/>
  <c r="F30" i="18"/>
  <c r="E30" i="18"/>
  <c r="D30" i="18"/>
  <c r="C30" i="18"/>
  <c r="F16" i="18"/>
  <c r="F35" i="18" s="1"/>
  <c r="E16" i="18"/>
  <c r="E35" i="18" s="1"/>
  <c r="D16" i="18"/>
  <c r="D35" i="18" s="1"/>
  <c r="C16" i="18"/>
  <c r="C35" i="18" s="1"/>
  <c r="F12" i="18"/>
  <c r="E12" i="18"/>
  <c r="D12" i="18"/>
  <c r="C12" i="18"/>
  <c r="C34" i="18" s="1"/>
  <c r="F17" i="18" l="1"/>
  <c r="F20" i="18" s="1"/>
  <c r="F27" i="18" s="1"/>
  <c r="F31" i="18" s="1"/>
  <c r="E17" i="18"/>
  <c r="E20" i="18" s="1"/>
  <c r="E27" i="18" s="1"/>
  <c r="E31" i="18" s="1"/>
  <c r="E34" i="18"/>
  <c r="E36" i="18" s="1"/>
  <c r="E40" i="18" s="1"/>
  <c r="C36" i="18"/>
  <c r="C40" i="18" s="1"/>
  <c r="D17" i="18"/>
  <c r="D20" i="18" s="1"/>
  <c r="D27" i="18" s="1"/>
  <c r="D31" i="18" s="1"/>
  <c r="D34" i="18"/>
  <c r="D36" i="18" s="1"/>
  <c r="D40" i="18" s="1"/>
  <c r="F36" i="18"/>
  <c r="F40" i="18" s="1"/>
  <c r="C17" i="18"/>
  <c r="C20" i="18" s="1"/>
  <c r="C27" i="18" s="1"/>
  <c r="C31" i="18" s="1"/>
  <c r="F30" i="17"/>
  <c r="E30" i="17"/>
  <c r="F16" i="17"/>
  <c r="F35" i="17" s="1"/>
  <c r="E16" i="17"/>
  <c r="E35" i="17" s="1"/>
  <c r="F12" i="17"/>
  <c r="F34" i="17" s="1"/>
  <c r="E12" i="17"/>
  <c r="E34" i="17" s="1"/>
  <c r="F36" i="17" l="1"/>
  <c r="F40" i="17" s="1"/>
  <c r="E36" i="17"/>
  <c r="E40" i="17" s="1"/>
  <c r="E17" i="17"/>
  <c r="E20" i="17" s="1"/>
  <c r="E27" i="17" s="1"/>
  <c r="E31" i="17" s="1"/>
  <c r="F17" i="17"/>
  <c r="F20" i="17" s="1"/>
  <c r="F27" i="17" s="1"/>
  <c r="F31" i="17" s="1"/>
  <c r="K15" i="21"/>
  <c r="H35" i="21" l="1"/>
  <c r="G35" i="21"/>
  <c r="F35" i="21"/>
  <c r="E35" i="21"/>
  <c r="D35" i="21"/>
  <c r="C35" i="21"/>
  <c r="F35" i="11"/>
  <c r="D35" i="11"/>
  <c r="AA34" i="27" l="1"/>
  <c r="Z34" i="27"/>
  <c r="Y34" i="27"/>
  <c r="X34" i="27"/>
  <c r="W34" i="27"/>
  <c r="V34" i="27"/>
  <c r="U34" i="27"/>
  <c r="T34" i="27"/>
  <c r="S34" i="27"/>
  <c r="R34" i="27"/>
  <c r="Q34" i="27"/>
  <c r="AA32" i="27"/>
  <c r="Z32" i="27"/>
  <c r="Y32" i="27"/>
  <c r="X32" i="27"/>
  <c r="W32" i="27"/>
  <c r="V32" i="27"/>
  <c r="U32" i="27"/>
  <c r="T32" i="27"/>
  <c r="S32" i="27"/>
  <c r="R32" i="27"/>
  <c r="Q32" i="27"/>
  <c r="AA30" i="27"/>
  <c r="Z30" i="27"/>
  <c r="Y30" i="27"/>
  <c r="X30" i="27"/>
  <c r="W30" i="27"/>
  <c r="V30" i="27"/>
  <c r="U30" i="27"/>
  <c r="T30" i="27"/>
  <c r="S30" i="27"/>
  <c r="R30" i="27"/>
  <c r="Q30" i="27"/>
  <c r="AA28" i="27"/>
  <c r="Z28" i="27"/>
  <c r="Y28" i="27"/>
  <c r="X28" i="27"/>
  <c r="W28" i="27"/>
  <c r="V28" i="27"/>
  <c r="U28" i="27"/>
  <c r="T28" i="27"/>
  <c r="S28" i="27"/>
  <c r="R28" i="27"/>
  <c r="Q28" i="27"/>
  <c r="AA26" i="27"/>
  <c r="Z26" i="27"/>
  <c r="Y26" i="27"/>
  <c r="X26" i="27"/>
  <c r="W26" i="27"/>
  <c r="V26" i="27"/>
  <c r="U26" i="27"/>
  <c r="T26" i="27"/>
  <c r="S26" i="27"/>
  <c r="R26" i="27"/>
  <c r="Q26" i="27"/>
  <c r="AA24" i="27"/>
  <c r="Z24" i="27"/>
  <c r="Y24" i="27"/>
  <c r="X24" i="27"/>
  <c r="W24" i="27"/>
  <c r="V24" i="27"/>
  <c r="U24" i="27"/>
  <c r="T24" i="27"/>
  <c r="S24" i="27"/>
  <c r="R24" i="27"/>
  <c r="Q24" i="27"/>
  <c r="P34" i="27"/>
  <c r="P32" i="27"/>
  <c r="P30" i="27"/>
  <c r="P28" i="27"/>
  <c r="P26" i="27"/>
  <c r="P24" i="27"/>
  <c r="A141" i="27" l="1"/>
  <c r="A106" i="27"/>
  <c r="A71" i="27"/>
  <c r="A36" i="27"/>
  <c r="A1" i="27"/>
  <c r="C45" i="9" l="1"/>
  <c r="D35" i="5" l="1"/>
  <c r="C35" i="5"/>
  <c r="F35" i="4"/>
  <c r="C35" i="4"/>
  <c r="E12" i="11" l="1"/>
  <c r="E34" i="11" s="1"/>
  <c r="E16" i="11"/>
  <c r="E35" i="11" s="1"/>
  <c r="E30" i="11"/>
  <c r="E17" i="11" l="1"/>
  <c r="E20" i="11" s="1"/>
  <c r="E27" i="11" s="1"/>
  <c r="E31" i="11" s="1"/>
  <c r="E36" i="11"/>
  <c r="E40" i="11" s="1"/>
  <c r="G13" i="5" l="1"/>
  <c r="C15" i="24"/>
  <c r="D15" i="24"/>
  <c r="E15" i="24"/>
  <c r="F15" i="24"/>
  <c r="G15" i="24"/>
  <c r="H15" i="24"/>
  <c r="I15" i="24"/>
  <c r="J15" i="24"/>
  <c r="K15" i="24"/>
  <c r="L15" i="24"/>
  <c r="M15" i="24"/>
  <c r="N15" i="24"/>
  <c r="C15" i="23"/>
  <c r="D15" i="23"/>
  <c r="E15" i="23"/>
  <c r="F15" i="23"/>
  <c r="G15" i="23"/>
  <c r="H15" i="23"/>
  <c r="I15" i="23"/>
  <c r="J15" i="23"/>
  <c r="K15" i="23"/>
  <c r="L15" i="23"/>
  <c r="M15" i="23"/>
  <c r="N15" i="23"/>
  <c r="C15" i="22"/>
  <c r="D15" i="22"/>
  <c r="E15" i="22"/>
  <c r="F15" i="22"/>
  <c r="G15" i="22"/>
  <c r="H15" i="22"/>
  <c r="I15" i="22"/>
  <c r="J15" i="22"/>
  <c r="K15" i="22"/>
  <c r="L15" i="22"/>
  <c r="M15" i="22"/>
  <c r="N15" i="22"/>
  <c r="C15" i="21"/>
  <c r="D15" i="21"/>
  <c r="E15" i="21"/>
  <c r="F15" i="21"/>
  <c r="G15" i="21"/>
  <c r="H15" i="21"/>
  <c r="I15" i="21"/>
  <c r="J15" i="21"/>
  <c r="L15" i="21"/>
  <c r="M15" i="21"/>
  <c r="N15" i="21"/>
  <c r="C15" i="15"/>
  <c r="D15" i="15"/>
  <c r="E15" i="15"/>
  <c r="F15" i="15"/>
  <c r="C15" i="14"/>
  <c r="D15" i="14"/>
  <c r="E15" i="14"/>
  <c r="F15" i="14"/>
  <c r="C15" i="10"/>
  <c r="D15" i="10"/>
  <c r="E15" i="10"/>
  <c r="F15" i="10"/>
  <c r="E15" i="6"/>
  <c r="F15" i="6"/>
  <c r="D15" i="6"/>
  <c r="C15" i="6"/>
  <c r="G15" i="11"/>
  <c r="G15" i="12"/>
  <c r="G15" i="13"/>
  <c r="G15" i="17"/>
  <c r="G15" i="18"/>
  <c r="G15" i="16"/>
  <c r="F16" i="16"/>
  <c r="F35" i="16" s="1"/>
  <c r="E16" i="16"/>
  <c r="E35" i="16" s="1"/>
  <c r="D16" i="16"/>
  <c r="D35" i="16" s="1"/>
  <c r="C16" i="16"/>
  <c r="C35" i="16" s="1"/>
  <c r="C16" i="17"/>
  <c r="C35" i="17" s="1"/>
  <c r="F16" i="13"/>
  <c r="F35" i="13" s="1"/>
  <c r="E16" i="13"/>
  <c r="E35" i="13" s="1"/>
  <c r="D16" i="13"/>
  <c r="D35" i="13" s="1"/>
  <c r="C16" i="13"/>
  <c r="C35" i="13" s="1"/>
  <c r="F16" i="12"/>
  <c r="F35" i="12" s="1"/>
  <c r="E16" i="12"/>
  <c r="E35" i="12" s="1"/>
  <c r="D16" i="12"/>
  <c r="D35" i="12" s="1"/>
  <c r="C16" i="12"/>
  <c r="C35" i="12" s="1"/>
  <c r="F16" i="11"/>
  <c r="D16" i="11"/>
  <c r="C16" i="11"/>
  <c r="C35" i="11" s="1"/>
  <c r="G15" i="9"/>
  <c r="F16" i="9"/>
  <c r="F35" i="9" s="1"/>
  <c r="E16" i="9"/>
  <c r="E35" i="9" s="1"/>
  <c r="D16" i="9"/>
  <c r="D35" i="9" s="1"/>
  <c r="C16" i="9"/>
  <c r="C35" i="9" s="1"/>
  <c r="G15" i="8"/>
  <c r="F16" i="8"/>
  <c r="F35" i="8" s="1"/>
  <c r="E16" i="8"/>
  <c r="E35" i="8" s="1"/>
  <c r="D16" i="8"/>
  <c r="D35" i="8" s="1"/>
  <c r="C16" i="8"/>
  <c r="C35" i="8" s="1"/>
  <c r="G15" i="7"/>
  <c r="F16" i="7"/>
  <c r="F35" i="7" s="1"/>
  <c r="E16" i="7"/>
  <c r="E35" i="7" s="1"/>
  <c r="D16" i="7"/>
  <c r="D35" i="7" s="1"/>
  <c r="C16" i="7"/>
  <c r="C35" i="7" s="1"/>
  <c r="G15" i="5"/>
  <c r="F16" i="5"/>
  <c r="F35" i="5" s="1"/>
  <c r="E16" i="5"/>
  <c r="E35" i="5" s="1"/>
  <c r="D16" i="5"/>
  <c r="C16" i="5"/>
  <c r="G15" i="4"/>
  <c r="F16" i="4"/>
  <c r="E16" i="4"/>
  <c r="E35" i="4" s="1"/>
  <c r="D16" i="4"/>
  <c r="D35" i="4" s="1"/>
  <c r="C16" i="4"/>
  <c r="G15" i="3"/>
  <c r="F16" i="3"/>
  <c r="F35" i="3" s="1"/>
  <c r="E16" i="3"/>
  <c r="E35" i="3" s="1"/>
  <c r="D16" i="3"/>
  <c r="D35" i="3" s="1"/>
  <c r="C16" i="3"/>
  <c r="C35" i="3" s="1"/>
  <c r="I15" i="16" l="1"/>
  <c r="F15" i="19"/>
  <c r="E15" i="19"/>
  <c r="M15" i="25"/>
  <c r="C15" i="25"/>
  <c r="I15" i="25"/>
  <c r="L15" i="25"/>
  <c r="H15" i="25"/>
  <c r="Q15" i="25"/>
  <c r="G15" i="25"/>
  <c r="P15" i="25"/>
  <c r="E15" i="25"/>
  <c r="O15" i="25"/>
  <c r="D15" i="25"/>
  <c r="O15" i="21"/>
  <c r="K15" i="25"/>
  <c r="O15" i="24"/>
  <c r="C15" i="19"/>
  <c r="D15" i="19"/>
  <c r="O15" i="23"/>
  <c r="O15" i="22"/>
  <c r="Q15" i="22" s="1"/>
  <c r="G15" i="15"/>
  <c r="G15" i="14"/>
  <c r="G15" i="10"/>
  <c r="G15" i="6"/>
  <c r="F30" i="8"/>
  <c r="E30" i="8"/>
  <c r="D30" i="8"/>
  <c r="C30" i="8"/>
  <c r="F12" i="8"/>
  <c r="F17" i="8" s="1"/>
  <c r="F20" i="8" s="1"/>
  <c r="F27" i="8" s="1"/>
  <c r="F31" i="8" s="1"/>
  <c r="E12" i="8"/>
  <c r="E34" i="8" s="1"/>
  <c r="D12" i="8"/>
  <c r="D17" i="8" s="1"/>
  <c r="D20" i="8" s="1"/>
  <c r="D27" i="8" s="1"/>
  <c r="C12" i="8"/>
  <c r="C34" i="8" s="1"/>
  <c r="N15" i="25" l="1"/>
  <c r="F15" i="25"/>
  <c r="G15" i="19"/>
  <c r="J15" i="25"/>
  <c r="R15" i="25"/>
  <c r="D31" i="8"/>
  <c r="F34" i="8"/>
  <c r="C36" i="8"/>
  <c r="C40" i="8" s="1"/>
  <c r="E36" i="8"/>
  <c r="E40" i="8" s="1"/>
  <c r="F36" i="8"/>
  <c r="F40" i="8" s="1"/>
  <c r="D34" i="8"/>
  <c r="D36" i="8" s="1"/>
  <c r="D40" i="8" s="1"/>
  <c r="C17" i="8"/>
  <c r="C20" i="8" s="1"/>
  <c r="C27" i="8" s="1"/>
  <c r="C31" i="8" s="1"/>
  <c r="E17" i="8"/>
  <c r="E20" i="8" s="1"/>
  <c r="E27" i="8" s="1"/>
  <c r="E31" i="8" s="1"/>
  <c r="S15" i="25" l="1"/>
  <c r="G38" i="16"/>
  <c r="G37" i="16"/>
  <c r="G33" i="16"/>
  <c r="G32" i="16"/>
  <c r="F30" i="16"/>
  <c r="E30" i="16"/>
  <c r="D30" i="16"/>
  <c r="C30" i="16"/>
  <c r="G29" i="16"/>
  <c r="G28" i="16"/>
  <c r="I28" i="16" s="1"/>
  <c r="G26" i="16"/>
  <c r="G25" i="16"/>
  <c r="G24" i="16"/>
  <c r="G23" i="16"/>
  <c r="G22" i="16"/>
  <c r="G21" i="16"/>
  <c r="G19" i="16"/>
  <c r="G18" i="16"/>
  <c r="D17" i="16"/>
  <c r="D20" i="16" s="1"/>
  <c r="D27" i="16" s="1"/>
  <c r="G14" i="16"/>
  <c r="G13" i="16"/>
  <c r="I13" i="16" s="1"/>
  <c r="F12" i="16"/>
  <c r="F34" i="16" s="1"/>
  <c r="E12" i="16"/>
  <c r="E17" i="16" s="1"/>
  <c r="E20" i="16" s="1"/>
  <c r="E27" i="16" s="1"/>
  <c r="D12" i="16"/>
  <c r="D34" i="16" s="1"/>
  <c r="C12" i="16"/>
  <c r="C17" i="16" s="1"/>
  <c r="C20" i="16" s="1"/>
  <c r="C27" i="16" s="1"/>
  <c r="C31" i="16" s="1"/>
  <c r="G11" i="16"/>
  <c r="G10" i="16"/>
  <c r="G9" i="16"/>
  <c r="G8" i="16"/>
  <c r="G7" i="16"/>
  <c r="G38" i="18"/>
  <c r="G37" i="18"/>
  <c r="G33" i="18"/>
  <c r="G32" i="18"/>
  <c r="G29" i="18"/>
  <c r="G28" i="18"/>
  <c r="G30" i="18" s="1"/>
  <c r="G26" i="18"/>
  <c r="G25" i="18"/>
  <c r="G24" i="18"/>
  <c r="G23" i="18"/>
  <c r="G22" i="18"/>
  <c r="G21" i="18"/>
  <c r="G19" i="18"/>
  <c r="G18" i="18"/>
  <c r="G14" i="18"/>
  <c r="G13" i="18"/>
  <c r="G11" i="18"/>
  <c r="G10" i="18"/>
  <c r="G9" i="18"/>
  <c r="G8" i="18"/>
  <c r="G7" i="18"/>
  <c r="G38" i="17"/>
  <c r="G37" i="17"/>
  <c r="G33" i="17"/>
  <c r="G32" i="17"/>
  <c r="C30" i="17"/>
  <c r="G29" i="17"/>
  <c r="G28" i="17"/>
  <c r="G30" i="17" s="1"/>
  <c r="G26" i="17"/>
  <c r="G25" i="17"/>
  <c r="G24" i="17"/>
  <c r="G23" i="17"/>
  <c r="G22" i="17"/>
  <c r="G21" i="17"/>
  <c r="G19" i="17"/>
  <c r="G18" i="17"/>
  <c r="G14" i="17"/>
  <c r="G13" i="17"/>
  <c r="C12" i="17"/>
  <c r="C17" i="17" s="1"/>
  <c r="C20" i="17" s="1"/>
  <c r="C27" i="17" s="1"/>
  <c r="C31" i="17" s="1"/>
  <c r="G11" i="17"/>
  <c r="G10" i="17"/>
  <c r="G9" i="17"/>
  <c r="G8" i="17"/>
  <c r="G7" i="17"/>
  <c r="G38" i="13"/>
  <c r="G37" i="13"/>
  <c r="D34" i="13"/>
  <c r="D36" i="13" s="1"/>
  <c r="D40" i="13" s="1"/>
  <c r="G33" i="13"/>
  <c r="G32" i="13"/>
  <c r="F30" i="13"/>
  <c r="E30" i="13"/>
  <c r="D30" i="13"/>
  <c r="C30" i="13"/>
  <c r="G29" i="13"/>
  <c r="G30" i="13" s="1"/>
  <c r="G28" i="13"/>
  <c r="G26" i="13"/>
  <c r="G25" i="13"/>
  <c r="G24" i="13"/>
  <c r="G23" i="13"/>
  <c r="G22" i="13"/>
  <c r="G21" i="13"/>
  <c r="G19" i="13"/>
  <c r="G18" i="13"/>
  <c r="G14" i="13"/>
  <c r="G13" i="13"/>
  <c r="F12" i="13"/>
  <c r="F17" i="13" s="1"/>
  <c r="F20" i="13" s="1"/>
  <c r="F27" i="13" s="1"/>
  <c r="F31" i="13" s="1"/>
  <c r="E12" i="13"/>
  <c r="E34" i="13" s="1"/>
  <c r="D12" i="13"/>
  <c r="D17" i="13" s="1"/>
  <c r="D20" i="13" s="1"/>
  <c r="D27" i="13" s="1"/>
  <c r="C12" i="13"/>
  <c r="C34" i="13" s="1"/>
  <c r="G11" i="13"/>
  <c r="G10" i="13"/>
  <c r="G9" i="13"/>
  <c r="G8" i="13"/>
  <c r="G7" i="13"/>
  <c r="G38" i="12"/>
  <c r="G37" i="12"/>
  <c r="G33" i="12"/>
  <c r="G32" i="12"/>
  <c r="F30" i="12"/>
  <c r="E30" i="12"/>
  <c r="D30" i="12"/>
  <c r="C30" i="12"/>
  <c r="G29" i="12"/>
  <c r="G28" i="12"/>
  <c r="G26" i="12"/>
  <c r="G25" i="12"/>
  <c r="G24" i="12"/>
  <c r="G23" i="12"/>
  <c r="G22" i="12"/>
  <c r="G21" i="12"/>
  <c r="G19" i="12"/>
  <c r="G18" i="12"/>
  <c r="G14" i="12"/>
  <c r="G13" i="12"/>
  <c r="F12" i="12"/>
  <c r="F17" i="12" s="1"/>
  <c r="F20" i="12" s="1"/>
  <c r="F27" i="12" s="1"/>
  <c r="F31" i="12" s="1"/>
  <c r="E12" i="12"/>
  <c r="E34" i="12" s="1"/>
  <c r="D12" i="12"/>
  <c r="D17" i="12" s="1"/>
  <c r="D20" i="12" s="1"/>
  <c r="D27" i="12" s="1"/>
  <c r="D31" i="12" s="1"/>
  <c r="C12" i="12"/>
  <c r="C17" i="12" s="1"/>
  <c r="C20" i="12" s="1"/>
  <c r="C27" i="12" s="1"/>
  <c r="C31" i="12" s="1"/>
  <c r="G11" i="12"/>
  <c r="G10" i="12"/>
  <c r="G9" i="12"/>
  <c r="G8" i="12"/>
  <c r="G7" i="12"/>
  <c r="G38" i="11"/>
  <c r="G37" i="11"/>
  <c r="G33" i="11"/>
  <c r="G32" i="11"/>
  <c r="F30" i="11"/>
  <c r="D30" i="11"/>
  <c r="C30" i="11"/>
  <c r="G29" i="11"/>
  <c r="G28" i="11"/>
  <c r="G26" i="11"/>
  <c r="G25" i="11"/>
  <c r="G24" i="11"/>
  <c r="G23" i="11"/>
  <c r="G22" i="11"/>
  <c r="G21" i="11"/>
  <c r="G19" i="11"/>
  <c r="G18" i="11"/>
  <c r="G14" i="11"/>
  <c r="G13" i="11"/>
  <c r="F12" i="11"/>
  <c r="F34" i="11" s="1"/>
  <c r="D12" i="11"/>
  <c r="D34" i="11" s="1"/>
  <c r="C12" i="11"/>
  <c r="G11" i="11"/>
  <c r="G10" i="11"/>
  <c r="G9" i="11"/>
  <c r="G8" i="11"/>
  <c r="G7" i="11"/>
  <c r="G38" i="9"/>
  <c r="G37" i="9"/>
  <c r="G33" i="9"/>
  <c r="G32" i="9"/>
  <c r="F30" i="9"/>
  <c r="E30" i="9"/>
  <c r="D30" i="9"/>
  <c r="C30" i="9"/>
  <c r="G29" i="9"/>
  <c r="G28" i="9"/>
  <c r="G26" i="9"/>
  <c r="G25" i="9"/>
  <c r="G24" i="9"/>
  <c r="G23" i="9"/>
  <c r="G22" i="9"/>
  <c r="G21" i="9"/>
  <c r="G19" i="9"/>
  <c r="G18" i="9"/>
  <c r="E17" i="9"/>
  <c r="E20" i="9" s="1"/>
  <c r="E27" i="9" s="1"/>
  <c r="C17" i="9"/>
  <c r="C20" i="9" s="1"/>
  <c r="C27" i="9" s="1"/>
  <c r="G14" i="9"/>
  <c r="G13" i="9"/>
  <c r="F12" i="9"/>
  <c r="F17" i="9" s="1"/>
  <c r="F20" i="9" s="1"/>
  <c r="F27" i="9" s="1"/>
  <c r="F31" i="9" s="1"/>
  <c r="E12" i="9"/>
  <c r="E34" i="9" s="1"/>
  <c r="D12" i="9"/>
  <c r="D34" i="9" s="1"/>
  <c r="C12" i="9"/>
  <c r="C34" i="9" s="1"/>
  <c r="G11" i="9"/>
  <c r="G10" i="9"/>
  <c r="G9" i="9"/>
  <c r="G8" i="9"/>
  <c r="G7" i="9"/>
  <c r="G38" i="8"/>
  <c r="G37" i="8"/>
  <c r="G33" i="8"/>
  <c r="G32" i="8"/>
  <c r="G29" i="8"/>
  <c r="G28" i="8"/>
  <c r="G26" i="8"/>
  <c r="G25" i="8"/>
  <c r="G24" i="8"/>
  <c r="G23" i="8"/>
  <c r="G22" i="8"/>
  <c r="G21" i="8"/>
  <c r="G19" i="8"/>
  <c r="G18" i="8"/>
  <c r="G14" i="8"/>
  <c r="G13" i="8"/>
  <c r="G11" i="8"/>
  <c r="G10" i="8"/>
  <c r="G9" i="8"/>
  <c r="G8" i="8"/>
  <c r="G7" i="8"/>
  <c r="G38" i="7"/>
  <c r="G37" i="7"/>
  <c r="G33" i="7"/>
  <c r="G32" i="7"/>
  <c r="F30" i="7"/>
  <c r="E30" i="7"/>
  <c r="D30" i="7"/>
  <c r="C30" i="7"/>
  <c r="G29" i="7"/>
  <c r="G28" i="7"/>
  <c r="G30" i="7" s="1"/>
  <c r="G26" i="7"/>
  <c r="G25" i="7"/>
  <c r="G24" i="7"/>
  <c r="G23" i="7"/>
  <c r="G22" i="7"/>
  <c r="G21" i="7"/>
  <c r="G19" i="7"/>
  <c r="G18" i="7"/>
  <c r="G14" i="7"/>
  <c r="G13" i="7"/>
  <c r="F12" i="7"/>
  <c r="F34" i="7" s="1"/>
  <c r="E12" i="7"/>
  <c r="D12" i="7"/>
  <c r="C12" i="7"/>
  <c r="G11" i="7"/>
  <c r="G10" i="7"/>
  <c r="G9" i="7"/>
  <c r="G8" i="7"/>
  <c r="G7" i="7"/>
  <c r="G38" i="5"/>
  <c r="G37" i="5"/>
  <c r="G33" i="5"/>
  <c r="G32" i="5"/>
  <c r="F30" i="5"/>
  <c r="E30" i="5"/>
  <c r="D30" i="5"/>
  <c r="C30" i="5"/>
  <c r="G29" i="5"/>
  <c r="G28" i="5"/>
  <c r="G26" i="5"/>
  <c r="G25" i="5"/>
  <c r="G24" i="5"/>
  <c r="G23" i="5"/>
  <c r="G22" i="5"/>
  <c r="G21" i="5"/>
  <c r="G19" i="5"/>
  <c r="G18" i="5"/>
  <c r="G14" i="5"/>
  <c r="F12" i="5"/>
  <c r="F34" i="5" s="1"/>
  <c r="E12" i="5"/>
  <c r="E34" i="5" s="1"/>
  <c r="D12" i="5"/>
  <c r="D34" i="5" s="1"/>
  <c r="C12" i="5"/>
  <c r="C34" i="5" s="1"/>
  <c r="G11" i="5"/>
  <c r="G10" i="5"/>
  <c r="G9" i="5"/>
  <c r="G8" i="5"/>
  <c r="G7" i="5"/>
  <c r="G38" i="4"/>
  <c r="G37" i="4"/>
  <c r="G33" i="4"/>
  <c r="G32" i="4"/>
  <c r="F30" i="4"/>
  <c r="E30" i="4"/>
  <c r="D30" i="4"/>
  <c r="C30" i="4"/>
  <c r="G29" i="4"/>
  <c r="G28" i="4"/>
  <c r="G26" i="4"/>
  <c r="G25" i="4"/>
  <c r="G24" i="4"/>
  <c r="G23" i="4"/>
  <c r="G22" i="4"/>
  <c r="G21" i="4"/>
  <c r="G19" i="4"/>
  <c r="G18" i="4"/>
  <c r="C17" i="4"/>
  <c r="C20" i="4" s="1"/>
  <c r="C27" i="4" s="1"/>
  <c r="G14" i="4"/>
  <c r="G13" i="4"/>
  <c r="F12" i="4"/>
  <c r="E12" i="4"/>
  <c r="E34" i="4" s="1"/>
  <c r="D12" i="4"/>
  <c r="D34" i="4" s="1"/>
  <c r="C12" i="4"/>
  <c r="C34" i="4" s="1"/>
  <c r="G11" i="4"/>
  <c r="G10" i="4"/>
  <c r="G9" i="4"/>
  <c r="G8" i="4"/>
  <c r="G7" i="4"/>
  <c r="I7" i="16" l="1"/>
  <c r="I23" i="16"/>
  <c r="I24" i="16"/>
  <c r="I8" i="16"/>
  <c r="I9" i="16"/>
  <c r="I14" i="16"/>
  <c r="I25" i="16"/>
  <c r="I32" i="16"/>
  <c r="I10" i="16"/>
  <c r="D31" i="16"/>
  <c r="I26" i="16"/>
  <c r="I33" i="16"/>
  <c r="I11" i="16"/>
  <c r="I18" i="16"/>
  <c r="I37" i="16"/>
  <c r="I19" i="16"/>
  <c r="I29" i="16"/>
  <c r="I38" i="16"/>
  <c r="I22" i="16"/>
  <c r="I21" i="16"/>
  <c r="G30" i="16"/>
  <c r="G16" i="16"/>
  <c r="I16" i="16" s="1"/>
  <c r="E31" i="16"/>
  <c r="G35" i="16"/>
  <c r="G12" i="16"/>
  <c r="C34" i="16"/>
  <c r="C36" i="16" s="1"/>
  <c r="C40" i="16" s="1"/>
  <c r="D31" i="13"/>
  <c r="G12" i="18"/>
  <c r="G16" i="18"/>
  <c r="G35" i="18" s="1"/>
  <c r="G16" i="17"/>
  <c r="G35" i="17" s="1"/>
  <c r="G12" i="17"/>
  <c r="G34" i="17" s="1"/>
  <c r="C17" i="11"/>
  <c r="C20" i="11" s="1"/>
  <c r="G30" i="12"/>
  <c r="E17" i="12"/>
  <c r="E20" i="12" s="1"/>
  <c r="E27" i="12" s="1"/>
  <c r="E31" i="12" s="1"/>
  <c r="E31" i="9"/>
  <c r="G30" i="9"/>
  <c r="F34" i="13"/>
  <c r="G16" i="13"/>
  <c r="G35" i="13" s="1"/>
  <c r="G12" i="13"/>
  <c r="G34" i="13" s="1"/>
  <c r="C17" i="13"/>
  <c r="C20" i="13" s="1"/>
  <c r="C27" i="13" s="1"/>
  <c r="C31" i="13" s="1"/>
  <c r="G16" i="12"/>
  <c r="G35" i="12" s="1"/>
  <c r="F34" i="12"/>
  <c r="F36" i="12" s="1"/>
  <c r="F40" i="12" s="1"/>
  <c r="D34" i="12"/>
  <c r="D36" i="12" s="1"/>
  <c r="D40" i="12" s="1"/>
  <c r="G12" i="12"/>
  <c r="G34" i="12" s="1"/>
  <c r="G30" i="11"/>
  <c r="G16" i="9"/>
  <c r="G35" i="9" s="1"/>
  <c r="F36" i="11"/>
  <c r="F40" i="11" s="1"/>
  <c r="G12" i="11"/>
  <c r="G34" i="11" s="1"/>
  <c r="G16" i="11"/>
  <c r="G35" i="11" s="1"/>
  <c r="E36" i="9"/>
  <c r="E40" i="9" s="1"/>
  <c r="G30" i="8"/>
  <c r="F34" i="9"/>
  <c r="F36" i="9" s="1"/>
  <c r="F40" i="9" s="1"/>
  <c r="G16" i="8"/>
  <c r="G35" i="8" s="1"/>
  <c r="G16" i="7"/>
  <c r="G35" i="7" s="1"/>
  <c r="C31" i="9"/>
  <c r="D17" i="9"/>
  <c r="D20" i="9" s="1"/>
  <c r="D27" i="9" s="1"/>
  <c r="D31" i="9" s="1"/>
  <c r="G30" i="5"/>
  <c r="G16" i="5"/>
  <c r="G35" i="5" s="1"/>
  <c r="G16" i="4"/>
  <c r="G35" i="4" s="1"/>
  <c r="D36" i="16"/>
  <c r="D40" i="16" s="1"/>
  <c r="C36" i="13"/>
  <c r="C40" i="13" s="1"/>
  <c r="E36" i="13"/>
  <c r="E40" i="13" s="1"/>
  <c r="E36" i="12"/>
  <c r="E40" i="12" s="1"/>
  <c r="C36" i="9"/>
  <c r="C40" i="9" s="1"/>
  <c r="G12" i="9"/>
  <c r="G12" i="8"/>
  <c r="G34" i="8" s="1"/>
  <c r="D17" i="7"/>
  <c r="D20" i="7" s="1"/>
  <c r="D27" i="7" s="1"/>
  <c r="D31" i="7" s="1"/>
  <c r="F36" i="7"/>
  <c r="F40" i="7" s="1"/>
  <c r="F17" i="7"/>
  <c r="F20" i="7" s="1"/>
  <c r="F27" i="7" s="1"/>
  <c r="F31" i="7" s="1"/>
  <c r="E17" i="7"/>
  <c r="E20" i="7" s="1"/>
  <c r="E27" i="7" s="1"/>
  <c r="E31" i="7" s="1"/>
  <c r="G12" i="7"/>
  <c r="G34" i="7" s="1"/>
  <c r="E34" i="7"/>
  <c r="E36" i="7" s="1"/>
  <c r="E40" i="7" s="1"/>
  <c r="C17" i="7"/>
  <c r="C20" i="7" s="1"/>
  <c r="C27" i="7" s="1"/>
  <c r="C31" i="7" s="1"/>
  <c r="D17" i="5"/>
  <c r="D20" i="5" s="1"/>
  <c r="D27" i="5" s="1"/>
  <c r="D31" i="5" s="1"/>
  <c r="D36" i="5"/>
  <c r="D40" i="5" s="1"/>
  <c r="E17" i="5"/>
  <c r="E20" i="5" s="1"/>
  <c r="E27" i="5" s="1"/>
  <c r="E31" i="5" s="1"/>
  <c r="C36" i="5"/>
  <c r="C40" i="5" s="1"/>
  <c r="G12" i="5"/>
  <c r="C17" i="5"/>
  <c r="C20" i="5" s="1"/>
  <c r="C27" i="5" s="1"/>
  <c r="C31" i="5" s="1"/>
  <c r="D36" i="4"/>
  <c r="D40" i="4" s="1"/>
  <c r="D17" i="4"/>
  <c r="D20" i="4" s="1"/>
  <c r="D27" i="4" s="1"/>
  <c r="D31" i="4" s="1"/>
  <c r="F17" i="4"/>
  <c r="F20" i="4" s="1"/>
  <c r="F27" i="4" s="1"/>
  <c r="F31" i="4" s="1"/>
  <c r="F34" i="4"/>
  <c r="G12" i="4"/>
  <c r="G34" i="4" s="1"/>
  <c r="E36" i="4"/>
  <c r="E40" i="4" s="1"/>
  <c r="G30" i="4"/>
  <c r="C31" i="4"/>
  <c r="C36" i="4"/>
  <c r="C40" i="4" s="1"/>
  <c r="G17" i="16"/>
  <c r="I17" i="16" s="1"/>
  <c r="F36" i="16"/>
  <c r="F40" i="16" s="1"/>
  <c r="F17" i="16"/>
  <c r="F20" i="16" s="1"/>
  <c r="F27" i="16" s="1"/>
  <c r="F31" i="16" s="1"/>
  <c r="E34" i="16"/>
  <c r="E36" i="16" s="1"/>
  <c r="E40" i="16" s="1"/>
  <c r="G34" i="18"/>
  <c r="G17" i="18"/>
  <c r="G20" i="18" s="1"/>
  <c r="G27" i="18" s="1"/>
  <c r="G31" i="18" s="1"/>
  <c r="D40" i="17"/>
  <c r="C34" i="17"/>
  <c r="C36" i="17" s="1"/>
  <c r="C40" i="17" s="1"/>
  <c r="F36" i="13"/>
  <c r="F40" i="13" s="1"/>
  <c r="E17" i="13"/>
  <c r="E20" i="13" s="1"/>
  <c r="E27" i="13" s="1"/>
  <c r="E31" i="13" s="1"/>
  <c r="C34" i="12"/>
  <c r="C36" i="12" s="1"/>
  <c r="C40" i="12" s="1"/>
  <c r="D36" i="11"/>
  <c r="D40" i="11" s="1"/>
  <c r="D17" i="11"/>
  <c r="D20" i="11" s="1"/>
  <c r="D27" i="11" s="1"/>
  <c r="D31" i="11" s="1"/>
  <c r="F17" i="11"/>
  <c r="F20" i="11" s="1"/>
  <c r="F27" i="11" s="1"/>
  <c r="F31" i="11" s="1"/>
  <c r="C34" i="11"/>
  <c r="D36" i="9"/>
  <c r="D40" i="9" s="1"/>
  <c r="C34" i="7"/>
  <c r="C36" i="7" s="1"/>
  <c r="C40" i="7" s="1"/>
  <c r="D34" i="7"/>
  <c r="D36" i="7" s="1"/>
  <c r="D40" i="7" s="1"/>
  <c r="F36" i="5"/>
  <c r="F40" i="5" s="1"/>
  <c r="E36" i="5"/>
  <c r="E40" i="5" s="1"/>
  <c r="F17" i="5"/>
  <c r="F20" i="5" s="1"/>
  <c r="F27" i="5" s="1"/>
  <c r="F31" i="5" s="1"/>
  <c r="F36" i="4"/>
  <c r="F40" i="4" s="1"/>
  <c r="E17" i="4"/>
  <c r="E20" i="4" s="1"/>
  <c r="E27" i="4" s="1"/>
  <c r="E31" i="4" s="1"/>
  <c r="G23" i="3"/>
  <c r="G24" i="3"/>
  <c r="G38" i="3"/>
  <c r="G37" i="3"/>
  <c r="G33" i="3"/>
  <c r="G32" i="3"/>
  <c r="F30" i="3"/>
  <c r="E30" i="3"/>
  <c r="D30" i="3"/>
  <c r="C30" i="3"/>
  <c r="G29" i="3"/>
  <c r="G28" i="3"/>
  <c r="G26" i="3"/>
  <c r="G25" i="3"/>
  <c r="G22" i="3"/>
  <c r="G21" i="3"/>
  <c r="G19" i="3"/>
  <c r="G18" i="3"/>
  <c r="G14" i="3"/>
  <c r="G13" i="3"/>
  <c r="F12" i="3"/>
  <c r="F34" i="3" s="1"/>
  <c r="E12" i="3"/>
  <c r="E34" i="3" s="1"/>
  <c r="D12" i="3"/>
  <c r="D34" i="3" s="1"/>
  <c r="C12" i="3"/>
  <c r="G11" i="3"/>
  <c r="G10" i="3"/>
  <c r="G9" i="3"/>
  <c r="G8" i="3"/>
  <c r="G7" i="3"/>
  <c r="I30" i="16" l="1"/>
  <c r="I12" i="16"/>
  <c r="I35" i="16"/>
  <c r="G34" i="16"/>
  <c r="G20" i="16"/>
  <c r="I20" i="16" s="1"/>
  <c r="G36" i="18"/>
  <c r="G40" i="18" s="1"/>
  <c r="G36" i="17"/>
  <c r="G40" i="17" s="1"/>
  <c r="G17" i="17"/>
  <c r="G20" i="17" s="1"/>
  <c r="G27" i="17" s="1"/>
  <c r="G31" i="17" s="1"/>
  <c r="C27" i="11"/>
  <c r="C36" i="11"/>
  <c r="I34" i="21"/>
  <c r="G17" i="13"/>
  <c r="G20" i="13" s="1"/>
  <c r="G27" i="13" s="1"/>
  <c r="G31" i="13" s="1"/>
  <c r="G36" i="13"/>
  <c r="G40" i="13" s="1"/>
  <c r="G36" i="12"/>
  <c r="G40" i="12" s="1"/>
  <c r="G17" i="12"/>
  <c r="G20" i="12" s="1"/>
  <c r="G27" i="12" s="1"/>
  <c r="G31" i="12" s="1"/>
  <c r="G17" i="11"/>
  <c r="G20" i="11" s="1"/>
  <c r="G27" i="11" s="1"/>
  <c r="G31" i="11" s="1"/>
  <c r="G17" i="9"/>
  <c r="G20" i="9" s="1"/>
  <c r="G27" i="9" s="1"/>
  <c r="G31" i="9" s="1"/>
  <c r="G36" i="11"/>
  <c r="G40" i="11" s="1"/>
  <c r="G34" i="5"/>
  <c r="G16" i="3"/>
  <c r="G35" i="3" s="1"/>
  <c r="G34" i="9"/>
  <c r="G36" i="9" s="1"/>
  <c r="G40" i="9" s="1"/>
  <c r="G17" i="8"/>
  <c r="G20" i="8" s="1"/>
  <c r="G27" i="8" s="1"/>
  <c r="G31" i="8" s="1"/>
  <c r="G36" i="8"/>
  <c r="G40" i="8" s="1"/>
  <c r="G17" i="7"/>
  <c r="G20" i="7" s="1"/>
  <c r="G27" i="7" s="1"/>
  <c r="G31" i="7" s="1"/>
  <c r="G36" i="7"/>
  <c r="G40" i="7" s="1"/>
  <c r="G17" i="5"/>
  <c r="G36" i="4"/>
  <c r="G40" i="4" s="1"/>
  <c r="G17" i="4"/>
  <c r="G20" i="4" s="1"/>
  <c r="G27" i="4" s="1"/>
  <c r="G31" i="4" s="1"/>
  <c r="C17" i="3"/>
  <c r="C20" i="3" s="1"/>
  <c r="C27" i="3" s="1"/>
  <c r="C31" i="3" s="1"/>
  <c r="C34" i="3"/>
  <c r="C36" i="3" s="1"/>
  <c r="F36" i="3"/>
  <c r="E36" i="3"/>
  <c r="D36" i="3"/>
  <c r="G30" i="3"/>
  <c r="E17" i="3"/>
  <c r="E20" i="3" s="1"/>
  <c r="D17" i="3"/>
  <c r="D20" i="3" s="1"/>
  <c r="G12" i="3"/>
  <c r="G34" i="3" s="1"/>
  <c r="F17" i="3"/>
  <c r="F20" i="3" s="1"/>
  <c r="I34" i="16" l="1"/>
  <c r="G36" i="16"/>
  <c r="I36" i="16" s="1"/>
  <c r="G27" i="16"/>
  <c r="I27" i="16" s="1"/>
  <c r="G40" i="16"/>
  <c r="C40" i="11"/>
  <c r="C31" i="11"/>
  <c r="G36" i="5"/>
  <c r="G40" i="5" s="1"/>
  <c r="G20" i="5"/>
  <c r="D27" i="3"/>
  <c r="D31" i="3" s="1"/>
  <c r="C40" i="3"/>
  <c r="F27" i="3"/>
  <c r="F31" i="3" s="1"/>
  <c r="F40" i="3" s="1"/>
  <c r="E27" i="3"/>
  <c r="E31" i="3" s="1"/>
  <c r="E40" i="3" s="1"/>
  <c r="G17" i="3"/>
  <c r="G20" i="3" s="1"/>
  <c r="D40" i="3"/>
  <c r="G36" i="3"/>
  <c r="G40" i="3" s="1"/>
  <c r="I40" i="16" l="1"/>
  <c r="G31" i="16"/>
  <c r="G27" i="5"/>
  <c r="G27" i="3"/>
  <c r="G31" i="3" s="1"/>
  <c r="I31" i="16" l="1"/>
  <c r="G31" i="5"/>
  <c r="K40" i="24"/>
  <c r="X175" i="27" s="1"/>
  <c r="J40" i="24"/>
  <c r="W175" i="27" s="1"/>
  <c r="I40" i="24"/>
  <c r="V175" i="27" s="1"/>
  <c r="H40" i="24"/>
  <c r="U175" i="27" s="1"/>
  <c r="G40" i="24"/>
  <c r="T175" i="27" s="1"/>
  <c r="F40" i="24"/>
  <c r="S175" i="27" s="1"/>
  <c r="E40" i="24"/>
  <c r="R175" i="27" s="1"/>
  <c r="D40" i="24"/>
  <c r="Q175" i="27" s="1"/>
  <c r="N39" i="24"/>
  <c r="M39" i="24"/>
  <c r="L39" i="24"/>
  <c r="K39" i="24"/>
  <c r="J39" i="24"/>
  <c r="I39" i="24"/>
  <c r="H39" i="24"/>
  <c r="G39" i="24"/>
  <c r="F39" i="24"/>
  <c r="E39" i="24"/>
  <c r="D39" i="24"/>
  <c r="C39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K36" i="24"/>
  <c r="J36" i="24"/>
  <c r="I36" i="24"/>
  <c r="H36" i="24"/>
  <c r="G36" i="24"/>
  <c r="F36" i="24"/>
  <c r="E36" i="24"/>
  <c r="D36" i="24"/>
  <c r="K35" i="24"/>
  <c r="J35" i="24"/>
  <c r="I35" i="24"/>
  <c r="H35" i="24"/>
  <c r="G35" i="24"/>
  <c r="F35" i="24"/>
  <c r="E35" i="24"/>
  <c r="D35" i="24"/>
  <c r="K34" i="24"/>
  <c r="J34" i="24"/>
  <c r="I34" i="24"/>
  <c r="H34" i="24"/>
  <c r="G34" i="24"/>
  <c r="F34" i="24"/>
  <c r="E34" i="24"/>
  <c r="D34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K31" i="24"/>
  <c r="J31" i="24"/>
  <c r="I31" i="24"/>
  <c r="H31" i="24"/>
  <c r="G31" i="24"/>
  <c r="F31" i="24"/>
  <c r="E31" i="24"/>
  <c r="D31" i="24"/>
  <c r="L30" i="24"/>
  <c r="K30" i="24"/>
  <c r="J30" i="24"/>
  <c r="I30" i="24"/>
  <c r="H30" i="24"/>
  <c r="G30" i="24"/>
  <c r="F30" i="24"/>
  <c r="E30" i="24"/>
  <c r="D30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K27" i="24"/>
  <c r="J27" i="24"/>
  <c r="I27" i="24"/>
  <c r="H27" i="24"/>
  <c r="G27" i="24"/>
  <c r="F27" i="24"/>
  <c r="E27" i="24"/>
  <c r="D27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K20" i="24"/>
  <c r="J20" i="24"/>
  <c r="I20" i="24"/>
  <c r="H20" i="24"/>
  <c r="G20" i="24"/>
  <c r="F20" i="24"/>
  <c r="E20" i="24"/>
  <c r="D20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N18" i="24"/>
  <c r="AA173" i="27" s="1"/>
  <c r="M18" i="24"/>
  <c r="Z173" i="27" s="1"/>
  <c r="L18" i="24"/>
  <c r="Y173" i="27" s="1"/>
  <c r="K18" i="24"/>
  <c r="X173" i="27" s="1"/>
  <c r="J18" i="24"/>
  <c r="W173" i="27" s="1"/>
  <c r="I18" i="24"/>
  <c r="V173" i="27" s="1"/>
  <c r="H18" i="24"/>
  <c r="U173" i="27" s="1"/>
  <c r="G18" i="24"/>
  <c r="T173" i="27" s="1"/>
  <c r="F18" i="24"/>
  <c r="S173" i="27" s="1"/>
  <c r="E18" i="24"/>
  <c r="R173" i="27" s="1"/>
  <c r="D18" i="24"/>
  <c r="Q173" i="27" s="1"/>
  <c r="C18" i="24"/>
  <c r="P173" i="27" s="1"/>
  <c r="K17" i="24"/>
  <c r="J17" i="24"/>
  <c r="I17" i="24"/>
  <c r="V171" i="27" s="1"/>
  <c r="H17" i="24"/>
  <c r="U171" i="27" s="1"/>
  <c r="G17" i="24"/>
  <c r="T171" i="27" s="1"/>
  <c r="F17" i="24"/>
  <c r="S171" i="27" s="1"/>
  <c r="E17" i="24"/>
  <c r="R171" i="27" s="1"/>
  <c r="D17" i="24"/>
  <c r="Q171" i="27" s="1"/>
  <c r="N14" i="24"/>
  <c r="M14" i="24"/>
  <c r="L14" i="24"/>
  <c r="K14" i="24"/>
  <c r="J14" i="24"/>
  <c r="I14" i="24"/>
  <c r="H14" i="24"/>
  <c r="G14" i="24"/>
  <c r="F14" i="24"/>
  <c r="E14" i="24"/>
  <c r="D14" i="24"/>
  <c r="C14" i="24"/>
  <c r="N13" i="24"/>
  <c r="M13" i="24"/>
  <c r="L13" i="24"/>
  <c r="K13" i="24"/>
  <c r="J13" i="24"/>
  <c r="I13" i="24"/>
  <c r="V169" i="27" s="1"/>
  <c r="H13" i="24"/>
  <c r="U169" i="27" s="1"/>
  <c r="G13" i="24"/>
  <c r="F13" i="24"/>
  <c r="S169" i="27" s="1"/>
  <c r="E13" i="24"/>
  <c r="R169" i="27" s="1"/>
  <c r="D13" i="24"/>
  <c r="C13" i="24"/>
  <c r="K12" i="24"/>
  <c r="X167" i="27" s="1"/>
  <c r="J12" i="24"/>
  <c r="W167" i="27" s="1"/>
  <c r="I12" i="24"/>
  <c r="V167" i="27" s="1"/>
  <c r="H12" i="24"/>
  <c r="U167" i="27" s="1"/>
  <c r="G12" i="24"/>
  <c r="T167" i="27" s="1"/>
  <c r="F12" i="24"/>
  <c r="S167" i="27" s="1"/>
  <c r="E12" i="24"/>
  <c r="R167" i="27" s="1"/>
  <c r="D12" i="24"/>
  <c r="Q167" i="27" s="1"/>
  <c r="N11" i="24"/>
  <c r="M11" i="24"/>
  <c r="L11" i="24"/>
  <c r="K11" i="24"/>
  <c r="J11" i="24"/>
  <c r="I11" i="24"/>
  <c r="H11" i="24"/>
  <c r="G11" i="24"/>
  <c r="F11" i="24"/>
  <c r="E11" i="24"/>
  <c r="D11" i="24"/>
  <c r="C11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N9" i="24"/>
  <c r="M9" i="24"/>
  <c r="L9" i="24"/>
  <c r="K9" i="24"/>
  <c r="J9" i="24"/>
  <c r="I9" i="24"/>
  <c r="H9" i="24"/>
  <c r="G9" i="24"/>
  <c r="F9" i="24"/>
  <c r="E9" i="24"/>
  <c r="D9" i="24"/>
  <c r="C9" i="24"/>
  <c r="N8" i="24"/>
  <c r="M8" i="24"/>
  <c r="L8" i="24"/>
  <c r="K8" i="24"/>
  <c r="J8" i="24"/>
  <c r="I8" i="24"/>
  <c r="H8" i="24"/>
  <c r="G8" i="24"/>
  <c r="F8" i="24"/>
  <c r="E8" i="24"/>
  <c r="D8" i="24"/>
  <c r="C8" i="24"/>
  <c r="N7" i="24"/>
  <c r="AA165" i="27" s="1"/>
  <c r="M7" i="24"/>
  <c r="Z165" i="27" s="1"/>
  <c r="L7" i="24"/>
  <c r="Y165" i="27" s="1"/>
  <c r="K7" i="24"/>
  <c r="X165" i="27" s="1"/>
  <c r="J7" i="24"/>
  <c r="W165" i="27" s="1"/>
  <c r="I7" i="24"/>
  <c r="V165" i="27" s="1"/>
  <c r="H7" i="24"/>
  <c r="U165" i="27" s="1"/>
  <c r="G7" i="24"/>
  <c r="T165" i="27" s="1"/>
  <c r="F7" i="24"/>
  <c r="S165" i="27" s="1"/>
  <c r="E7" i="24"/>
  <c r="R165" i="27" s="1"/>
  <c r="D7" i="24"/>
  <c r="Q165" i="27" s="1"/>
  <c r="C7" i="24"/>
  <c r="P165" i="27" s="1"/>
  <c r="J40" i="23"/>
  <c r="W140" i="27" s="1"/>
  <c r="I40" i="23"/>
  <c r="V140" i="27" s="1"/>
  <c r="G40" i="23"/>
  <c r="T140" i="27" s="1"/>
  <c r="F40" i="23"/>
  <c r="S140" i="27" s="1"/>
  <c r="E40" i="23"/>
  <c r="R140" i="27" s="1"/>
  <c r="D40" i="23"/>
  <c r="Q140" i="27" s="1"/>
  <c r="N39" i="23"/>
  <c r="M39" i="23"/>
  <c r="L39" i="23"/>
  <c r="K39" i="23"/>
  <c r="J39" i="23"/>
  <c r="I39" i="23"/>
  <c r="H39" i="23"/>
  <c r="G39" i="23"/>
  <c r="F39" i="23"/>
  <c r="E39" i="23"/>
  <c r="D39" i="23"/>
  <c r="C39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J36" i="23"/>
  <c r="I36" i="23"/>
  <c r="G36" i="23"/>
  <c r="F36" i="23"/>
  <c r="E36" i="23"/>
  <c r="D36" i="23"/>
  <c r="J35" i="23"/>
  <c r="I35" i="23"/>
  <c r="G35" i="23"/>
  <c r="F35" i="23"/>
  <c r="E35" i="23"/>
  <c r="D35" i="23"/>
  <c r="K34" i="23"/>
  <c r="J34" i="23"/>
  <c r="I34" i="23"/>
  <c r="H34" i="23"/>
  <c r="G34" i="23"/>
  <c r="F34" i="23"/>
  <c r="E34" i="23"/>
  <c r="D34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J31" i="23"/>
  <c r="I31" i="23"/>
  <c r="G31" i="23"/>
  <c r="F31" i="23"/>
  <c r="E31" i="23"/>
  <c r="D31" i="23"/>
  <c r="N30" i="23"/>
  <c r="L30" i="23"/>
  <c r="K30" i="23"/>
  <c r="J30" i="23"/>
  <c r="I30" i="23"/>
  <c r="H30" i="23"/>
  <c r="G30" i="23"/>
  <c r="F30" i="23"/>
  <c r="E30" i="23"/>
  <c r="D30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J27" i="23"/>
  <c r="I27" i="23"/>
  <c r="G27" i="23"/>
  <c r="F27" i="23"/>
  <c r="E27" i="23"/>
  <c r="D27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J20" i="23"/>
  <c r="I20" i="23"/>
  <c r="G20" i="23"/>
  <c r="F20" i="23"/>
  <c r="E20" i="23"/>
  <c r="D20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N18" i="23"/>
  <c r="AA138" i="27" s="1"/>
  <c r="M18" i="23"/>
  <c r="Z138" i="27" s="1"/>
  <c r="L18" i="23"/>
  <c r="Y138" i="27" s="1"/>
  <c r="K18" i="23"/>
  <c r="X138" i="27" s="1"/>
  <c r="J18" i="23"/>
  <c r="W138" i="27" s="1"/>
  <c r="I18" i="23"/>
  <c r="V138" i="27" s="1"/>
  <c r="H18" i="23"/>
  <c r="U138" i="27" s="1"/>
  <c r="G18" i="23"/>
  <c r="T138" i="27" s="1"/>
  <c r="F18" i="23"/>
  <c r="S138" i="27" s="1"/>
  <c r="E18" i="23"/>
  <c r="R138" i="27" s="1"/>
  <c r="D18" i="23"/>
  <c r="Q138" i="27" s="1"/>
  <c r="C18" i="23"/>
  <c r="P138" i="27" s="1"/>
  <c r="J17" i="23"/>
  <c r="I17" i="23"/>
  <c r="V136" i="27" s="1"/>
  <c r="G17" i="23"/>
  <c r="T136" i="27" s="1"/>
  <c r="F17" i="23"/>
  <c r="S136" i="27" s="1"/>
  <c r="E17" i="23"/>
  <c r="R136" i="27" s="1"/>
  <c r="D17" i="23"/>
  <c r="Q136" i="27" s="1"/>
  <c r="N14" i="23"/>
  <c r="M14" i="23"/>
  <c r="L14" i="23"/>
  <c r="K14" i="23"/>
  <c r="J14" i="23"/>
  <c r="I14" i="23"/>
  <c r="H14" i="23"/>
  <c r="G14" i="23"/>
  <c r="F14" i="23"/>
  <c r="E14" i="23"/>
  <c r="D14" i="23"/>
  <c r="C14" i="23"/>
  <c r="N13" i="23"/>
  <c r="M13" i="23"/>
  <c r="L13" i="23"/>
  <c r="K13" i="23"/>
  <c r="J13" i="23"/>
  <c r="I13" i="23"/>
  <c r="V134" i="27" s="1"/>
  <c r="H13" i="23"/>
  <c r="U134" i="27" s="1"/>
  <c r="G13" i="23"/>
  <c r="T134" i="27" s="1"/>
  <c r="F13" i="23"/>
  <c r="E13" i="23"/>
  <c r="R134" i="27" s="1"/>
  <c r="D13" i="23"/>
  <c r="C13" i="23"/>
  <c r="K12" i="23"/>
  <c r="X132" i="27" s="1"/>
  <c r="J12" i="23"/>
  <c r="W132" i="27" s="1"/>
  <c r="I12" i="23"/>
  <c r="V132" i="27" s="1"/>
  <c r="H12" i="23"/>
  <c r="U132" i="27" s="1"/>
  <c r="G12" i="23"/>
  <c r="T132" i="27" s="1"/>
  <c r="F12" i="23"/>
  <c r="S132" i="27" s="1"/>
  <c r="E12" i="23"/>
  <c r="R132" i="27" s="1"/>
  <c r="D12" i="23"/>
  <c r="Q132" i="27" s="1"/>
  <c r="N11" i="23"/>
  <c r="M11" i="23"/>
  <c r="L11" i="23"/>
  <c r="K11" i="23"/>
  <c r="J11" i="23"/>
  <c r="I11" i="23"/>
  <c r="H11" i="23"/>
  <c r="G11" i="23"/>
  <c r="F11" i="23"/>
  <c r="E11" i="23"/>
  <c r="D11" i="23"/>
  <c r="C11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N9" i="23"/>
  <c r="M9" i="23"/>
  <c r="L9" i="23"/>
  <c r="K9" i="23"/>
  <c r="J9" i="23"/>
  <c r="I9" i="23"/>
  <c r="H9" i="23"/>
  <c r="G9" i="23"/>
  <c r="F9" i="23"/>
  <c r="E9" i="23"/>
  <c r="D9" i="23"/>
  <c r="C9" i="23"/>
  <c r="N8" i="23"/>
  <c r="M8" i="23"/>
  <c r="L8" i="23"/>
  <c r="K8" i="23"/>
  <c r="J8" i="23"/>
  <c r="I8" i="23"/>
  <c r="H8" i="23"/>
  <c r="G8" i="23"/>
  <c r="F8" i="23"/>
  <c r="E8" i="23"/>
  <c r="D8" i="23"/>
  <c r="C8" i="23"/>
  <c r="N7" i="23"/>
  <c r="M7" i="23"/>
  <c r="Z130" i="27" s="1"/>
  <c r="L7" i="23"/>
  <c r="Y130" i="27" s="1"/>
  <c r="K7" i="23"/>
  <c r="X130" i="27" s="1"/>
  <c r="J7" i="23"/>
  <c r="W130" i="27" s="1"/>
  <c r="I7" i="23"/>
  <c r="V130" i="27" s="1"/>
  <c r="H7" i="23"/>
  <c r="U130" i="27" s="1"/>
  <c r="G7" i="23"/>
  <c r="T130" i="27" s="1"/>
  <c r="F7" i="23"/>
  <c r="S130" i="27" s="1"/>
  <c r="E7" i="23"/>
  <c r="R130" i="27" s="1"/>
  <c r="D7" i="23"/>
  <c r="Q130" i="27" s="1"/>
  <c r="C7" i="23"/>
  <c r="P130" i="27" s="1"/>
  <c r="J40" i="22"/>
  <c r="W105" i="27" s="1"/>
  <c r="I40" i="22"/>
  <c r="V105" i="27" s="1"/>
  <c r="H40" i="22"/>
  <c r="U105" i="27" s="1"/>
  <c r="G40" i="22"/>
  <c r="T105" i="27" s="1"/>
  <c r="F40" i="22"/>
  <c r="S105" i="27" s="1"/>
  <c r="E40" i="22"/>
  <c r="R105" i="27" s="1"/>
  <c r="D40" i="22"/>
  <c r="Q105" i="27" s="1"/>
  <c r="N39" i="22"/>
  <c r="M39" i="22"/>
  <c r="L39" i="22"/>
  <c r="K39" i="22"/>
  <c r="J39" i="22"/>
  <c r="I39" i="22"/>
  <c r="H39" i="22"/>
  <c r="G39" i="22"/>
  <c r="F39" i="22"/>
  <c r="E39" i="22"/>
  <c r="D39" i="22"/>
  <c r="C39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J36" i="22"/>
  <c r="I36" i="22"/>
  <c r="H36" i="22"/>
  <c r="G36" i="22"/>
  <c r="F36" i="22"/>
  <c r="E36" i="22"/>
  <c r="D36" i="22"/>
  <c r="K34" i="22"/>
  <c r="J34" i="22"/>
  <c r="I34" i="22"/>
  <c r="H34" i="22"/>
  <c r="G34" i="22"/>
  <c r="F34" i="22"/>
  <c r="E34" i="22"/>
  <c r="D34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J31" i="22"/>
  <c r="I31" i="22"/>
  <c r="H31" i="22"/>
  <c r="G31" i="22"/>
  <c r="F31" i="22"/>
  <c r="E31" i="22"/>
  <c r="D31" i="22"/>
  <c r="L30" i="22"/>
  <c r="K30" i="22"/>
  <c r="J30" i="22"/>
  <c r="I30" i="22"/>
  <c r="H30" i="22"/>
  <c r="G30" i="22"/>
  <c r="F30" i="22"/>
  <c r="E30" i="22"/>
  <c r="D30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J27" i="22"/>
  <c r="I27" i="22"/>
  <c r="H27" i="22"/>
  <c r="G27" i="22"/>
  <c r="F27" i="22"/>
  <c r="E27" i="22"/>
  <c r="D27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J20" i="22"/>
  <c r="I20" i="22"/>
  <c r="H20" i="22"/>
  <c r="G20" i="22"/>
  <c r="F20" i="22"/>
  <c r="E20" i="22"/>
  <c r="D20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N18" i="22"/>
  <c r="AA103" i="27" s="1"/>
  <c r="M18" i="22"/>
  <c r="Z103" i="27" s="1"/>
  <c r="L18" i="22"/>
  <c r="Y103" i="27" s="1"/>
  <c r="K18" i="22"/>
  <c r="X103" i="27" s="1"/>
  <c r="J18" i="22"/>
  <c r="W103" i="27" s="1"/>
  <c r="I18" i="22"/>
  <c r="V103" i="27" s="1"/>
  <c r="H18" i="22"/>
  <c r="U103" i="27" s="1"/>
  <c r="G18" i="22"/>
  <c r="T103" i="27" s="1"/>
  <c r="F18" i="22"/>
  <c r="S103" i="27" s="1"/>
  <c r="E18" i="22"/>
  <c r="R103" i="27" s="1"/>
  <c r="D18" i="22"/>
  <c r="Q103" i="27" s="1"/>
  <c r="C18" i="22"/>
  <c r="P103" i="27" s="1"/>
  <c r="J17" i="22"/>
  <c r="I17" i="22"/>
  <c r="H17" i="22"/>
  <c r="G17" i="22"/>
  <c r="F17" i="22"/>
  <c r="S101" i="27" s="1"/>
  <c r="E17" i="22"/>
  <c r="D17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N13" i="22"/>
  <c r="M13" i="22"/>
  <c r="L13" i="22"/>
  <c r="K13" i="22"/>
  <c r="J13" i="22"/>
  <c r="I13" i="22"/>
  <c r="V99" i="27" s="1"/>
  <c r="H13" i="22"/>
  <c r="G13" i="22"/>
  <c r="F13" i="22"/>
  <c r="E13" i="22"/>
  <c r="R99" i="27" s="1"/>
  <c r="D13" i="22"/>
  <c r="C13" i="22"/>
  <c r="P99" i="27" s="1"/>
  <c r="K12" i="22"/>
  <c r="X97" i="27" s="1"/>
  <c r="J12" i="22"/>
  <c r="W97" i="27" s="1"/>
  <c r="I12" i="22"/>
  <c r="V97" i="27" s="1"/>
  <c r="H12" i="22"/>
  <c r="U97" i="27" s="1"/>
  <c r="G12" i="22"/>
  <c r="T97" i="27" s="1"/>
  <c r="F12" i="22"/>
  <c r="S97" i="27" s="1"/>
  <c r="E12" i="22"/>
  <c r="R97" i="27" s="1"/>
  <c r="D12" i="22"/>
  <c r="Q97" i="27" s="1"/>
  <c r="N11" i="22"/>
  <c r="M11" i="22"/>
  <c r="L11" i="22"/>
  <c r="K11" i="22"/>
  <c r="J11" i="22"/>
  <c r="I11" i="22"/>
  <c r="H11" i="22"/>
  <c r="G11" i="22"/>
  <c r="F11" i="22"/>
  <c r="E11" i="22"/>
  <c r="D11" i="22"/>
  <c r="C11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N9" i="22"/>
  <c r="M9" i="22"/>
  <c r="L9" i="22"/>
  <c r="K9" i="22"/>
  <c r="J9" i="22"/>
  <c r="I9" i="22"/>
  <c r="H9" i="22"/>
  <c r="G9" i="22"/>
  <c r="F9" i="22"/>
  <c r="E9" i="22"/>
  <c r="D9" i="22"/>
  <c r="C9" i="22"/>
  <c r="N8" i="22"/>
  <c r="M8" i="22"/>
  <c r="L8" i="22"/>
  <c r="K8" i="22"/>
  <c r="J8" i="22"/>
  <c r="I8" i="22"/>
  <c r="H8" i="22"/>
  <c r="G8" i="22"/>
  <c r="F8" i="22"/>
  <c r="E8" i="22"/>
  <c r="D8" i="22"/>
  <c r="C8" i="22"/>
  <c r="N7" i="22"/>
  <c r="AA95" i="27" s="1"/>
  <c r="M7" i="22"/>
  <c r="Z95" i="27" s="1"/>
  <c r="L7" i="22"/>
  <c r="Y95" i="27" s="1"/>
  <c r="K7" i="22"/>
  <c r="X95" i="27" s="1"/>
  <c r="J7" i="22"/>
  <c r="W95" i="27" s="1"/>
  <c r="I7" i="22"/>
  <c r="V95" i="27" s="1"/>
  <c r="H7" i="22"/>
  <c r="U95" i="27" s="1"/>
  <c r="G7" i="22"/>
  <c r="T95" i="27" s="1"/>
  <c r="F7" i="22"/>
  <c r="S95" i="27" s="1"/>
  <c r="E7" i="22"/>
  <c r="R95" i="27" s="1"/>
  <c r="D7" i="22"/>
  <c r="Q95" i="27" s="1"/>
  <c r="C7" i="22"/>
  <c r="P95" i="27" s="1"/>
  <c r="K40" i="21"/>
  <c r="X70" i="27" s="1"/>
  <c r="J40" i="21"/>
  <c r="W70" i="27" s="1"/>
  <c r="I40" i="21"/>
  <c r="V70" i="27" s="1"/>
  <c r="H40" i="21"/>
  <c r="U70" i="27" s="1"/>
  <c r="G40" i="21"/>
  <c r="T70" i="27" s="1"/>
  <c r="F40" i="21"/>
  <c r="S70" i="27" s="1"/>
  <c r="E40" i="21"/>
  <c r="R70" i="27" s="1"/>
  <c r="D40" i="21"/>
  <c r="Q70" i="27" s="1"/>
  <c r="N39" i="21"/>
  <c r="M39" i="21"/>
  <c r="L39" i="21"/>
  <c r="K39" i="21"/>
  <c r="J39" i="21"/>
  <c r="I39" i="21"/>
  <c r="H39" i="21"/>
  <c r="G39" i="21"/>
  <c r="F39" i="21"/>
  <c r="E39" i="21"/>
  <c r="D39" i="21"/>
  <c r="C39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K36" i="21"/>
  <c r="J36" i="21"/>
  <c r="I36" i="21"/>
  <c r="H36" i="21"/>
  <c r="G36" i="21"/>
  <c r="F36" i="21"/>
  <c r="E36" i="21"/>
  <c r="D36" i="21"/>
  <c r="L34" i="21"/>
  <c r="K34" i="21"/>
  <c r="J34" i="21"/>
  <c r="H34" i="21"/>
  <c r="G34" i="21"/>
  <c r="F34" i="21"/>
  <c r="E34" i="21"/>
  <c r="D34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K31" i="21"/>
  <c r="J31" i="21"/>
  <c r="I31" i="21"/>
  <c r="H31" i="21"/>
  <c r="G31" i="21"/>
  <c r="F31" i="21"/>
  <c r="E31" i="21"/>
  <c r="D31" i="21"/>
  <c r="L30" i="21"/>
  <c r="K30" i="21"/>
  <c r="J30" i="21"/>
  <c r="I30" i="21"/>
  <c r="H30" i="21"/>
  <c r="G30" i="21"/>
  <c r="F30" i="21"/>
  <c r="E30" i="21"/>
  <c r="D30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K27" i="21"/>
  <c r="J27" i="21"/>
  <c r="I27" i="21"/>
  <c r="H27" i="21"/>
  <c r="G27" i="21"/>
  <c r="F27" i="21"/>
  <c r="E27" i="21"/>
  <c r="D27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K20" i="21"/>
  <c r="J20" i="21"/>
  <c r="I20" i="21"/>
  <c r="H20" i="21"/>
  <c r="G20" i="21"/>
  <c r="F20" i="21"/>
  <c r="E20" i="21"/>
  <c r="D20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N18" i="21"/>
  <c r="AA68" i="27" s="1"/>
  <c r="M18" i="21"/>
  <c r="Z68" i="27" s="1"/>
  <c r="L18" i="21"/>
  <c r="Y68" i="27" s="1"/>
  <c r="K18" i="21"/>
  <c r="X68" i="27" s="1"/>
  <c r="J18" i="21"/>
  <c r="W68" i="27" s="1"/>
  <c r="I18" i="21"/>
  <c r="V68" i="27" s="1"/>
  <c r="H18" i="21"/>
  <c r="U68" i="27" s="1"/>
  <c r="G18" i="21"/>
  <c r="T68" i="27" s="1"/>
  <c r="F18" i="21"/>
  <c r="S68" i="27" s="1"/>
  <c r="E18" i="21"/>
  <c r="R68" i="27" s="1"/>
  <c r="D18" i="21"/>
  <c r="Q68" i="27" s="1"/>
  <c r="C18" i="21"/>
  <c r="P68" i="27" s="1"/>
  <c r="K17" i="21"/>
  <c r="X66" i="27" s="1"/>
  <c r="J17" i="21"/>
  <c r="W66" i="27" s="1"/>
  <c r="I17" i="21"/>
  <c r="V66" i="27" s="1"/>
  <c r="H17" i="21"/>
  <c r="U66" i="27" s="1"/>
  <c r="G17" i="21"/>
  <c r="T66" i="27" s="1"/>
  <c r="F17" i="21"/>
  <c r="S66" i="27" s="1"/>
  <c r="E17" i="21"/>
  <c r="R66" i="27" s="1"/>
  <c r="D17" i="21"/>
  <c r="Q66" i="27" s="1"/>
  <c r="G16" i="21"/>
  <c r="F16" i="21"/>
  <c r="E16" i="21"/>
  <c r="D16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N13" i="21"/>
  <c r="M13" i="21"/>
  <c r="L13" i="21"/>
  <c r="K13" i="21"/>
  <c r="J13" i="21"/>
  <c r="I13" i="21"/>
  <c r="V64" i="27" s="1"/>
  <c r="H13" i="21"/>
  <c r="G13" i="21"/>
  <c r="T64" i="27" s="1"/>
  <c r="F13" i="21"/>
  <c r="S64" i="27" s="1"/>
  <c r="E13" i="21"/>
  <c r="R64" i="27" s="1"/>
  <c r="D13" i="21"/>
  <c r="Q64" i="27" s="1"/>
  <c r="C13" i="21"/>
  <c r="P64" i="27" s="1"/>
  <c r="L12" i="21"/>
  <c r="Y62" i="27" s="1"/>
  <c r="K12" i="21"/>
  <c r="X62" i="27" s="1"/>
  <c r="J12" i="21"/>
  <c r="W62" i="27" s="1"/>
  <c r="I12" i="21"/>
  <c r="V62" i="27" s="1"/>
  <c r="H12" i="21"/>
  <c r="U62" i="27" s="1"/>
  <c r="G12" i="21"/>
  <c r="T62" i="27" s="1"/>
  <c r="F12" i="21"/>
  <c r="S62" i="27" s="1"/>
  <c r="E12" i="21"/>
  <c r="R62" i="27" s="1"/>
  <c r="D12" i="21"/>
  <c r="Q62" i="27" s="1"/>
  <c r="N11" i="21"/>
  <c r="M11" i="21"/>
  <c r="L11" i="21"/>
  <c r="K11" i="21"/>
  <c r="J11" i="21"/>
  <c r="I11" i="21"/>
  <c r="H11" i="21"/>
  <c r="G11" i="21"/>
  <c r="F11" i="21"/>
  <c r="E11" i="21"/>
  <c r="D11" i="21"/>
  <c r="C11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N9" i="21"/>
  <c r="M9" i="21"/>
  <c r="L9" i="21"/>
  <c r="K9" i="21"/>
  <c r="J9" i="21"/>
  <c r="I9" i="21"/>
  <c r="H9" i="21"/>
  <c r="G9" i="21"/>
  <c r="F9" i="21"/>
  <c r="E9" i="21"/>
  <c r="D9" i="21"/>
  <c r="C9" i="21"/>
  <c r="N8" i="21"/>
  <c r="M8" i="21"/>
  <c r="L8" i="21"/>
  <c r="K8" i="21"/>
  <c r="J8" i="21"/>
  <c r="I8" i="21"/>
  <c r="H8" i="21"/>
  <c r="G8" i="21"/>
  <c r="F8" i="21"/>
  <c r="E8" i="21"/>
  <c r="D8" i="21"/>
  <c r="C8" i="21"/>
  <c r="N7" i="21"/>
  <c r="AA60" i="27" s="1"/>
  <c r="M7" i="21"/>
  <c r="Z60" i="27" s="1"/>
  <c r="L7" i="21"/>
  <c r="Y60" i="27" s="1"/>
  <c r="J7" i="21"/>
  <c r="W60" i="27" s="1"/>
  <c r="K7" i="21"/>
  <c r="X60" i="27" s="1"/>
  <c r="I7" i="21"/>
  <c r="V60" i="27" s="1"/>
  <c r="H7" i="21"/>
  <c r="U60" i="27" s="1"/>
  <c r="G7" i="21"/>
  <c r="T60" i="27" s="1"/>
  <c r="F7" i="21"/>
  <c r="S60" i="27" s="1"/>
  <c r="E7" i="21"/>
  <c r="R60" i="27" s="1"/>
  <c r="D7" i="21"/>
  <c r="Q60" i="27" s="1"/>
  <c r="C7" i="21"/>
  <c r="P60" i="27" s="1"/>
  <c r="V29" i="27" l="1"/>
  <c r="W27" i="27"/>
  <c r="R35" i="27"/>
  <c r="U64" i="27"/>
  <c r="H16" i="21"/>
  <c r="W64" i="27"/>
  <c r="J16" i="21"/>
  <c r="J35" i="21" s="1"/>
  <c r="AA64" i="27"/>
  <c r="N16" i="21"/>
  <c r="N35" i="21" s="1"/>
  <c r="X64" i="27"/>
  <c r="K16" i="21"/>
  <c r="K35" i="21" s="1"/>
  <c r="Y64" i="27"/>
  <c r="L16" i="21"/>
  <c r="L35" i="21" s="1"/>
  <c r="Z64" i="27"/>
  <c r="M16" i="21"/>
  <c r="M35" i="21" s="1"/>
  <c r="H16" i="22"/>
  <c r="H35" i="22" s="1"/>
  <c r="U99" i="27"/>
  <c r="I29" i="25"/>
  <c r="I33" i="25"/>
  <c r="D16" i="22"/>
  <c r="D35" i="22" s="1"/>
  <c r="Q99" i="27"/>
  <c r="Y99" i="27"/>
  <c r="L16" i="22"/>
  <c r="L35" i="22" s="1"/>
  <c r="E48" i="22"/>
  <c r="R101" i="27"/>
  <c r="I48" i="22"/>
  <c r="V101" i="27"/>
  <c r="V31" i="27" s="1"/>
  <c r="X99" i="27"/>
  <c r="K16" i="22"/>
  <c r="K35" i="22" s="1"/>
  <c r="Z99" i="27"/>
  <c r="M16" i="22"/>
  <c r="M35" i="22" s="1"/>
  <c r="W99" i="27"/>
  <c r="J16" i="22"/>
  <c r="J35" i="22" s="1"/>
  <c r="D48" i="22"/>
  <c r="Q101" i="27"/>
  <c r="Q31" i="27" s="1"/>
  <c r="F16" i="22"/>
  <c r="F35" i="22" s="1"/>
  <c r="S99" i="27"/>
  <c r="AA99" i="27"/>
  <c r="N16" i="22"/>
  <c r="N35" i="22" s="1"/>
  <c r="G48" i="22"/>
  <c r="T101" i="27"/>
  <c r="T31" i="27" s="1"/>
  <c r="U27" i="27"/>
  <c r="V33" i="27"/>
  <c r="J48" i="22"/>
  <c r="W101" i="27"/>
  <c r="G16" i="22"/>
  <c r="G35" i="22" s="1"/>
  <c r="T99" i="27"/>
  <c r="H48" i="22"/>
  <c r="U101" i="27"/>
  <c r="R25" i="27"/>
  <c r="F16" i="23"/>
  <c r="S134" i="27"/>
  <c r="AA134" i="27"/>
  <c r="N16" i="23"/>
  <c r="S25" i="27"/>
  <c r="AA25" i="27"/>
  <c r="X27" i="27"/>
  <c r="W33" i="27"/>
  <c r="S35" i="27"/>
  <c r="Z25" i="27"/>
  <c r="T25" i="27"/>
  <c r="Q27" i="27"/>
  <c r="P33" i="27"/>
  <c r="X33" i="27"/>
  <c r="T35" i="27"/>
  <c r="J48" i="23"/>
  <c r="W136" i="27"/>
  <c r="U25" i="27"/>
  <c r="R27" i="27"/>
  <c r="R31" i="27"/>
  <c r="Q33" i="27"/>
  <c r="Y33" i="27"/>
  <c r="V25" i="27"/>
  <c r="S27" i="27"/>
  <c r="R29" i="27"/>
  <c r="S31" i="27"/>
  <c r="R33" i="27"/>
  <c r="Z33" i="27"/>
  <c r="V35" i="27"/>
  <c r="N44" i="23"/>
  <c r="AA130" i="27"/>
  <c r="W134" i="27"/>
  <c r="J16" i="23"/>
  <c r="J46" i="23" s="1"/>
  <c r="W25" i="27"/>
  <c r="T27" i="27"/>
  <c r="S29" i="27"/>
  <c r="S33" i="27"/>
  <c r="AA33" i="27"/>
  <c r="W35" i="27"/>
  <c r="X134" i="27"/>
  <c r="K16" i="23"/>
  <c r="P25" i="27"/>
  <c r="X25" i="27"/>
  <c r="T33" i="27"/>
  <c r="Z134" i="27"/>
  <c r="M16" i="23"/>
  <c r="C16" i="23"/>
  <c r="P134" i="27"/>
  <c r="D16" i="23"/>
  <c r="D46" i="23" s="1"/>
  <c r="Q134" i="27"/>
  <c r="Y134" i="27"/>
  <c r="L16" i="23"/>
  <c r="Q25" i="27"/>
  <c r="Y25" i="27"/>
  <c r="V27" i="27"/>
  <c r="U29" i="27"/>
  <c r="U33" i="27"/>
  <c r="Q35" i="27"/>
  <c r="W169" i="27"/>
  <c r="J16" i="24"/>
  <c r="J46" i="24" s="1"/>
  <c r="K48" i="24"/>
  <c r="X171" i="27"/>
  <c r="C16" i="24"/>
  <c r="P169" i="27"/>
  <c r="X169" i="27"/>
  <c r="K16" i="24"/>
  <c r="K46" i="24" s="1"/>
  <c r="D16" i="24"/>
  <c r="Q169" i="27"/>
  <c r="Y169" i="27"/>
  <c r="L16" i="24"/>
  <c r="J48" i="24"/>
  <c r="W171" i="27"/>
  <c r="Z169" i="27"/>
  <c r="M16" i="24"/>
  <c r="AA169" i="27"/>
  <c r="N16" i="24"/>
  <c r="G16" i="24"/>
  <c r="T169" i="27"/>
  <c r="I16" i="24"/>
  <c r="I46" i="24" s="1"/>
  <c r="I16" i="21"/>
  <c r="I16" i="22"/>
  <c r="I35" i="22" s="1"/>
  <c r="I48" i="23"/>
  <c r="I47" i="23"/>
  <c r="I16" i="23"/>
  <c r="I46" i="23" s="1"/>
  <c r="G16" i="23"/>
  <c r="H16" i="23"/>
  <c r="C16" i="22"/>
  <c r="C35" i="22" s="1"/>
  <c r="H16" i="24"/>
  <c r="H46" i="24" s="1"/>
  <c r="F16" i="24"/>
  <c r="F46" i="24" s="1"/>
  <c r="E16" i="23"/>
  <c r="E46" i="23" s="1"/>
  <c r="E16" i="22"/>
  <c r="E35" i="22" s="1"/>
  <c r="E16" i="24"/>
  <c r="D30" i="25"/>
  <c r="I48" i="24"/>
  <c r="K18" i="25"/>
  <c r="L18" i="25"/>
  <c r="E43" i="23"/>
  <c r="Q11" i="25"/>
  <c r="Q7" i="25"/>
  <c r="D8" i="25"/>
  <c r="D10" i="25"/>
  <c r="K47" i="22"/>
  <c r="Q38" i="25"/>
  <c r="N44" i="22"/>
  <c r="G44" i="21"/>
  <c r="Q37" i="25"/>
  <c r="Q39" i="25"/>
  <c r="N44" i="24"/>
  <c r="P28" i="25"/>
  <c r="O33" i="25"/>
  <c r="O38" i="25"/>
  <c r="O8" i="25"/>
  <c r="O10" i="25"/>
  <c r="O30" i="25"/>
  <c r="K44" i="22"/>
  <c r="M24" i="25"/>
  <c r="M22" i="25"/>
  <c r="M26" i="25"/>
  <c r="M29" i="25"/>
  <c r="M13" i="25"/>
  <c r="M32" i="25"/>
  <c r="K43" i="22"/>
  <c r="J43" i="24"/>
  <c r="K30" i="25"/>
  <c r="H46" i="21"/>
  <c r="H49" i="21"/>
  <c r="I13" i="25"/>
  <c r="I32" i="25"/>
  <c r="H43" i="22"/>
  <c r="G10" i="25"/>
  <c r="G30" i="25"/>
  <c r="F48" i="24"/>
  <c r="E28" i="25"/>
  <c r="D32" i="25"/>
  <c r="D43" i="22"/>
  <c r="D21" i="25"/>
  <c r="D23" i="25"/>
  <c r="D28" i="25"/>
  <c r="D18" i="25"/>
  <c r="C38" i="25"/>
  <c r="G49" i="23"/>
  <c r="G48" i="23"/>
  <c r="G43" i="24"/>
  <c r="H18" i="25"/>
  <c r="E48" i="23"/>
  <c r="F48" i="22"/>
  <c r="D14" i="25"/>
  <c r="Q13" i="25"/>
  <c r="Q18" i="25"/>
  <c r="Q23" i="25"/>
  <c r="Q28" i="25"/>
  <c r="Q32" i="25"/>
  <c r="Q8" i="25"/>
  <c r="Q10" i="25"/>
  <c r="Q24" i="25"/>
  <c r="P37" i="25"/>
  <c r="P39" i="25"/>
  <c r="O11" i="25"/>
  <c r="O24" i="25"/>
  <c r="O26" i="25"/>
  <c r="L43" i="21"/>
  <c r="O28" i="25"/>
  <c r="K49" i="24"/>
  <c r="M33" i="25"/>
  <c r="K47" i="24"/>
  <c r="M38" i="25"/>
  <c r="K46" i="21"/>
  <c r="K48" i="21"/>
  <c r="K49" i="21"/>
  <c r="K43" i="23"/>
  <c r="J44" i="23"/>
  <c r="L32" i="25"/>
  <c r="J43" i="23"/>
  <c r="K33" i="25"/>
  <c r="I45" i="21"/>
  <c r="K21" i="25"/>
  <c r="K23" i="25"/>
  <c r="I43" i="22"/>
  <c r="K39" i="25"/>
  <c r="K37" i="25"/>
  <c r="H43" i="21"/>
  <c r="I38" i="25"/>
  <c r="H48" i="21"/>
  <c r="I21" i="25"/>
  <c r="I23" i="25"/>
  <c r="I25" i="25"/>
  <c r="I24" i="25"/>
  <c r="I26" i="25"/>
  <c r="H43" i="24"/>
  <c r="H49" i="24"/>
  <c r="G48" i="21"/>
  <c r="G49" i="22"/>
  <c r="G43" i="22"/>
  <c r="G46" i="23"/>
  <c r="F48" i="23"/>
  <c r="G37" i="25"/>
  <c r="G39" i="25"/>
  <c r="F44" i="22"/>
  <c r="F43" i="23"/>
  <c r="G11" i="25"/>
  <c r="G7" i="25"/>
  <c r="F43" i="24"/>
  <c r="G33" i="25"/>
  <c r="G9" i="25"/>
  <c r="F49" i="23"/>
  <c r="E49" i="24"/>
  <c r="E14" i="25"/>
  <c r="E44" i="24"/>
  <c r="D37" i="25"/>
  <c r="D39" i="25"/>
  <c r="D9" i="25"/>
  <c r="D11" i="25"/>
  <c r="D48" i="24"/>
  <c r="D49" i="22"/>
  <c r="D25" i="25"/>
  <c r="D48" i="23"/>
  <c r="Q19" i="25"/>
  <c r="K43" i="24"/>
  <c r="L17" i="25"/>
  <c r="L27" i="25"/>
  <c r="J45" i="24"/>
  <c r="J49" i="24"/>
  <c r="J47" i="24"/>
  <c r="I49" i="24"/>
  <c r="I47" i="24"/>
  <c r="I43" i="24"/>
  <c r="H48" i="24"/>
  <c r="H47" i="24"/>
  <c r="G48" i="24"/>
  <c r="G46" i="24"/>
  <c r="H12" i="25"/>
  <c r="G49" i="24"/>
  <c r="G47" i="24"/>
  <c r="G8" i="25"/>
  <c r="F49" i="24"/>
  <c r="F47" i="24"/>
  <c r="E45" i="24"/>
  <c r="E47" i="24"/>
  <c r="E43" i="24"/>
  <c r="E46" i="24"/>
  <c r="D7" i="25"/>
  <c r="D43" i="24"/>
  <c r="Q26" i="25"/>
  <c r="Q25" i="25"/>
  <c r="Q9" i="25"/>
  <c r="L44" i="23"/>
  <c r="M12" i="25"/>
  <c r="K47" i="23"/>
  <c r="K45" i="23"/>
  <c r="J49" i="23"/>
  <c r="J45" i="23"/>
  <c r="L20" i="25"/>
  <c r="J47" i="23"/>
  <c r="I44" i="23"/>
  <c r="K13" i="25"/>
  <c r="I49" i="23"/>
  <c r="I45" i="23"/>
  <c r="I43" i="23"/>
  <c r="I22" i="25"/>
  <c r="I19" i="25"/>
  <c r="H45" i="23"/>
  <c r="H43" i="23"/>
  <c r="H47" i="23"/>
  <c r="I7" i="25"/>
  <c r="H20" i="25"/>
  <c r="G43" i="23"/>
  <c r="G45" i="23"/>
  <c r="G47" i="23"/>
  <c r="G18" i="25"/>
  <c r="F45" i="23"/>
  <c r="F46" i="23"/>
  <c r="G17" i="25"/>
  <c r="F47" i="23"/>
  <c r="D43" i="23"/>
  <c r="Q33" i="25"/>
  <c r="Q29" i="25"/>
  <c r="Q22" i="25"/>
  <c r="Q21" i="25"/>
  <c r="Q14" i="25"/>
  <c r="O7" i="25"/>
  <c r="M19" i="25"/>
  <c r="L31" i="25"/>
  <c r="L12" i="25"/>
  <c r="J43" i="22"/>
  <c r="J49" i="22"/>
  <c r="J44" i="22"/>
  <c r="J47" i="22"/>
  <c r="J45" i="22"/>
  <c r="K29" i="25"/>
  <c r="K28" i="25"/>
  <c r="K25" i="25"/>
  <c r="K14" i="25"/>
  <c r="I46" i="22"/>
  <c r="I49" i="22"/>
  <c r="I45" i="22"/>
  <c r="I47" i="22"/>
  <c r="I28" i="25"/>
  <c r="H44" i="22"/>
  <c r="H49" i="22"/>
  <c r="I34" i="25"/>
  <c r="H45" i="22"/>
  <c r="H47" i="22"/>
  <c r="H7" i="25"/>
  <c r="G44" i="22"/>
  <c r="G47" i="22"/>
  <c r="G19" i="25"/>
  <c r="F47" i="22"/>
  <c r="G36" i="25"/>
  <c r="F43" i="22"/>
  <c r="F49" i="22"/>
  <c r="E21" i="25"/>
  <c r="E34" i="25"/>
  <c r="L34" i="25"/>
  <c r="L36" i="25"/>
  <c r="H34" i="25"/>
  <c r="G34" i="25"/>
  <c r="D36" i="25"/>
  <c r="D17" i="25"/>
  <c r="D20" i="25"/>
  <c r="D27" i="25"/>
  <c r="C14" i="25"/>
  <c r="L40" i="25"/>
  <c r="H36" i="25"/>
  <c r="G40" i="25"/>
  <c r="N44" i="21"/>
  <c r="O25" i="25"/>
  <c r="L45" i="21"/>
  <c r="L47" i="21"/>
  <c r="K47" i="21"/>
  <c r="J48" i="21"/>
  <c r="J43" i="21"/>
  <c r="I48" i="21"/>
  <c r="G43" i="21"/>
  <c r="G46" i="21"/>
  <c r="F47" i="21"/>
  <c r="F45" i="21"/>
  <c r="F43" i="21"/>
  <c r="E45" i="21"/>
  <c r="C32" i="25"/>
  <c r="C8" i="25"/>
  <c r="C10" i="25"/>
  <c r="C33" i="25"/>
  <c r="C37" i="25"/>
  <c r="C39" i="25"/>
  <c r="C44" i="23"/>
  <c r="C44" i="22"/>
  <c r="D46" i="22"/>
  <c r="D46" i="24"/>
  <c r="D47" i="21"/>
  <c r="D12" i="25"/>
  <c r="D31" i="25"/>
  <c r="D45" i="22"/>
  <c r="D47" i="22"/>
  <c r="D34" i="25"/>
  <c r="D49" i="23"/>
  <c r="D49" i="24"/>
  <c r="D47" i="23"/>
  <c r="D47" i="24"/>
  <c r="D45" i="23"/>
  <c r="E48" i="24"/>
  <c r="E20" i="25"/>
  <c r="E45" i="23"/>
  <c r="E9" i="25"/>
  <c r="E11" i="25"/>
  <c r="E18" i="25"/>
  <c r="E27" i="25"/>
  <c r="E23" i="25"/>
  <c r="E25" i="25"/>
  <c r="E30" i="25"/>
  <c r="E37" i="25"/>
  <c r="E39" i="25"/>
  <c r="E43" i="22"/>
  <c r="E47" i="23"/>
  <c r="E17" i="25"/>
  <c r="E49" i="22"/>
  <c r="E31" i="25"/>
  <c r="E45" i="22"/>
  <c r="E47" i="22"/>
  <c r="E7" i="25"/>
  <c r="E8" i="25"/>
  <c r="E10" i="25"/>
  <c r="E40" i="25"/>
  <c r="E49" i="23"/>
  <c r="G20" i="25"/>
  <c r="G21" i="25"/>
  <c r="G14" i="25"/>
  <c r="G28" i="25"/>
  <c r="G12" i="25"/>
  <c r="G31" i="25"/>
  <c r="F44" i="21"/>
  <c r="F45" i="22"/>
  <c r="G22" i="25"/>
  <c r="G24" i="25"/>
  <c r="G26" i="25"/>
  <c r="G32" i="25"/>
  <c r="G38" i="25"/>
  <c r="F44" i="24"/>
  <c r="G13" i="25"/>
  <c r="G29" i="25"/>
  <c r="F48" i="21"/>
  <c r="F44" i="23"/>
  <c r="G27" i="25"/>
  <c r="F46" i="21"/>
  <c r="F45" i="24"/>
  <c r="G23" i="25"/>
  <c r="G25" i="25"/>
  <c r="F49" i="21"/>
  <c r="H9" i="25"/>
  <c r="H11" i="25"/>
  <c r="H27" i="25"/>
  <c r="H21" i="25"/>
  <c r="H23" i="25"/>
  <c r="H25" i="25"/>
  <c r="H30" i="25"/>
  <c r="H33" i="25"/>
  <c r="H37" i="25"/>
  <c r="H39" i="25"/>
  <c r="G45" i="22"/>
  <c r="G44" i="23"/>
  <c r="G45" i="24"/>
  <c r="H14" i="25"/>
  <c r="H31" i="25"/>
  <c r="H28" i="25"/>
  <c r="H8" i="25"/>
  <c r="H10" i="25"/>
  <c r="H19" i="25"/>
  <c r="H40" i="25"/>
  <c r="H22" i="25"/>
  <c r="H24" i="25"/>
  <c r="H26" i="25"/>
  <c r="H32" i="25"/>
  <c r="H38" i="25"/>
  <c r="G44" i="24"/>
  <c r="H13" i="25"/>
  <c r="H17" i="25"/>
  <c r="H29" i="25"/>
  <c r="G45" i="21"/>
  <c r="G47" i="21"/>
  <c r="G49" i="21"/>
  <c r="I8" i="25"/>
  <c r="I10" i="25"/>
  <c r="H44" i="21"/>
  <c r="H44" i="23"/>
  <c r="H44" i="24"/>
  <c r="I9" i="25"/>
  <c r="I11" i="25"/>
  <c r="I18" i="25"/>
  <c r="H45" i="21"/>
  <c r="I30" i="25"/>
  <c r="I37" i="25"/>
  <c r="I39" i="25"/>
  <c r="H47" i="21"/>
  <c r="I12" i="25"/>
  <c r="I14" i="25"/>
  <c r="H45" i="24"/>
  <c r="K12" i="25"/>
  <c r="K31" i="25"/>
  <c r="I44" i="22"/>
  <c r="K34" i="25"/>
  <c r="K40" i="25"/>
  <c r="O32" i="24"/>
  <c r="K8" i="25"/>
  <c r="K22" i="25"/>
  <c r="K24" i="25"/>
  <c r="K26" i="25"/>
  <c r="K32" i="25"/>
  <c r="K38" i="25"/>
  <c r="I44" i="21"/>
  <c r="I47" i="21"/>
  <c r="I45" i="24"/>
  <c r="K10" i="25"/>
  <c r="K17" i="25"/>
  <c r="K19" i="25"/>
  <c r="K20" i="25"/>
  <c r="K36" i="25"/>
  <c r="O39" i="22"/>
  <c r="Q39" i="22" s="1"/>
  <c r="I43" i="21"/>
  <c r="I44" i="24"/>
  <c r="K7" i="25"/>
  <c r="K9" i="25"/>
  <c r="K11" i="25"/>
  <c r="K27" i="25"/>
  <c r="I49" i="21"/>
  <c r="L13" i="25"/>
  <c r="L29" i="25"/>
  <c r="J44" i="21"/>
  <c r="L11" i="25"/>
  <c r="L7" i="25"/>
  <c r="L21" i="25"/>
  <c r="L23" i="25"/>
  <c r="L25" i="25"/>
  <c r="L30" i="25"/>
  <c r="L33" i="25"/>
  <c r="L37" i="25"/>
  <c r="L39" i="25"/>
  <c r="J47" i="21"/>
  <c r="J44" i="24"/>
  <c r="L9" i="25"/>
  <c r="L14" i="25"/>
  <c r="L28" i="25"/>
  <c r="O33" i="23"/>
  <c r="L8" i="25"/>
  <c r="L10" i="25"/>
  <c r="L19" i="25"/>
  <c r="J45" i="21"/>
  <c r="L22" i="25"/>
  <c r="L24" i="25"/>
  <c r="L26" i="25"/>
  <c r="L38" i="25"/>
  <c r="O39" i="23"/>
  <c r="J49" i="21"/>
  <c r="M7" i="25"/>
  <c r="M8" i="25"/>
  <c r="M10" i="25"/>
  <c r="M34" i="25"/>
  <c r="K44" i="23"/>
  <c r="M9" i="25"/>
  <c r="M11" i="25"/>
  <c r="M18" i="25"/>
  <c r="K45" i="21"/>
  <c r="M21" i="25"/>
  <c r="M30" i="25"/>
  <c r="M37" i="25"/>
  <c r="M39" i="25"/>
  <c r="K44" i="21"/>
  <c r="M25" i="25"/>
  <c r="M28" i="25"/>
  <c r="M14" i="25"/>
  <c r="K43" i="21"/>
  <c r="K45" i="22"/>
  <c r="K44" i="24"/>
  <c r="K45" i="24"/>
  <c r="M23" i="25"/>
  <c r="O24" i="21"/>
  <c r="O18" i="25"/>
  <c r="O23" i="25"/>
  <c r="O37" i="25"/>
  <c r="O29" i="25"/>
  <c r="L44" i="24"/>
  <c r="O39" i="25"/>
  <c r="O9" i="25"/>
  <c r="O21" i="25"/>
  <c r="L44" i="21"/>
  <c r="O19" i="25"/>
  <c r="O32" i="25"/>
  <c r="O22" i="25"/>
  <c r="O10" i="24"/>
  <c r="E12" i="25"/>
  <c r="E43" i="21"/>
  <c r="E44" i="21"/>
  <c r="E19" i="25"/>
  <c r="E22" i="25"/>
  <c r="E24" i="25"/>
  <c r="E26" i="25"/>
  <c r="E32" i="25"/>
  <c r="E38" i="25"/>
  <c r="E46" i="21"/>
  <c r="O29" i="21"/>
  <c r="O37" i="23"/>
  <c r="E47" i="21"/>
  <c r="E13" i="25"/>
  <c r="E29" i="25"/>
  <c r="E36" i="25"/>
  <c r="E48" i="21"/>
  <c r="E49" i="21"/>
  <c r="E44" i="22"/>
  <c r="E44" i="23"/>
  <c r="E33" i="25"/>
  <c r="O25" i="24"/>
  <c r="O33" i="24"/>
  <c r="D44" i="23"/>
  <c r="D19" i="25"/>
  <c r="D40" i="25"/>
  <c r="O26" i="23"/>
  <c r="D43" i="21"/>
  <c r="D48" i="21"/>
  <c r="D44" i="24"/>
  <c r="O26" i="22"/>
  <c r="Q26" i="22" s="1"/>
  <c r="D22" i="25"/>
  <c r="D24" i="25"/>
  <c r="D26" i="25"/>
  <c r="D38" i="25"/>
  <c r="O7" i="22"/>
  <c r="Q7" i="22" s="1"/>
  <c r="O28" i="24"/>
  <c r="O29" i="24"/>
  <c r="D49" i="21"/>
  <c r="D45" i="24"/>
  <c r="D13" i="25"/>
  <c r="D29" i="25"/>
  <c r="O21" i="23"/>
  <c r="O32" i="23"/>
  <c r="D44" i="21"/>
  <c r="D44" i="22"/>
  <c r="O29" i="23"/>
  <c r="O21" i="24"/>
  <c r="D45" i="21"/>
  <c r="D33" i="25"/>
  <c r="D46" i="21"/>
  <c r="C28" i="25"/>
  <c r="C29" i="25"/>
  <c r="C21" i="25"/>
  <c r="C23" i="25"/>
  <c r="C25" i="25"/>
  <c r="O23" i="22"/>
  <c r="Q23" i="22" s="1"/>
  <c r="O23" i="23"/>
  <c r="C22" i="25"/>
  <c r="C24" i="25"/>
  <c r="C26" i="25"/>
  <c r="O7" i="21"/>
  <c r="C44" i="21"/>
  <c r="C44" i="24"/>
  <c r="C19" i="25"/>
  <c r="C18" i="25"/>
  <c r="O18" i="23"/>
  <c r="C13" i="25"/>
  <c r="O14" i="23"/>
  <c r="C7" i="25"/>
  <c r="C9" i="25"/>
  <c r="C11" i="25"/>
  <c r="O8" i="24"/>
  <c r="O33" i="21"/>
  <c r="O22" i="21"/>
  <c r="O26" i="21"/>
  <c r="M44" i="23"/>
  <c r="O18" i="21"/>
  <c r="P18" i="25"/>
  <c r="O28" i="22"/>
  <c r="Q28" i="22" s="1"/>
  <c r="O33" i="22"/>
  <c r="Q33" i="22" s="1"/>
  <c r="O37" i="22"/>
  <c r="Q37" i="22" s="1"/>
  <c r="O23" i="24"/>
  <c r="P21" i="25"/>
  <c r="P23" i="25"/>
  <c r="O28" i="23"/>
  <c r="O25" i="23"/>
  <c r="M44" i="21"/>
  <c r="P11" i="25"/>
  <c r="O37" i="24"/>
  <c r="O38" i="24"/>
  <c r="O39" i="24"/>
  <c r="O8" i="21"/>
  <c r="O10" i="21"/>
  <c r="O25" i="22"/>
  <c r="Q25" i="22" s="1"/>
  <c r="O22" i="23"/>
  <c r="O24" i="23"/>
  <c r="O38" i="21"/>
  <c r="O8" i="22"/>
  <c r="Q8" i="22" s="1"/>
  <c r="O13" i="21"/>
  <c r="O29" i="22"/>
  <c r="Q29" i="22" s="1"/>
  <c r="P32" i="25"/>
  <c r="O32" i="22"/>
  <c r="Q32" i="22" s="1"/>
  <c r="O38" i="22"/>
  <c r="Q38" i="22" s="1"/>
  <c r="O9" i="21"/>
  <c r="O11" i="21"/>
  <c r="O14" i="21"/>
  <c r="O19" i="21"/>
  <c r="O28" i="21"/>
  <c r="O10" i="22"/>
  <c r="Q10" i="22" s="1"/>
  <c r="O11" i="22"/>
  <c r="Q11" i="22" s="1"/>
  <c r="O11" i="23"/>
  <c r="O38" i="23"/>
  <c r="M44" i="24"/>
  <c r="P22" i="25"/>
  <c r="P24" i="25"/>
  <c r="P26" i="25"/>
  <c r="P33" i="25"/>
  <c r="O19" i="23"/>
  <c r="O22" i="24"/>
  <c r="O26" i="24"/>
  <c r="P9" i="25"/>
  <c r="O11" i="24"/>
  <c r="O24" i="24"/>
  <c r="P7" i="25"/>
  <c r="P8" i="25"/>
  <c r="P10" i="25"/>
  <c r="P29" i="25"/>
  <c r="O37" i="21"/>
  <c r="O39" i="21"/>
  <c r="O22" i="22"/>
  <c r="Q22" i="22" s="1"/>
  <c r="O24" i="22"/>
  <c r="Q24" i="22" s="1"/>
  <c r="O8" i="23"/>
  <c r="O10" i="23"/>
  <c r="O18" i="24"/>
  <c r="P38" i="25"/>
  <c r="O23" i="21"/>
  <c r="O32" i="21"/>
  <c r="P19" i="25"/>
  <c r="O21" i="21"/>
  <c r="P14" i="25"/>
  <c r="P13" i="25"/>
  <c r="O25" i="21"/>
  <c r="P25" i="25"/>
  <c r="O19" i="24"/>
  <c r="O14" i="24"/>
  <c r="O13" i="24"/>
  <c r="O9" i="24"/>
  <c r="O13" i="25"/>
  <c r="O13" i="23"/>
  <c r="O14" i="25"/>
  <c r="O9" i="23"/>
  <c r="O18" i="22"/>
  <c r="Q18" i="22" s="1"/>
  <c r="M44" i="22"/>
  <c r="O13" i="22"/>
  <c r="Q13" i="22" s="1"/>
  <c r="L44" i="22"/>
  <c r="O9" i="22"/>
  <c r="Q9" i="22" s="1"/>
  <c r="O21" i="22"/>
  <c r="Q21" i="22" s="1"/>
  <c r="O19" i="22"/>
  <c r="Q19" i="22" s="1"/>
  <c r="O14" i="22"/>
  <c r="Q14" i="22" s="1"/>
  <c r="O7" i="24"/>
  <c r="O7" i="23"/>
  <c r="Z29" i="27" l="1"/>
  <c r="I46" i="21"/>
  <c r="I35" i="21"/>
  <c r="H46" i="22"/>
  <c r="F46" i="22"/>
  <c r="P29" i="27"/>
  <c r="W31" i="27"/>
  <c r="J46" i="22"/>
  <c r="J46" i="21"/>
  <c r="I35" i="25"/>
  <c r="T29" i="27"/>
  <c r="L48" i="25"/>
  <c r="F32" i="25"/>
  <c r="M45" i="25"/>
  <c r="G46" i="22"/>
  <c r="X29" i="27"/>
  <c r="J12" i="25"/>
  <c r="J23" i="25"/>
  <c r="F24" i="25"/>
  <c r="R37" i="25"/>
  <c r="Q29" i="27"/>
  <c r="Y29" i="27"/>
  <c r="AA29" i="27"/>
  <c r="D16" i="25"/>
  <c r="D35" i="25" s="1"/>
  <c r="W29" i="27"/>
  <c r="F38" i="25"/>
  <c r="H35" i="25"/>
  <c r="L35" i="25"/>
  <c r="P35" i="25"/>
  <c r="J29" i="25"/>
  <c r="Q35" i="25"/>
  <c r="F39" i="25"/>
  <c r="R32" i="25"/>
  <c r="J28" i="25"/>
  <c r="F33" i="25"/>
  <c r="R19" i="25"/>
  <c r="N32" i="25"/>
  <c r="N38" i="25"/>
  <c r="J32" i="25"/>
  <c r="R13" i="25"/>
  <c r="O35" i="25"/>
  <c r="M35" i="25"/>
  <c r="N26" i="25"/>
  <c r="G35" i="25"/>
  <c r="J11" i="25"/>
  <c r="R28" i="25"/>
  <c r="N25" i="25"/>
  <c r="K35" i="25"/>
  <c r="N23" i="25"/>
  <c r="F26" i="25"/>
  <c r="R22" i="25"/>
  <c r="R29" i="25"/>
  <c r="F23" i="25"/>
  <c r="N14" i="25"/>
  <c r="N30" i="25"/>
  <c r="N11" i="25"/>
  <c r="N34" i="25"/>
  <c r="R25" i="25"/>
  <c r="N28" i="25"/>
  <c r="N21" i="25"/>
  <c r="J10" i="25"/>
  <c r="R23" i="25"/>
  <c r="R18" i="25"/>
  <c r="N9" i="25"/>
  <c r="N19" i="25"/>
  <c r="J38" i="25"/>
  <c r="F8" i="25"/>
  <c r="F11" i="25"/>
  <c r="N29" i="25"/>
  <c r="R26" i="25"/>
  <c r="R10" i="25"/>
  <c r="R21" i="25"/>
  <c r="N7" i="25"/>
  <c r="F7" i="25"/>
  <c r="J39" i="25"/>
  <c r="N33" i="25"/>
  <c r="R24" i="25"/>
  <c r="R8" i="25"/>
  <c r="R9" i="25"/>
  <c r="K48" i="25"/>
  <c r="N24" i="25"/>
  <c r="K47" i="25"/>
  <c r="N12" i="25"/>
  <c r="J26" i="25"/>
  <c r="F37" i="25"/>
  <c r="R7" i="25"/>
  <c r="J7" i="25"/>
  <c r="J8" i="25"/>
  <c r="J37" i="25"/>
  <c r="R11" i="25"/>
  <c r="R38" i="25"/>
  <c r="N18" i="25"/>
  <c r="R39" i="25"/>
  <c r="N10" i="25"/>
  <c r="N22" i="25"/>
  <c r="J24" i="25"/>
  <c r="J33" i="25"/>
  <c r="N37" i="25"/>
  <c r="R33" i="25"/>
  <c r="R14" i="25"/>
  <c r="N8" i="25"/>
  <c r="N13" i="25"/>
  <c r="N39" i="25"/>
  <c r="Q44" i="25"/>
  <c r="J18" i="25"/>
  <c r="E16" i="25"/>
  <c r="E35" i="25" s="1"/>
  <c r="J22" i="25"/>
  <c r="J30" i="25"/>
  <c r="J19" i="25"/>
  <c r="J34" i="25"/>
  <c r="J21" i="25"/>
  <c r="J14" i="25"/>
  <c r="J9" i="25"/>
  <c r="J13" i="25"/>
  <c r="J25" i="25"/>
  <c r="E46" i="22"/>
  <c r="F21" i="25"/>
  <c r="F19" i="25"/>
  <c r="F10" i="25"/>
  <c r="O16" i="21"/>
  <c r="O35" i="21" s="1"/>
  <c r="F14" i="25"/>
  <c r="F18" i="25"/>
  <c r="F29" i="25"/>
  <c r="F28" i="25"/>
  <c r="F25" i="25"/>
  <c r="O16" i="23"/>
  <c r="F9" i="25"/>
  <c r="F13" i="25"/>
  <c r="O16" i="22"/>
  <c r="F22" i="25"/>
  <c r="O16" i="24"/>
  <c r="H46" i="25"/>
  <c r="I45" i="25"/>
  <c r="K44" i="25"/>
  <c r="I44" i="25"/>
  <c r="H48" i="25"/>
  <c r="H47" i="25"/>
  <c r="O44" i="25"/>
  <c r="M43" i="25"/>
  <c r="L46" i="25"/>
  <c r="H43" i="25"/>
  <c r="H49" i="25"/>
  <c r="G43" i="25"/>
  <c r="G48" i="25"/>
  <c r="L49" i="25"/>
  <c r="L43" i="25"/>
  <c r="L47" i="25"/>
  <c r="G47" i="25"/>
  <c r="M44" i="25"/>
  <c r="K46" i="25"/>
  <c r="K49" i="25"/>
  <c r="G46" i="25"/>
  <c r="G45" i="25"/>
  <c r="G44" i="25"/>
  <c r="G49" i="25"/>
  <c r="H44" i="25"/>
  <c r="H45" i="25"/>
  <c r="I47" i="25"/>
  <c r="I43" i="25"/>
  <c r="K45" i="25"/>
  <c r="K43" i="25"/>
  <c r="L44" i="25"/>
  <c r="L45" i="25"/>
  <c r="M47" i="25"/>
  <c r="O44" i="22"/>
  <c r="O44" i="21"/>
  <c r="P44" i="25"/>
  <c r="O44" i="24"/>
  <c r="O44" i="23"/>
  <c r="C30" i="24"/>
  <c r="O35" i="22" l="1"/>
  <c r="Q35" i="22" s="1"/>
  <c r="Q16" i="22"/>
  <c r="S32" i="25"/>
  <c r="S38" i="25"/>
  <c r="S24" i="25"/>
  <c r="R35" i="25"/>
  <c r="S23" i="25"/>
  <c r="S11" i="25"/>
  <c r="N35" i="25"/>
  <c r="F35" i="25"/>
  <c r="J35" i="25"/>
  <c r="S26" i="25"/>
  <c r="S33" i="25"/>
  <c r="S39" i="25"/>
  <c r="S8" i="25"/>
  <c r="S37" i="25"/>
  <c r="S7" i="25"/>
  <c r="J44" i="25"/>
  <c r="S29" i="25"/>
  <c r="S22" i="25"/>
  <c r="S10" i="25"/>
  <c r="S25" i="25"/>
  <c r="S28" i="25"/>
  <c r="S18" i="25"/>
  <c r="S14" i="25"/>
  <c r="S21" i="25"/>
  <c r="S19" i="25"/>
  <c r="S9" i="25"/>
  <c r="S13" i="25"/>
  <c r="R44" i="25"/>
  <c r="J43" i="25"/>
  <c r="N44" i="25"/>
  <c r="N43" i="25"/>
  <c r="N45" i="25"/>
  <c r="N47" i="25"/>
  <c r="F44" i="25"/>
  <c r="J47" i="25"/>
  <c r="J45" i="25"/>
  <c r="C35" i="24"/>
  <c r="C34" i="24"/>
  <c r="C12" i="24"/>
  <c r="P167" i="27" s="1"/>
  <c r="S35" i="25" l="1"/>
  <c r="S44" i="25"/>
  <c r="C17" i="24"/>
  <c r="C45" i="24"/>
  <c r="C46" i="24"/>
  <c r="C47" i="24"/>
  <c r="C43" i="24"/>
  <c r="C48" i="24" l="1"/>
  <c r="P171" i="27"/>
  <c r="C20" i="24"/>
  <c r="C49" i="24" s="1"/>
  <c r="X15" i="20"/>
  <c r="X14" i="20"/>
  <c r="X13" i="20"/>
  <c r="X12" i="20"/>
  <c r="X11" i="20"/>
  <c r="X10" i="20"/>
  <c r="X9" i="20"/>
  <c r="X8" i="20"/>
  <c r="X7" i="20"/>
  <c r="C27" i="24" l="1"/>
  <c r="N34" i="20"/>
  <c r="N33" i="20"/>
  <c r="N32" i="20"/>
  <c r="N31" i="20"/>
  <c r="N28" i="20"/>
  <c r="N27" i="20"/>
  <c r="N25" i="20"/>
  <c r="N24" i="20"/>
  <c r="N23" i="20"/>
  <c r="N22" i="20"/>
  <c r="N21" i="20"/>
  <c r="N20" i="20"/>
  <c r="N18" i="20"/>
  <c r="N17" i="20"/>
  <c r="N14" i="20"/>
  <c r="N13" i="20"/>
  <c r="N11" i="20"/>
  <c r="N10" i="20"/>
  <c r="N9" i="20"/>
  <c r="N8" i="20"/>
  <c r="N7" i="20"/>
  <c r="C31" i="24" l="1"/>
  <c r="S37" i="20"/>
  <c r="S36" i="20"/>
  <c r="S31" i="20"/>
  <c r="S28" i="20"/>
  <c r="S27" i="20"/>
  <c r="S24" i="20"/>
  <c r="S21" i="20"/>
  <c r="S20" i="20"/>
  <c r="S18" i="20"/>
  <c r="S17" i="20"/>
  <c r="S14" i="20"/>
  <c r="S13" i="20"/>
  <c r="S10" i="20"/>
  <c r="S9" i="20"/>
  <c r="S7" i="20"/>
  <c r="C40" i="24" l="1"/>
  <c r="P175" i="27" s="1"/>
  <c r="C36" i="24"/>
  <c r="R31" i="20"/>
  <c r="R28" i="20"/>
  <c r="R27" i="20"/>
  <c r="R29" i="20" s="1"/>
  <c r="R24" i="20"/>
  <c r="R21" i="20"/>
  <c r="R20" i="20"/>
  <c r="R18" i="20"/>
  <c r="R17" i="20"/>
  <c r="R15" i="20"/>
  <c r="R34" i="20" s="1"/>
  <c r="R14" i="20"/>
  <c r="R13" i="20"/>
  <c r="R10" i="20"/>
  <c r="R12" i="20" s="1"/>
  <c r="R9" i="20"/>
  <c r="R7" i="20"/>
  <c r="N29" i="20"/>
  <c r="N15" i="20"/>
  <c r="N12" i="20"/>
  <c r="J31" i="20"/>
  <c r="J28" i="20"/>
  <c r="J29" i="20" s="1"/>
  <c r="J27" i="20"/>
  <c r="J24" i="20"/>
  <c r="J21" i="20"/>
  <c r="J20" i="20"/>
  <c r="J18" i="20"/>
  <c r="J17" i="20"/>
  <c r="J14" i="20"/>
  <c r="J13" i="20"/>
  <c r="J15" i="20" s="1"/>
  <c r="J10" i="20"/>
  <c r="J12" i="20" s="1"/>
  <c r="J9" i="20"/>
  <c r="J7" i="20"/>
  <c r="F28" i="20"/>
  <c r="F26" i="20"/>
  <c r="F19" i="20"/>
  <c r="F15" i="20"/>
  <c r="F34" i="20" s="1"/>
  <c r="F12" i="20"/>
  <c r="F33" i="20" s="1"/>
  <c r="F43" i="20"/>
  <c r="F29" i="20"/>
  <c r="F27" i="20"/>
  <c r="F24" i="20"/>
  <c r="F21" i="20"/>
  <c r="F20" i="20"/>
  <c r="F18" i="20"/>
  <c r="F17" i="20"/>
  <c r="F14" i="20"/>
  <c r="F13" i="20"/>
  <c r="F10" i="20"/>
  <c r="F9" i="20"/>
  <c r="F7" i="20"/>
  <c r="D29" i="20"/>
  <c r="D15" i="20"/>
  <c r="E44" i="20"/>
  <c r="E43" i="20"/>
  <c r="E33" i="20"/>
  <c r="E29" i="20"/>
  <c r="E15" i="20"/>
  <c r="E34" i="20" s="1"/>
  <c r="E12" i="20"/>
  <c r="E42" i="20" s="1"/>
  <c r="Q43" i="20"/>
  <c r="P43" i="20"/>
  <c r="O43" i="20"/>
  <c r="M43" i="20"/>
  <c r="L43" i="20"/>
  <c r="K43" i="20"/>
  <c r="I43" i="20"/>
  <c r="H43" i="20"/>
  <c r="G43" i="20"/>
  <c r="S29" i="20"/>
  <c r="Q29" i="20"/>
  <c r="P29" i="20"/>
  <c r="O29" i="20"/>
  <c r="M29" i="20"/>
  <c r="L29" i="20"/>
  <c r="K29" i="20"/>
  <c r="I29" i="20"/>
  <c r="H29" i="20"/>
  <c r="G29" i="20"/>
  <c r="S15" i="20"/>
  <c r="S34" i="20" s="1"/>
  <c r="Q15" i="20"/>
  <c r="Q34" i="20" s="1"/>
  <c r="P15" i="20"/>
  <c r="P34" i="20" s="1"/>
  <c r="O15" i="20"/>
  <c r="M15" i="20"/>
  <c r="M34" i="20" s="1"/>
  <c r="L15" i="20"/>
  <c r="L34" i="20" s="1"/>
  <c r="K15" i="20"/>
  <c r="K34" i="20" s="1"/>
  <c r="I15" i="20"/>
  <c r="I34" i="20" s="1"/>
  <c r="H15" i="20"/>
  <c r="H34" i="20" s="1"/>
  <c r="G15" i="20"/>
  <c r="G34" i="20" s="1"/>
  <c r="Q12" i="20"/>
  <c r="Q42" i="20" s="1"/>
  <c r="P12" i="20"/>
  <c r="P33" i="20" s="1"/>
  <c r="O12" i="20"/>
  <c r="O46" i="20" s="1"/>
  <c r="M12" i="20"/>
  <c r="M46" i="20" s="1"/>
  <c r="L12" i="20"/>
  <c r="L44" i="20" s="1"/>
  <c r="K12" i="20"/>
  <c r="K44" i="20" s="1"/>
  <c r="I12" i="20"/>
  <c r="I42" i="20" s="1"/>
  <c r="H12" i="20"/>
  <c r="H42" i="20" s="1"/>
  <c r="G12" i="20"/>
  <c r="G42" i="20" s="1"/>
  <c r="C43" i="20"/>
  <c r="C29" i="20"/>
  <c r="C15" i="20"/>
  <c r="C34" i="20" s="1"/>
  <c r="C12" i="20"/>
  <c r="C46" i="20" s="1"/>
  <c r="R33" i="20" l="1"/>
  <c r="R35" i="20" s="1"/>
  <c r="R39" i="20" s="1"/>
  <c r="R16" i="20"/>
  <c r="R19" i="20" s="1"/>
  <c r="R26" i="20" s="1"/>
  <c r="R30" i="20" s="1"/>
  <c r="N16" i="20"/>
  <c r="N19" i="20" s="1"/>
  <c r="N26" i="20" s="1"/>
  <c r="N30" i="20" s="1"/>
  <c r="J33" i="20"/>
  <c r="J34" i="20"/>
  <c r="J16" i="20"/>
  <c r="J19" i="20" s="1"/>
  <c r="J26" i="20" s="1"/>
  <c r="J30" i="20" s="1"/>
  <c r="S43" i="20"/>
  <c r="F30" i="20"/>
  <c r="F35" i="20" s="1"/>
  <c r="F39" i="20" s="1"/>
  <c r="F16" i="20"/>
  <c r="F47" i="20" s="1"/>
  <c r="F48" i="20"/>
  <c r="F45" i="20"/>
  <c r="F44" i="20"/>
  <c r="F42" i="20"/>
  <c r="F46" i="20"/>
  <c r="C33" i="20"/>
  <c r="E45" i="20"/>
  <c r="G33" i="20"/>
  <c r="E46" i="20"/>
  <c r="D34" i="20"/>
  <c r="D12" i="20"/>
  <c r="D45" i="20" s="1"/>
  <c r="D43" i="20"/>
  <c r="K33" i="20"/>
  <c r="L33" i="20"/>
  <c r="M33" i="20"/>
  <c r="O33" i="20"/>
  <c r="O45" i="20"/>
  <c r="H33" i="20"/>
  <c r="H32" i="20" s="1"/>
  <c r="Q33" i="20"/>
  <c r="E16" i="20"/>
  <c r="I33" i="20"/>
  <c r="I35" i="20" s="1"/>
  <c r="H46" i="20"/>
  <c r="O34" i="20"/>
  <c r="P16" i="20"/>
  <c r="P19" i="20" s="1"/>
  <c r="P26" i="20" s="1"/>
  <c r="M16" i="20"/>
  <c r="M19" i="20" s="1"/>
  <c r="M26" i="20" s="1"/>
  <c r="L42" i="20"/>
  <c r="I45" i="20"/>
  <c r="M42" i="20"/>
  <c r="H45" i="20"/>
  <c r="M44" i="20"/>
  <c r="P45" i="20"/>
  <c r="G45" i="20"/>
  <c r="Q45" i="20"/>
  <c r="K42" i="20"/>
  <c r="G46" i="20"/>
  <c r="C45" i="20"/>
  <c r="L46" i="20"/>
  <c r="K45" i="20"/>
  <c r="H16" i="20"/>
  <c r="H47" i="20" s="1"/>
  <c r="P46" i="20"/>
  <c r="G16" i="20"/>
  <c r="G47" i="20" s="1"/>
  <c r="L16" i="20"/>
  <c r="L19" i="20" s="1"/>
  <c r="L26" i="20" s="1"/>
  <c r="Q16" i="20"/>
  <c r="Q47" i="20" s="1"/>
  <c r="Q46" i="20"/>
  <c r="O44" i="20"/>
  <c r="I16" i="20"/>
  <c r="P44" i="20"/>
  <c r="L45" i="20"/>
  <c r="K16" i="20"/>
  <c r="O42" i="20"/>
  <c r="G44" i="20"/>
  <c r="Q44" i="20"/>
  <c r="M45" i="20"/>
  <c r="I46" i="20"/>
  <c r="P42" i="20"/>
  <c r="H44" i="20"/>
  <c r="K46" i="20"/>
  <c r="I44" i="20"/>
  <c r="O16" i="20"/>
  <c r="C42" i="20"/>
  <c r="C44" i="20"/>
  <c r="C16" i="20"/>
  <c r="N35" i="20" l="1"/>
  <c r="N39" i="20" s="1"/>
  <c r="J35" i="20"/>
  <c r="J39" i="20" s="1"/>
  <c r="S12" i="20"/>
  <c r="S33" i="20" s="1"/>
  <c r="Q19" i="20"/>
  <c r="Q26" i="20" s="1"/>
  <c r="Q30" i="20" s="1"/>
  <c r="Q35" i="20" s="1"/>
  <c r="Q39" i="20" s="1"/>
  <c r="P47" i="20"/>
  <c r="M47" i="20"/>
  <c r="D16" i="20"/>
  <c r="D44" i="20"/>
  <c r="D42" i="20"/>
  <c r="D46" i="20"/>
  <c r="D33" i="20"/>
  <c r="G19" i="20"/>
  <c r="G26" i="20" s="1"/>
  <c r="G30" i="20" s="1"/>
  <c r="G35" i="20" s="1"/>
  <c r="G39" i="20" s="1"/>
  <c r="E19" i="20"/>
  <c r="E47" i="20"/>
  <c r="H19" i="20"/>
  <c r="H26" i="20" s="1"/>
  <c r="H30" i="20" s="1"/>
  <c r="H35" i="20" s="1"/>
  <c r="H39" i="20" s="1"/>
  <c r="D19" i="20"/>
  <c r="D26" i="20" s="1"/>
  <c r="D47" i="20"/>
  <c r="L47" i="20"/>
  <c r="M48" i="20"/>
  <c r="M30" i="20"/>
  <c r="M35" i="20" s="1"/>
  <c r="M39" i="20" s="1"/>
  <c r="I19" i="20"/>
  <c r="I26" i="20" s="1"/>
  <c r="I47" i="20"/>
  <c r="O19" i="20"/>
  <c r="O26" i="20" s="1"/>
  <c r="O47" i="20"/>
  <c r="K47" i="20"/>
  <c r="K19" i="20"/>
  <c r="K26" i="20" s="1"/>
  <c r="L48" i="20"/>
  <c r="L30" i="20"/>
  <c r="L35" i="20" s="1"/>
  <c r="L39" i="20" s="1"/>
  <c r="P48" i="20"/>
  <c r="P30" i="20"/>
  <c r="P35" i="20" s="1"/>
  <c r="P39" i="20" s="1"/>
  <c r="C19" i="20"/>
  <c r="C26" i="20" s="1"/>
  <c r="C47" i="20"/>
  <c r="H28" i="2"/>
  <c r="I28" i="2" s="1"/>
  <c r="I26" i="2"/>
  <c r="I31" i="2"/>
  <c r="S42" i="20" l="1"/>
  <c r="S44" i="20"/>
  <c r="S45" i="20"/>
  <c r="S16" i="20"/>
  <c r="S47" i="20" s="1"/>
  <c r="S46" i="20"/>
  <c r="Q48" i="20"/>
  <c r="G48" i="20"/>
  <c r="E26" i="20"/>
  <c r="E30" i="20" s="1"/>
  <c r="E35" i="20" s="1"/>
  <c r="E39" i="20" s="1"/>
  <c r="E48" i="20"/>
  <c r="H48" i="20"/>
  <c r="D30" i="20"/>
  <c r="D35" i="20" s="1"/>
  <c r="D39" i="20" s="1"/>
  <c r="D48" i="20"/>
  <c r="I30" i="20"/>
  <c r="I39" i="20" s="1"/>
  <c r="I48" i="20"/>
  <c r="O48" i="20"/>
  <c r="O30" i="20"/>
  <c r="O35" i="20" s="1"/>
  <c r="O39" i="20" s="1"/>
  <c r="K30" i="20"/>
  <c r="K35" i="20" s="1"/>
  <c r="K39" i="20" s="1"/>
  <c r="K48" i="20"/>
  <c r="C48" i="20"/>
  <c r="C30" i="20"/>
  <c r="C35" i="20" s="1"/>
  <c r="C39" i="20" s="1"/>
  <c r="F38" i="15"/>
  <c r="E38" i="15"/>
  <c r="D38" i="15"/>
  <c r="C38" i="15"/>
  <c r="F37" i="15"/>
  <c r="E37" i="15"/>
  <c r="D37" i="15"/>
  <c r="C37" i="15"/>
  <c r="F33" i="15"/>
  <c r="E33" i="15"/>
  <c r="D33" i="15"/>
  <c r="C33" i="15"/>
  <c r="F32" i="15"/>
  <c r="E32" i="15"/>
  <c r="D32" i="15"/>
  <c r="C32" i="15"/>
  <c r="F29" i="15"/>
  <c r="E29" i="15"/>
  <c r="D29" i="15"/>
  <c r="C29" i="15"/>
  <c r="F28" i="15"/>
  <c r="E28" i="15"/>
  <c r="D28" i="15"/>
  <c r="C28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F23" i="15"/>
  <c r="E23" i="15"/>
  <c r="D23" i="15"/>
  <c r="C23" i="15"/>
  <c r="F22" i="15"/>
  <c r="E22" i="15"/>
  <c r="D22" i="15"/>
  <c r="C22" i="15"/>
  <c r="F21" i="15"/>
  <c r="E21" i="15"/>
  <c r="D21" i="15"/>
  <c r="C21" i="15"/>
  <c r="F19" i="15"/>
  <c r="E19" i="15"/>
  <c r="D19" i="15"/>
  <c r="C19" i="15"/>
  <c r="F18" i="15"/>
  <c r="E18" i="15"/>
  <c r="D18" i="15"/>
  <c r="C18" i="15"/>
  <c r="F14" i="15"/>
  <c r="E14" i="15"/>
  <c r="D14" i="15"/>
  <c r="C14" i="15"/>
  <c r="F13" i="15"/>
  <c r="E13" i="15"/>
  <c r="D13" i="15"/>
  <c r="C13" i="15"/>
  <c r="F11" i="15"/>
  <c r="E11" i="15"/>
  <c r="D11" i="15"/>
  <c r="C11" i="15"/>
  <c r="F10" i="15"/>
  <c r="E10" i="15"/>
  <c r="D10" i="15"/>
  <c r="C10" i="15"/>
  <c r="F9" i="15"/>
  <c r="E9" i="15"/>
  <c r="D9" i="15"/>
  <c r="C9" i="15"/>
  <c r="F8" i="15"/>
  <c r="E8" i="15"/>
  <c r="D8" i="15"/>
  <c r="C8" i="15"/>
  <c r="F7" i="15"/>
  <c r="E7" i="15"/>
  <c r="D7" i="15"/>
  <c r="C7" i="15"/>
  <c r="F38" i="14"/>
  <c r="E38" i="14"/>
  <c r="D38" i="14"/>
  <c r="C38" i="14"/>
  <c r="F37" i="14"/>
  <c r="E37" i="14"/>
  <c r="D37" i="14"/>
  <c r="C37" i="14"/>
  <c r="F33" i="14"/>
  <c r="E33" i="14"/>
  <c r="D33" i="14"/>
  <c r="C33" i="14"/>
  <c r="F32" i="14"/>
  <c r="E32" i="14"/>
  <c r="D32" i="14"/>
  <c r="C32" i="14"/>
  <c r="F29" i="14"/>
  <c r="E29" i="14"/>
  <c r="D29" i="14"/>
  <c r="C29" i="14"/>
  <c r="F28" i="14"/>
  <c r="E28" i="14"/>
  <c r="E30" i="14" s="1"/>
  <c r="D28" i="14"/>
  <c r="C28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19" i="14"/>
  <c r="E19" i="14"/>
  <c r="D19" i="14"/>
  <c r="C19" i="14"/>
  <c r="F18" i="14"/>
  <c r="E18" i="14"/>
  <c r="D18" i="14"/>
  <c r="C18" i="14"/>
  <c r="F14" i="14"/>
  <c r="E14" i="14"/>
  <c r="D14" i="14"/>
  <c r="C14" i="14"/>
  <c r="F13" i="14"/>
  <c r="E13" i="14"/>
  <c r="D13" i="14"/>
  <c r="C13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38" i="10"/>
  <c r="E38" i="10"/>
  <c r="D38" i="10"/>
  <c r="C38" i="10"/>
  <c r="F37" i="10"/>
  <c r="E37" i="10"/>
  <c r="D37" i="10"/>
  <c r="C37" i="10"/>
  <c r="F33" i="10"/>
  <c r="E33" i="10"/>
  <c r="D33" i="10"/>
  <c r="C33" i="10"/>
  <c r="F32" i="10"/>
  <c r="E32" i="10"/>
  <c r="D32" i="10"/>
  <c r="C32" i="10"/>
  <c r="F29" i="10"/>
  <c r="E29" i="10"/>
  <c r="D29" i="10"/>
  <c r="C29" i="10"/>
  <c r="F28" i="10"/>
  <c r="E28" i="10"/>
  <c r="D28" i="10"/>
  <c r="C28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19" i="10"/>
  <c r="E19" i="10"/>
  <c r="D19" i="10"/>
  <c r="C19" i="10"/>
  <c r="F18" i="10"/>
  <c r="E18" i="10"/>
  <c r="D18" i="10"/>
  <c r="C18" i="10"/>
  <c r="F14" i="10"/>
  <c r="E14" i="10"/>
  <c r="D14" i="10"/>
  <c r="C14" i="10"/>
  <c r="F13" i="10"/>
  <c r="E13" i="10"/>
  <c r="D13" i="10"/>
  <c r="C13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38" i="6"/>
  <c r="E38" i="6"/>
  <c r="D38" i="6"/>
  <c r="C38" i="6"/>
  <c r="F37" i="6"/>
  <c r="E37" i="6"/>
  <c r="D37" i="6"/>
  <c r="C37" i="6"/>
  <c r="F33" i="6"/>
  <c r="E33" i="6"/>
  <c r="D33" i="6"/>
  <c r="C33" i="6"/>
  <c r="F32" i="6"/>
  <c r="E32" i="6"/>
  <c r="D32" i="6"/>
  <c r="C32" i="6"/>
  <c r="F29" i="6"/>
  <c r="E29" i="6"/>
  <c r="D29" i="6"/>
  <c r="C29" i="6"/>
  <c r="F28" i="6"/>
  <c r="E28" i="6"/>
  <c r="D28" i="6"/>
  <c r="C28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19" i="6"/>
  <c r="E19" i="6"/>
  <c r="D19" i="6"/>
  <c r="C19" i="6"/>
  <c r="F18" i="6"/>
  <c r="E18" i="6"/>
  <c r="D18" i="6"/>
  <c r="C18" i="6"/>
  <c r="F14" i="6"/>
  <c r="E14" i="6"/>
  <c r="D14" i="6"/>
  <c r="C14" i="6"/>
  <c r="F13" i="6"/>
  <c r="F16" i="6" s="1"/>
  <c r="F35" i="6" s="1"/>
  <c r="E13" i="6"/>
  <c r="D13" i="6"/>
  <c r="C13" i="6"/>
  <c r="C16" i="6" s="1"/>
  <c r="C35" i="6" s="1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G44" i="17"/>
  <c r="G44" i="13"/>
  <c r="F44" i="18"/>
  <c r="E44" i="18"/>
  <c r="D44" i="18"/>
  <c r="C44" i="18"/>
  <c r="M30" i="23"/>
  <c r="M30" i="22"/>
  <c r="M30" i="21"/>
  <c r="F44" i="17"/>
  <c r="E44" i="17"/>
  <c r="D44" i="17"/>
  <c r="C44" i="17"/>
  <c r="F44" i="16"/>
  <c r="E44" i="16"/>
  <c r="D44" i="16"/>
  <c r="C44" i="16"/>
  <c r="N30" i="24"/>
  <c r="N30" i="22"/>
  <c r="N30" i="21"/>
  <c r="D47" i="16"/>
  <c r="C47" i="16"/>
  <c r="F44" i="13"/>
  <c r="E44" i="13"/>
  <c r="D44" i="13"/>
  <c r="C44" i="13"/>
  <c r="D46" i="13"/>
  <c r="D43" i="13"/>
  <c r="F44" i="12"/>
  <c r="E44" i="12"/>
  <c r="D44" i="12"/>
  <c r="C44" i="12"/>
  <c r="F43" i="12"/>
  <c r="F46" i="12"/>
  <c r="F47" i="12"/>
  <c r="C45" i="11"/>
  <c r="F44" i="11"/>
  <c r="E44" i="11"/>
  <c r="D44" i="11"/>
  <c r="C44" i="11"/>
  <c r="C47" i="11"/>
  <c r="C47" i="9"/>
  <c r="F44" i="9"/>
  <c r="E44" i="9"/>
  <c r="D44" i="9"/>
  <c r="C44" i="9"/>
  <c r="F43" i="9"/>
  <c r="F46" i="9"/>
  <c r="F47" i="9"/>
  <c r="F46" i="8"/>
  <c r="F44" i="8"/>
  <c r="E44" i="8"/>
  <c r="D44" i="8"/>
  <c r="C44" i="8"/>
  <c r="F43" i="8"/>
  <c r="F47" i="8"/>
  <c r="F45" i="7"/>
  <c r="F44" i="7"/>
  <c r="E44" i="7"/>
  <c r="D44" i="7"/>
  <c r="C44" i="7"/>
  <c r="F43" i="7"/>
  <c r="F47" i="7"/>
  <c r="D43" i="7"/>
  <c r="C45" i="5"/>
  <c r="F44" i="5"/>
  <c r="E44" i="5"/>
  <c r="D44" i="5"/>
  <c r="C44" i="5"/>
  <c r="F47" i="5"/>
  <c r="E43" i="5"/>
  <c r="C43" i="5"/>
  <c r="F45" i="4"/>
  <c r="F44" i="4"/>
  <c r="E44" i="4"/>
  <c r="D44" i="4"/>
  <c r="C44" i="4"/>
  <c r="F43" i="4"/>
  <c r="F47" i="4"/>
  <c r="D43" i="4"/>
  <c r="F44" i="3"/>
  <c r="E44" i="3"/>
  <c r="D44" i="3"/>
  <c r="C44" i="3"/>
  <c r="C30" i="23"/>
  <c r="C30" i="22"/>
  <c r="C30" i="21"/>
  <c r="C16" i="21"/>
  <c r="C12" i="21"/>
  <c r="P62" i="27" s="1"/>
  <c r="E16" i="15" l="1"/>
  <c r="E35" i="15" s="1"/>
  <c r="F16" i="15"/>
  <c r="F35" i="15" s="1"/>
  <c r="D16" i="15"/>
  <c r="D35" i="15" s="1"/>
  <c r="C16" i="15"/>
  <c r="C35" i="15" s="1"/>
  <c r="C16" i="14"/>
  <c r="C35" i="14" s="1"/>
  <c r="C16" i="10"/>
  <c r="C35" i="10" s="1"/>
  <c r="D16" i="14"/>
  <c r="D35" i="14" s="1"/>
  <c r="E16" i="14"/>
  <c r="E35" i="14" s="1"/>
  <c r="F16" i="14"/>
  <c r="F35" i="14" s="1"/>
  <c r="E16" i="10"/>
  <c r="E35" i="10" s="1"/>
  <c r="F16" i="10"/>
  <c r="F35" i="10" s="1"/>
  <c r="D16" i="10"/>
  <c r="D35" i="10" s="1"/>
  <c r="E16" i="6"/>
  <c r="E35" i="6" s="1"/>
  <c r="D16" i="6"/>
  <c r="D35" i="6" s="1"/>
  <c r="F46" i="16"/>
  <c r="N35" i="24"/>
  <c r="F47" i="16"/>
  <c r="N12" i="24"/>
  <c r="AA167" i="27" s="1"/>
  <c r="F43" i="16"/>
  <c r="N35" i="23"/>
  <c r="E43" i="16"/>
  <c r="N12" i="23"/>
  <c r="AA132" i="27" s="1"/>
  <c r="Q30" i="25"/>
  <c r="D43" i="16"/>
  <c r="N12" i="22"/>
  <c r="AA97" i="27" s="1"/>
  <c r="D45" i="16"/>
  <c r="D46" i="16"/>
  <c r="C46" i="16"/>
  <c r="C45" i="16"/>
  <c r="N12" i="21"/>
  <c r="AA62" i="27" s="1"/>
  <c r="N34" i="21"/>
  <c r="N20" i="21"/>
  <c r="G44" i="16"/>
  <c r="C30" i="25"/>
  <c r="F30" i="25" s="1"/>
  <c r="C30" i="10"/>
  <c r="E30" i="10"/>
  <c r="C12" i="10"/>
  <c r="F30" i="14"/>
  <c r="D38" i="19"/>
  <c r="G33" i="6"/>
  <c r="G38" i="6"/>
  <c r="C30" i="6"/>
  <c r="O30" i="22"/>
  <c r="Q30" i="22" s="1"/>
  <c r="O30" i="23"/>
  <c r="E30" i="6"/>
  <c r="C16" i="25"/>
  <c r="C35" i="25" s="1"/>
  <c r="C47" i="21"/>
  <c r="C46" i="21"/>
  <c r="C43" i="21"/>
  <c r="C45" i="21"/>
  <c r="D43" i="3"/>
  <c r="C12" i="22"/>
  <c r="P97" i="27" s="1"/>
  <c r="C34" i="22"/>
  <c r="G11" i="6"/>
  <c r="E47" i="3"/>
  <c r="C12" i="23"/>
  <c r="P132" i="27" s="1"/>
  <c r="P27" i="27" s="1"/>
  <c r="E30" i="15"/>
  <c r="G44" i="18"/>
  <c r="M12" i="21"/>
  <c r="Z62" i="27" s="1"/>
  <c r="M34" i="21"/>
  <c r="C47" i="18"/>
  <c r="F30" i="15"/>
  <c r="O30" i="21"/>
  <c r="M30" i="24"/>
  <c r="O30" i="24" s="1"/>
  <c r="H35" i="23"/>
  <c r="K35" i="23"/>
  <c r="K46" i="23"/>
  <c r="M12" i="24"/>
  <c r="Z167" i="27" s="1"/>
  <c r="L35" i="24"/>
  <c r="L12" i="24"/>
  <c r="Y167" i="27" s="1"/>
  <c r="L34" i="24"/>
  <c r="M35" i="23"/>
  <c r="M12" i="23"/>
  <c r="Z132" i="27" s="1"/>
  <c r="M34" i="23"/>
  <c r="L35" i="23"/>
  <c r="E47" i="17"/>
  <c r="L12" i="23"/>
  <c r="Y132" i="27" s="1"/>
  <c r="L34" i="23"/>
  <c r="M12" i="22"/>
  <c r="Z97" i="27" s="1"/>
  <c r="M34" i="22"/>
  <c r="L12" i="22"/>
  <c r="Y97" i="27" s="1"/>
  <c r="L34" i="22"/>
  <c r="C45" i="13"/>
  <c r="C43" i="13"/>
  <c r="C46" i="13"/>
  <c r="C45" i="12"/>
  <c r="C46" i="12"/>
  <c r="C43" i="11"/>
  <c r="C46" i="11"/>
  <c r="C46" i="9"/>
  <c r="C43" i="8"/>
  <c r="C45" i="8"/>
  <c r="C46" i="8"/>
  <c r="C46" i="5"/>
  <c r="C47" i="5"/>
  <c r="C46" i="4"/>
  <c r="C43" i="4"/>
  <c r="C47" i="3"/>
  <c r="C34" i="21"/>
  <c r="E46" i="13"/>
  <c r="E49" i="4"/>
  <c r="G10" i="10"/>
  <c r="C46" i="7"/>
  <c r="C44" i="10"/>
  <c r="G23" i="10"/>
  <c r="C43" i="7"/>
  <c r="C18" i="19"/>
  <c r="C23" i="19"/>
  <c r="C25" i="19"/>
  <c r="C32" i="19"/>
  <c r="G38" i="10"/>
  <c r="F46" i="13"/>
  <c r="G44" i="11"/>
  <c r="G19" i="14"/>
  <c r="F30" i="10"/>
  <c r="G19" i="10"/>
  <c r="G14" i="10"/>
  <c r="E46" i="7"/>
  <c r="G25" i="10"/>
  <c r="G32" i="10"/>
  <c r="G37" i="10"/>
  <c r="G8" i="10"/>
  <c r="F12" i="10"/>
  <c r="F34" i="10" s="1"/>
  <c r="F44" i="10"/>
  <c r="G11" i="10"/>
  <c r="G22" i="10"/>
  <c r="G24" i="10"/>
  <c r="G26" i="10"/>
  <c r="G33" i="10"/>
  <c r="G44" i="4"/>
  <c r="F44" i="6"/>
  <c r="E44" i="6"/>
  <c r="E12" i="6"/>
  <c r="F12" i="6"/>
  <c r="F34" i="6" s="1"/>
  <c r="G9" i="6"/>
  <c r="G14" i="6"/>
  <c r="G19" i="6"/>
  <c r="G22" i="6"/>
  <c r="F30" i="6"/>
  <c r="G24" i="6"/>
  <c r="G26" i="6"/>
  <c r="F11" i="19"/>
  <c r="F22" i="19"/>
  <c r="F24" i="19"/>
  <c r="F26" i="19"/>
  <c r="F29" i="19"/>
  <c r="F33" i="19"/>
  <c r="F38" i="19"/>
  <c r="G32" i="6"/>
  <c r="G37" i="6"/>
  <c r="G23" i="6"/>
  <c r="E43" i="12"/>
  <c r="E46" i="12"/>
  <c r="E48" i="11"/>
  <c r="E45" i="11"/>
  <c r="E43" i="11"/>
  <c r="E47" i="11"/>
  <c r="E46" i="11"/>
  <c r="E43" i="9"/>
  <c r="E46" i="9"/>
  <c r="E47" i="8"/>
  <c r="E46" i="8"/>
  <c r="E43" i="8"/>
  <c r="E43" i="7"/>
  <c r="E48" i="7"/>
  <c r="E47" i="7"/>
  <c r="G44" i="5"/>
  <c r="E47" i="5"/>
  <c r="E45" i="5"/>
  <c r="E46" i="5"/>
  <c r="G18" i="6"/>
  <c r="E46" i="4"/>
  <c r="E43" i="4"/>
  <c r="E47" i="4"/>
  <c r="E46" i="3"/>
  <c r="C35" i="23"/>
  <c r="G44" i="3"/>
  <c r="G8" i="6"/>
  <c r="E43" i="3"/>
  <c r="C34" i="23"/>
  <c r="D46" i="12"/>
  <c r="D43" i="12"/>
  <c r="D48" i="12"/>
  <c r="D45" i="12"/>
  <c r="G44" i="12"/>
  <c r="D30" i="14"/>
  <c r="D46" i="11"/>
  <c r="D43" i="11"/>
  <c r="G29" i="10"/>
  <c r="D46" i="9"/>
  <c r="G44" i="9"/>
  <c r="D43" i="9"/>
  <c r="D48" i="9"/>
  <c r="D45" i="9"/>
  <c r="D12" i="10"/>
  <c r="D34" i="10" s="1"/>
  <c r="D30" i="10"/>
  <c r="G28" i="10"/>
  <c r="G9" i="10"/>
  <c r="D43" i="8"/>
  <c r="D44" i="10"/>
  <c r="G44" i="8"/>
  <c r="D46" i="8"/>
  <c r="G21" i="10"/>
  <c r="G18" i="10"/>
  <c r="D46" i="7"/>
  <c r="G44" i="7"/>
  <c r="D47" i="7"/>
  <c r="D43" i="5"/>
  <c r="D30" i="6"/>
  <c r="G25" i="6"/>
  <c r="D46" i="4"/>
  <c r="D47" i="4"/>
  <c r="G29" i="6"/>
  <c r="G21" i="6"/>
  <c r="G10" i="6"/>
  <c r="G38" i="15"/>
  <c r="D46" i="18"/>
  <c r="E46" i="18"/>
  <c r="D23" i="19"/>
  <c r="F46" i="18"/>
  <c r="F47" i="18"/>
  <c r="D32" i="19"/>
  <c r="D21" i="19"/>
  <c r="D43" i="18"/>
  <c r="D45" i="18"/>
  <c r="E43" i="18"/>
  <c r="E45" i="18"/>
  <c r="C46" i="18"/>
  <c r="C45" i="18"/>
  <c r="M17" i="21"/>
  <c r="E44" i="15"/>
  <c r="G11" i="15"/>
  <c r="G14" i="15"/>
  <c r="G22" i="15"/>
  <c r="G24" i="15"/>
  <c r="G29" i="15"/>
  <c r="G33" i="15"/>
  <c r="C38" i="19"/>
  <c r="E10" i="19"/>
  <c r="E21" i="19"/>
  <c r="E23" i="19"/>
  <c r="E28" i="19"/>
  <c r="E32" i="19"/>
  <c r="F8" i="19"/>
  <c r="F10" i="19"/>
  <c r="F13" i="19"/>
  <c r="F21" i="19"/>
  <c r="F23" i="19"/>
  <c r="F25" i="19"/>
  <c r="F28" i="19"/>
  <c r="G28" i="15"/>
  <c r="G32" i="15"/>
  <c r="G10" i="15"/>
  <c r="D37" i="19"/>
  <c r="E37" i="19"/>
  <c r="G26" i="15"/>
  <c r="F37" i="19"/>
  <c r="E45" i="17"/>
  <c r="C9" i="19"/>
  <c r="C22" i="19"/>
  <c r="C24" i="19"/>
  <c r="C26" i="19"/>
  <c r="G21" i="15"/>
  <c r="G23" i="15"/>
  <c r="D30" i="15"/>
  <c r="D11" i="19"/>
  <c r="D22" i="19"/>
  <c r="D26" i="19"/>
  <c r="D33" i="19"/>
  <c r="E7" i="19"/>
  <c r="E9" i="19"/>
  <c r="E11" i="19"/>
  <c r="E14" i="19"/>
  <c r="E19" i="19"/>
  <c r="E29" i="19"/>
  <c r="E33" i="19"/>
  <c r="D9" i="19"/>
  <c r="D19" i="19"/>
  <c r="D24" i="19"/>
  <c r="D29" i="19"/>
  <c r="G37" i="15"/>
  <c r="C19" i="19"/>
  <c r="C14" i="19"/>
  <c r="C43" i="17"/>
  <c r="C46" i="17"/>
  <c r="D25" i="19"/>
  <c r="G18" i="15"/>
  <c r="D18" i="19"/>
  <c r="L17" i="22"/>
  <c r="Y101" i="27" s="1"/>
  <c r="F19" i="19"/>
  <c r="G19" i="15"/>
  <c r="F44" i="15"/>
  <c r="F43" i="17"/>
  <c r="F9" i="19"/>
  <c r="F45" i="17"/>
  <c r="F7" i="19"/>
  <c r="F47" i="17"/>
  <c r="L17" i="24"/>
  <c r="Y171" i="27" s="1"/>
  <c r="G25" i="15"/>
  <c r="E18" i="19"/>
  <c r="G8" i="15"/>
  <c r="D10" i="19"/>
  <c r="E13" i="19"/>
  <c r="E43" i="17"/>
  <c r="E46" i="17"/>
  <c r="G9" i="15"/>
  <c r="E8" i="19"/>
  <c r="E12" i="15"/>
  <c r="E34" i="15" s="1"/>
  <c r="D14" i="19"/>
  <c r="D13" i="19"/>
  <c r="D47" i="17"/>
  <c r="D7" i="19"/>
  <c r="D44" i="15"/>
  <c r="D46" i="17"/>
  <c r="D43" i="17"/>
  <c r="S19" i="20"/>
  <c r="S26" i="20" s="1"/>
  <c r="S30" i="20" s="1"/>
  <c r="S35" i="20" s="1"/>
  <c r="S39" i="20" s="1"/>
  <c r="G25" i="14"/>
  <c r="G29" i="14"/>
  <c r="G22" i="14"/>
  <c r="G24" i="14"/>
  <c r="G26" i="14"/>
  <c r="G38" i="14"/>
  <c r="D44" i="14"/>
  <c r="G13" i="14"/>
  <c r="C44" i="6"/>
  <c r="C7" i="19"/>
  <c r="G9" i="14"/>
  <c r="G11" i="14"/>
  <c r="G33" i="14"/>
  <c r="C11" i="19"/>
  <c r="C29" i="19"/>
  <c r="C33" i="19"/>
  <c r="E47" i="13"/>
  <c r="E22" i="19"/>
  <c r="E24" i="19"/>
  <c r="E26" i="19"/>
  <c r="E38" i="19"/>
  <c r="G23" i="14"/>
  <c r="E43" i="13"/>
  <c r="G8" i="14"/>
  <c r="G10" i="14"/>
  <c r="C44" i="14"/>
  <c r="G21" i="14"/>
  <c r="C30" i="14"/>
  <c r="G37" i="14"/>
  <c r="C8" i="19"/>
  <c r="C10" i="19"/>
  <c r="C13" i="19"/>
  <c r="C21" i="19"/>
  <c r="C28" i="19"/>
  <c r="C37" i="19"/>
  <c r="F44" i="14"/>
  <c r="G14" i="14"/>
  <c r="F14" i="19"/>
  <c r="F47" i="13"/>
  <c r="D12" i="14"/>
  <c r="D34" i="14" s="1"/>
  <c r="D8" i="19"/>
  <c r="D28" i="19"/>
  <c r="E25" i="19"/>
  <c r="G18" i="14"/>
  <c r="G32" i="14"/>
  <c r="F18" i="19"/>
  <c r="F32" i="19"/>
  <c r="C30" i="15"/>
  <c r="C44" i="15"/>
  <c r="G13" i="15"/>
  <c r="F12" i="15"/>
  <c r="F34" i="15" s="1"/>
  <c r="D12" i="15"/>
  <c r="D34" i="15" s="1"/>
  <c r="G7" i="15"/>
  <c r="C12" i="15"/>
  <c r="G28" i="14"/>
  <c r="E12" i="14"/>
  <c r="E34" i="14" s="1"/>
  <c r="F12" i="14"/>
  <c r="F34" i="14" s="1"/>
  <c r="E44" i="14"/>
  <c r="G7" i="14"/>
  <c r="C12" i="14"/>
  <c r="C34" i="14" s="1"/>
  <c r="G13" i="10"/>
  <c r="E12" i="10"/>
  <c r="E34" i="10" s="1"/>
  <c r="G7" i="10"/>
  <c r="E44" i="10"/>
  <c r="G28" i="6"/>
  <c r="G13" i="6"/>
  <c r="D44" i="6"/>
  <c r="C12" i="6"/>
  <c r="G7" i="6"/>
  <c r="D12" i="6"/>
  <c r="D34" i="6" s="1"/>
  <c r="F43" i="18"/>
  <c r="M17" i="23"/>
  <c r="F45" i="18"/>
  <c r="D47" i="18"/>
  <c r="E47" i="18"/>
  <c r="C43" i="18"/>
  <c r="D48" i="17"/>
  <c r="C45" i="17"/>
  <c r="F46" i="17"/>
  <c r="L17" i="21"/>
  <c r="Y66" i="27" s="1"/>
  <c r="D45" i="17"/>
  <c r="C47" i="17"/>
  <c r="F45" i="16"/>
  <c r="N17" i="24"/>
  <c r="E45" i="16"/>
  <c r="N17" i="23"/>
  <c r="E47" i="16"/>
  <c r="C43" i="16"/>
  <c r="E46" i="16"/>
  <c r="F48" i="13"/>
  <c r="F43" i="13"/>
  <c r="D45" i="13"/>
  <c r="E45" i="13"/>
  <c r="C47" i="13"/>
  <c r="F45" i="13"/>
  <c r="D47" i="13"/>
  <c r="E45" i="12"/>
  <c r="C47" i="12"/>
  <c r="F45" i="12"/>
  <c r="D47" i="12"/>
  <c r="E47" i="12"/>
  <c r="C43" i="12"/>
  <c r="F48" i="11"/>
  <c r="F46" i="11"/>
  <c r="F43" i="11"/>
  <c r="D45" i="11"/>
  <c r="F45" i="11"/>
  <c r="D47" i="11"/>
  <c r="F47" i="11"/>
  <c r="E45" i="9"/>
  <c r="H17" i="23"/>
  <c r="U136" i="27" s="1"/>
  <c r="U31" i="27" s="1"/>
  <c r="F45" i="9"/>
  <c r="D47" i="9"/>
  <c r="E47" i="9"/>
  <c r="C43" i="9"/>
  <c r="F49" i="8"/>
  <c r="D45" i="8"/>
  <c r="E45" i="8"/>
  <c r="C47" i="8"/>
  <c r="F48" i="8"/>
  <c r="F45" i="8"/>
  <c r="D47" i="8"/>
  <c r="F48" i="7"/>
  <c r="C45" i="7"/>
  <c r="F46" i="7"/>
  <c r="D45" i="7"/>
  <c r="E45" i="7"/>
  <c r="C47" i="7"/>
  <c r="D49" i="5"/>
  <c r="C48" i="5"/>
  <c r="F46" i="5"/>
  <c r="F43" i="5"/>
  <c r="D45" i="5"/>
  <c r="D47" i="5"/>
  <c r="F45" i="5"/>
  <c r="D46" i="5"/>
  <c r="F48" i="4"/>
  <c r="C45" i="4"/>
  <c r="F46" i="4"/>
  <c r="D45" i="4"/>
  <c r="E45" i="4"/>
  <c r="C47" i="4"/>
  <c r="C45" i="3"/>
  <c r="E45" i="3"/>
  <c r="C46" i="3"/>
  <c r="C43" i="3"/>
  <c r="D46" i="3"/>
  <c r="F46" i="3"/>
  <c r="F43" i="3"/>
  <c r="D45" i="3"/>
  <c r="C17" i="21"/>
  <c r="P66" i="27" s="1"/>
  <c r="C17" i="22"/>
  <c r="F45" i="3"/>
  <c r="D47" i="3"/>
  <c r="C17" i="23"/>
  <c r="F47" i="3"/>
  <c r="Y27" i="27" l="1"/>
  <c r="G16" i="15"/>
  <c r="G35" i="15" s="1"/>
  <c r="C16" i="19"/>
  <c r="C35" i="19" s="1"/>
  <c r="G29" i="19"/>
  <c r="M48" i="21"/>
  <c r="Z66" i="27"/>
  <c r="C48" i="22"/>
  <c r="P101" i="27"/>
  <c r="Z27" i="27"/>
  <c r="M48" i="23"/>
  <c r="Z136" i="27"/>
  <c r="C48" i="23"/>
  <c r="P136" i="27"/>
  <c r="N48" i="23"/>
  <c r="AA136" i="27"/>
  <c r="AA27" i="27"/>
  <c r="N48" i="24"/>
  <c r="AA171" i="27"/>
  <c r="D36" i="14"/>
  <c r="G16" i="14"/>
  <c r="G35" i="14" s="1"/>
  <c r="E36" i="14"/>
  <c r="F36" i="14"/>
  <c r="G16" i="10"/>
  <c r="G35" i="10" s="1"/>
  <c r="E16" i="19"/>
  <c r="E35" i="19" s="1"/>
  <c r="D16" i="19"/>
  <c r="D35" i="19" s="1"/>
  <c r="F16" i="19"/>
  <c r="F35" i="19" s="1"/>
  <c r="G16" i="6"/>
  <c r="G35" i="6" s="1"/>
  <c r="C36" i="14"/>
  <c r="C47" i="15"/>
  <c r="C34" i="15"/>
  <c r="C36" i="15" s="1"/>
  <c r="C43" i="10"/>
  <c r="C34" i="10"/>
  <c r="C36" i="10" s="1"/>
  <c r="C45" i="6"/>
  <c r="C34" i="6"/>
  <c r="C36" i="6" s="1"/>
  <c r="N47" i="24"/>
  <c r="N46" i="24"/>
  <c r="N43" i="24"/>
  <c r="N45" i="24"/>
  <c r="N34" i="24"/>
  <c r="F36" i="15"/>
  <c r="F36" i="10"/>
  <c r="F36" i="6"/>
  <c r="N34" i="23"/>
  <c r="N47" i="23"/>
  <c r="N46" i="23"/>
  <c r="N45" i="23"/>
  <c r="N43" i="23"/>
  <c r="E36" i="15"/>
  <c r="E36" i="10"/>
  <c r="E43" i="6"/>
  <c r="E34" i="6"/>
  <c r="E36" i="6" s="1"/>
  <c r="N17" i="22"/>
  <c r="D48" i="16"/>
  <c r="N27" i="22"/>
  <c r="N20" i="22"/>
  <c r="N49" i="22" s="1"/>
  <c r="N45" i="22"/>
  <c r="N46" i="22"/>
  <c r="N43" i="22"/>
  <c r="N47" i="22"/>
  <c r="N34" i="22"/>
  <c r="D36" i="15"/>
  <c r="D36" i="10"/>
  <c r="D36" i="6"/>
  <c r="C47" i="10"/>
  <c r="G45" i="16"/>
  <c r="G43" i="16"/>
  <c r="G47" i="16"/>
  <c r="G46" i="16"/>
  <c r="C48" i="16"/>
  <c r="N17" i="21"/>
  <c r="N49" i="21"/>
  <c r="Q12" i="25"/>
  <c r="N43" i="21"/>
  <c r="N47" i="21"/>
  <c r="N46" i="21"/>
  <c r="N45" i="21"/>
  <c r="C45" i="10"/>
  <c r="C17" i="10"/>
  <c r="C48" i="10" s="1"/>
  <c r="D43" i="14"/>
  <c r="O34" i="21"/>
  <c r="C43" i="22"/>
  <c r="C47" i="22"/>
  <c r="C46" i="22"/>
  <c r="C45" i="22"/>
  <c r="C17" i="25"/>
  <c r="C48" i="21"/>
  <c r="C46" i="23"/>
  <c r="C45" i="23"/>
  <c r="C47" i="23"/>
  <c r="C43" i="23"/>
  <c r="C34" i="25"/>
  <c r="F34" i="25" s="1"/>
  <c r="C12" i="25"/>
  <c r="F12" i="25" s="1"/>
  <c r="M46" i="21"/>
  <c r="P30" i="25"/>
  <c r="R30" i="25" s="1"/>
  <c r="S30" i="25" s="1"/>
  <c r="O34" i="23"/>
  <c r="M43" i="21"/>
  <c r="M47" i="21"/>
  <c r="M45" i="21"/>
  <c r="O12" i="21"/>
  <c r="M17" i="24"/>
  <c r="G44" i="15"/>
  <c r="M34" i="24"/>
  <c r="M35" i="24"/>
  <c r="L48" i="21"/>
  <c r="L46" i="21"/>
  <c r="I17" i="25"/>
  <c r="J17" i="25" s="1"/>
  <c r="H48" i="23"/>
  <c r="H46" i="23"/>
  <c r="K20" i="23"/>
  <c r="K49" i="23" s="1"/>
  <c r="K17" i="23"/>
  <c r="K17" i="22"/>
  <c r="X101" i="27" s="1"/>
  <c r="K46" i="22"/>
  <c r="M46" i="24"/>
  <c r="M43" i="24"/>
  <c r="M45" i="24"/>
  <c r="M47" i="24"/>
  <c r="F47" i="15"/>
  <c r="L48" i="24"/>
  <c r="L43" i="24"/>
  <c r="L46" i="24"/>
  <c r="L47" i="24"/>
  <c r="L45" i="24"/>
  <c r="O12" i="24"/>
  <c r="M45" i="23"/>
  <c r="M47" i="23"/>
  <c r="M46" i="23"/>
  <c r="M43" i="23"/>
  <c r="O12" i="25"/>
  <c r="O35" i="23"/>
  <c r="E43" i="15"/>
  <c r="E48" i="17"/>
  <c r="L17" i="23"/>
  <c r="Y136" i="27" s="1"/>
  <c r="Y31" i="27" s="1"/>
  <c r="L47" i="23"/>
  <c r="L45" i="23"/>
  <c r="L46" i="23"/>
  <c r="L43" i="23"/>
  <c r="O12" i="23"/>
  <c r="L20" i="23"/>
  <c r="D48" i="18"/>
  <c r="M17" i="22"/>
  <c r="Z101" i="27" s="1"/>
  <c r="G47" i="18"/>
  <c r="G46" i="18"/>
  <c r="G45" i="18"/>
  <c r="G43" i="18"/>
  <c r="P12" i="25"/>
  <c r="M45" i="22"/>
  <c r="M47" i="22"/>
  <c r="M46" i="22"/>
  <c r="M43" i="22"/>
  <c r="L20" i="22"/>
  <c r="O34" i="25"/>
  <c r="D45" i="15"/>
  <c r="G46" i="17"/>
  <c r="G47" i="17"/>
  <c r="G45" i="17"/>
  <c r="G43" i="17"/>
  <c r="L48" i="22"/>
  <c r="L46" i="22"/>
  <c r="L47" i="22"/>
  <c r="L45" i="22"/>
  <c r="L43" i="22"/>
  <c r="O12" i="22"/>
  <c r="Q12" i="22" s="1"/>
  <c r="G30" i="10"/>
  <c r="F17" i="10"/>
  <c r="F48" i="10" s="1"/>
  <c r="C48" i="12"/>
  <c r="C43" i="14"/>
  <c r="C47" i="14"/>
  <c r="C48" i="9"/>
  <c r="C46" i="10"/>
  <c r="C48" i="8"/>
  <c r="C43" i="6"/>
  <c r="E46" i="14"/>
  <c r="E45" i="14"/>
  <c r="G48" i="8"/>
  <c r="E48" i="4"/>
  <c r="D43" i="10"/>
  <c r="F43" i="10"/>
  <c r="G48" i="7"/>
  <c r="G48" i="13"/>
  <c r="F45" i="10"/>
  <c r="F47" i="10"/>
  <c r="F46" i="10"/>
  <c r="E45" i="6"/>
  <c r="F43" i="6"/>
  <c r="E17" i="6"/>
  <c r="E48" i="6" s="1"/>
  <c r="E47" i="6"/>
  <c r="E46" i="6"/>
  <c r="F46" i="6"/>
  <c r="F45" i="6"/>
  <c r="G30" i="6"/>
  <c r="F17" i="6"/>
  <c r="F20" i="6" s="1"/>
  <c r="F49" i="6" s="1"/>
  <c r="F47" i="6"/>
  <c r="F30" i="19"/>
  <c r="G44" i="14"/>
  <c r="E43" i="14"/>
  <c r="E47" i="10"/>
  <c r="E45" i="10"/>
  <c r="E17" i="10"/>
  <c r="E20" i="10" s="1"/>
  <c r="E27" i="10" s="1"/>
  <c r="G12" i="10"/>
  <c r="G34" i="10" s="1"/>
  <c r="G44" i="10"/>
  <c r="E43" i="10"/>
  <c r="E46" i="10"/>
  <c r="G46" i="5"/>
  <c r="G45" i="5"/>
  <c r="G43" i="5"/>
  <c r="G47" i="5"/>
  <c r="G45" i="4"/>
  <c r="G43" i="4"/>
  <c r="G47" i="4"/>
  <c r="G46" i="4"/>
  <c r="G12" i="6"/>
  <c r="G34" i="6" s="1"/>
  <c r="G44" i="6"/>
  <c r="G45" i="3"/>
  <c r="G47" i="3"/>
  <c r="G43" i="3"/>
  <c r="G46" i="3"/>
  <c r="G46" i="13"/>
  <c r="G45" i="13"/>
  <c r="G47" i="13"/>
  <c r="G43" i="13"/>
  <c r="G47" i="12"/>
  <c r="G43" i="12"/>
  <c r="G45" i="12"/>
  <c r="G46" i="12"/>
  <c r="D47" i="14"/>
  <c r="D17" i="14"/>
  <c r="D48" i="14" s="1"/>
  <c r="D45" i="14"/>
  <c r="G30" i="14"/>
  <c r="D46" i="14"/>
  <c r="G43" i="11"/>
  <c r="G46" i="11"/>
  <c r="G47" i="11"/>
  <c r="G45" i="11"/>
  <c r="D47" i="10"/>
  <c r="D45" i="10"/>
  <c r="D17" i="10"/>
  <c r="D48" i="10" s="1"/>
  <c r="G47" i="9"/>
  <c r="G45" i="9"/>
  <c r="G43" i="9"/>
  <c r="G46" i="9"/>
  <c r="G43" i="8"/>
  <c r="G47" i="8"/>
  <c r="G46" i="8"/>
  <c r="G45" i="8"/>
  <c r="D46" i="10"/>
  <c r="G43" i="7"/>
  <c r="G47" i="7"/>
  <c r="G45" i="7"/>
  <c r="G46" i="7"/>
  <c r="D48" i="5"/>
  <c r="D46" i="6"/>
  <c r="D45" i="6"/>
  <c r="D17" i="6"/>
  <c r="D20" i="6" s="1"/>
  <c r="G22" i="19"/>
  <c r="G30" i="15"/>
  <c r="G38" i="19"/>
  <c r="G32" i="19"/>
  <c r="C48" i="18"/>
  <c r="F44" i="19"/>
  <c r="D30" i="19"/>
  <c r="G25" i="19"/>
  <c r="G19" i="19"/>
  <c r="G11" i="19"/>
  <c r="E30" i="19"/>
  <c r="G21" i="19"/>
  <c r="G23" i="19"/>
  <c r="G37" i="19"/>
  <c r="G33" i="19"/>
  <c r="G26" i="19"/>
  <c r="G24" i="19"/>
  <c r="E12" i="19"/>
  <c r="E34" i="19" s="1"/>
  <c r="E44" i="19"/>
  <c r="L20" i="24"/>
  <c r="E47" i="15"/>
  <c r="F12" i="19"/>
  <c r="F34" i="19" s="1"/>
  <c r="E17" i="15"/>
  <c r="E20" i="15" s="1"/>
  <c r="E27" i="15" s="1"/>
  <c r="E45" i="15"/>
  <c r="G18" i="19"/>
  <c r="D44" i="19"/>
  <c r="G10" i="19"/>
  <c r="F48" i="17"/>
  <c r="G9" i="19"/>
  <c r="F17" i="15"/>
  <c r="F20" i="15" s="1"/>
  <c r="F27" i="15" s="1"/>
  <c r="F45" i="15"/>
  <c r="F46" i="15"/>
  <c r="F43" i="15"/>
  <c r="G7" i="19"/>
  <c r="D46" i="15"/>
  <c r="E46" i="15"/>
  <c r="G12" i="15"/>
  <c r="G34" i="15" s="1"/>
  <c r="G14" i="19"/>
  <c r="D12" i="19"/>
  <c r="D17" i="15"/>
  <c r="D43" i="15"/>
  <c r="D47" i="15"/>
  <c r="S48" i="20"/>
  <c r="C45" i="14"/>
  <c r="E47" i="14"/>
  <c r="C46" i="6"/>
  <c r="C17" i="6"/>
  <c r="C20" i="6" s="1"/>
  <c r="C27" i="6" s="1"/>
  <c r="G13" i="19"/>
  <c r="C46" i="14"/>
  <c r="E17" i="14"/>
  <c r="E20" i="14" s="1"/>
  <c r="E27" i="14" s="1"/>
  <c r="C44" i="19"/>
  <c r="G8" i="19"/>
  <c r="C12" i="19"/>
  <c r="F17" i="14"/>
  <c r="F48" i="14" s="1"/>
  <c r="G12" i="14"/>
  <c r="C17" i="14"/>
  <c r="C20" i="14" s="1"/>
  <c r="C27" i="14" s="1"/>
  <c r="G28" i="19"/>
  <c r="C30" i="19"/>
  <c r="C45" i="15"/>
  <c r="C17" i="15"/>
  <c r="C43" i="15"/>
  <c r="C46" i="15"/>
  <c r="F47" i="14"/>
  <c r="F45" i="14"/>
  <c r="F43" i="14"/>
  <c r="F46" i="14"/>
  <c r="C47" i="6"/>
  <c r="D47" i="6"/>
  <c r="D43" i="6"/>
  <c r="F48" i="18"/>
  <c r="E48" i="18"/>
  <c r="D49" i="17"/>
  <c r="L20" i="21"/>
  <c r="C48" i="17"/>
  <c r="D49" i="16"/>
  <c r="C49" i="16"/>
  <c r="E48" i="16"/>
  <c r="F48" i="16"/>
  <c r="D48" i="13"/>
  <c r="C48" i="13"/>
  <c r="E48" i="13"/>
  <c r="F49" i="13"/>
  <c r="C49" i="12"/>
  <c r="F48" i="12"/>
  <c r="E48" i="12"/>
  <c r="D49" i="12"/>
  <c r="D48" i="11"/>
  <c r="F49" i="11"/>
  <c r="C48" i="11"/>
  <c r="D49" i="9"/>
  <c r="C49" i="9"/>
  <c r="H20" i="23"/>
  <c r="E48" i="9"/>
  <c r="F48" i="9"/>
  <c r="E48" i="8"/>
  <c r="D48" i="8"/>
  <c r="C49" i="8"/>
  <c r="D48" i="7"/>
  <c r="C48" i="7"/>
  <c r="F49" i="7"/>
  <c r="E48" i="5"/>
  <c r="F48" i="5"/>
  <c r="D48" i="4"/>
  <c r="C48" i="4"/>
  <c r="F49" i="4"/>
  <c r="F48" i="3"/>
  <c r="C20" i="23"/>
  <c r="C49" i="23" s="1"/>
  <c r="E48" i="3"/>
  <c r="C48" i="3"/>
  <c r="C20" i="21"/>
  <c r="C20" i="22"/>
  <c r="C49" i="22" s="1"/>
  <c r="D48" i="3"/>
  <c r="I20" i="2"/>
  <c r="I15" i="2"/>
  <c r="G12" i="2"/>
  <c r="H12" i="2"/>
  <c r="H11" i="2"/>
  <c r="G11" i="2"/>
  <c r="F11" i="2"/>
  <c r="F8" i="2"/>
  <c r="F12" i="2" s="1"/>
  <c r="F36" i="19" l="1"/>
  <c r="E36" i="19"/>
  <c r="C34" i="19"/>
  <c r="C36" i="19" s="1"/>
  <c r="P31" i="27"/>
  <c r="G34" i="14"/>
  <c r="O17" i="21"/>
  <c r="O48" i="21" s="1"/>
  <c r="AA66" i="27"/>
  <c r="N48" i="22"/>
  <c r="AA101" i="27"/>
  <c r="K48" i="23"/>
  <c r="X136" i="27"/>
  <c r="X31" i="27" s="1"/>
  <c r="M48" i="24"/>
  <c r="Z171" i="27"/>
  <c r="Z31" i="27" s="1"/>
  <c r="O47" i="25"/>
  <c r="R12" i="25"/>
  <c r="S12" i="25" s="1"/>
  <c r="C20" i="10"/>
  <c r="C27" i="10" s="1"/>
  <c r="C31" i="10" s="1"/>
  <c r="C40" i="10" s="1"/>
  <c r="G16" i="19"/>
  <c r="G35" i="19" s="1"/>
  <c r="F17" i="25"/>
  <c r="O17" i="22"/>
  <c r="N27" i="24"/>
  <c r="N20" i="24"/>
  <c r="N49" i="24" s="1"/>
  <c r="O34" i="24"/>
  <c r="F20" i="10"/>
  <c r="F27" i="10" s="1"/>
  <c r="F31" i="10" s="1"/>
  <c r="F40" i="10" s="1"/>
  <c r="Q34" i="25"/>
  <c r="N27" i="23"/>
  <c r="N20" i="23"/>
  <c r="M20" i="23"/>
  <c r="M49" i="23" s="1"/>
  <c r="G48" i="16"/>
  <c r="O34" i="22"/>
  <c r="Q34" i="22" s="1"/>
  <c r="G36" i="15"/>
  <c r="G36" i="10"/>
  <c r="N31" i="22"/>
  <c r="Q45" i="25"/>
  <c r="Q43" i="25"/>
  <c r="Q46" i="25"/>
  <c r="Q47" i="25"/>
  <c r="N27" i="21"/>
  <c r="Q17" i="25"/>
  <c r="Q48" i="25" s="1"/>
  <c r="N48" i="21"/>
  <c r="G49" i="16"/>
  <c r="O17" i="24"/>
  <c r="O48" i="24" s="1"/>
  <c r="F27" i="6"/>
  <c r="F31" i="6" s="1"/>
  <c r="F40" i="6" s="1"/>
  <c r="F43" i="25"/>
  <c r="F47" i="25"/>
  <c r="F45" i="25"/>
  <c r="F46" i="25"/>
  <c r="C20" i="25"/>
  <c r="C49" i="21"/>
  <c r="P34" i="25"/>
  <c r="O46" i="21"/>
  <c r="O43" i="21"/>
  <c r="O47" i="21"/>
  <c r="O45" i="21"/>
  <c r="O35" i="24"/>
  <c r="M20" i="24"/>
  <c r="M49" i="24" s="1"/>
  <c r="C49" i="18"/>
  <c r="M20" i="21"/>
  <c r="M49" i="21" s="1"/>
  <c r="L49" i="21"/>
  <c r="J46" i="25"/>
  <c r="I46" i="25"/>
  <c r="I20" i="25"/>
  <c r="J20" i="25" s="1"/>
  <c r="H49" i="23"/>
  <c r="J48" i="25"/>
  <c r="I48" i="25"/>
  <c r="K27" i="23"/>
  <c r="N46" i="25"/>
  <c r="M46" i="25"/>
  <c r="M17" i="25"/>
  <c r="N17" i="25" s="1"/>
  <c r="K48" i="22"/>
  <c r="K20" i="22"/>
  <c r="K27" i="22"/>
  <c r="O43" i="25"/>
  <c r="L49" i="24"/>
  <c r="O45" i="25"/>
  <c r="O46" i="25"/>
  <c r="O43" i="24"/>
  <c r="O47" i="24"/>
  <c r="O45" i="24"/>
  <c r="O46" i="24"/>
  <c r="E49" i="17"/>
  <c r="L48" i="23"/>
  <c r="O17" i="23"/>
  <c r="O48" i="23" s="1"/>
  <c r="O20" i="25"/>
  <c r="L49" i="23"/>
  <c r="O45" i="23"/>
  <c r="O43" i="23"/>
  <c r="O46" i="23"/>
  <c r="O47" i="23"/>
  <c r="O17" i="25"/>
  <c r="G48" i="18"/>
  <c r="P17" i="25"/>
  <c r="M48" i="22"/>
  <c r="P43" i="25"/>
  <c r="P47" i="25"/>
  <c r="P46" i="25"/>
  <c r="P45" i="25"/>
  <c r="D49" i="18"/>
  <c r="M20" i="22"/>
  <c r="L49" i="22"/>
  <c r="G48" i="17"/>
  <c r="O47" i="22"/>
  <c r="O43" i="22"/>
  <c r="O46" i="22"/>
  <c r="O45" i="22"/>
  <c r="L27" i="22"/>
  <c r="G47" i="15"/>
  <c r="G46" i="15"/>
  <c r="G45" i="15"/>
  <c r="G43" i="15"/>
  <c r="C48" i="14"/>
  <c r="C49" i="5"/>
  <c r="E49" i="11"/>
  <c r="E31" i="14"/>
  <c r="E40" i="14" s="1"/>
  <c r="D43" i="19"/>
  <c r="D34" i="19"/>
  <c r="D36" i="19" s="1"/>
  <c r="G48" i="11"/>
  <c r="G17" i="10"/>
  <c r="E49" i="7"/>
  <c r="G17" i="6"/>
  <c r="G20" i="6" s="1"/>
  <c r="E20" i="6"/>
  <c r="E49" i="6" s="1"/>
  <c r="F48" i="6"/>
  <c r="F43" i="19"/>
  <c r="E49" i="14"/>
  <c r="E48" i="14"/>
  <c r="G47" i="14"/>
  <c r="G43" i="14"/>
  <c r="G46" i="14"/>
  <c r="G45" i="14"/>
  <c r="G48" i="9"/>
  <c r="E48" i="10"/>
  <c r="G43" i="10"/>
  <c r="G45" i="10"/>
  <c r="G47" i="10"/>
  <c r="G46" i="10"/>
  <c r="G48" i="5"/>
  <c r="G48" i="4"/>
  <c r="G44" i="19"/>
  <c r="G49" i="4"/>
  <c r="G48" i="3"/>
  <c r="G46" i="6"/>
  <c r="G45" i="6"/>
  <c r="G43" i="6"/>
  <c r="G47" i="6"/>
  <c r="G36" i="6"/>
  <c r="G48" i="12"/>
  <c r="D20" i="14"/>
  <c r="G17" i="14"/>
  <c r="G49" i="11"/>
  <c r="D20" i="10"/>
  <c r="G49" i="9"/>
  <c r="D48" i="6"/>
  <c r="M27" i="21"/>
  <c r="E46" i="19"/>
  <c r="L27" i="24"/>
  <c r="E43" i="19"/>
  <c r="E45" i="19"/>
  <c r="E47" i="19"/>
  <c r="F45" i="19"/>
  <c r="G30" i="19"/>
  <c r="F48" i="15"/>
  <c r="E48" i="15"/>
  <c r="F49" i="17"/>
  <c r="E17" i="19"/>
  <c r="F46" i="19"/>
  <c r="F47" i="19"/>
  <c r="D45" i="19"/>
  <c r="D47" i="19"/>
  <c r="G17" i="15"/>
  <c r="G12" i="19"/>
  <c r="D17" i="19"/>
  <c r="D48" i="19" s="1"/>
  <c r="D46" i="19"/>
  <c r="D48" i="15"/>
  <c r="D20" i="15"/>
  <c r="D27" i="15" s="1"/>
  <c r="C48" i="6"/>
  <c r="F17" i="19"/>
  <c r="C17" i="19"/>
  <c r="C43" i="19"/>
  <c r="C47" i="19"/>
  <c r="F20" i="14"/>
  <c r="F27" i="14" s="1"/>
  <c r="C45" i="19"/>
  <c r="C46" i="19"/>
  <c r="C48" i="15"/>
  <c r="C20" i="15"/>
  <c r="C27" i="15" s="1"/>
  <c r="E49" i="18"/>
  <c r="M27" i="23"/>
  <c r="F49" i="18"/>
  <c r="C49" i="17"/>
  <c r="F49" i="16"/>
  <c r="E49" i="16"/>
  <c r="F49" i="15"/>
  <c r="F31" i="15"/>
  <c r="F40" i="15" s="1"/>
  <c r="E49" i="15"/>
  <c r="E31" i="15"/>
  <c r="E40" i="15" s="1"/>
  <c r="C49" i="14"/>
  <c r="C31" i="14"/>
  <c r="C40" i="14" s="1"/>
  <c r="D49" i="13"/>
  <c r="E49" i="13"/>
  <c r="C49" i="13"/>
  <c r="E49" i="12"/>
  <c r="F49" i="12"/>
  <c r="D49" i="11"/>
  <c r="C49" i="11"/>
  <c r="E49" i="10"/>
  <c r="E31" i="10"/>
  <c r="E40" i="10" s="1"/>
  <c r="F49" i="9"/>
  <c r="E49" i="9"/>
  <c r="D49" i="8"/>
  <c r="E49" i="8"/>
  <c r="D49" i="7"/>
  <c r="C49" i="7"/>
  <c r="C31" i="6"/>
  <c r="C40" i="6" s="1"/>
  <c r="C49" i="6"/>
  <c r="D49" i="6"/>
  <c r="D27" i="6"/>
  <c r="D31" i="6" s="1"/>
  <c r="D40" i="6" s="1"/>
  <c r="E49" i="5"/>
  <c r="F49" i="5"/>
  <c r="C49" i="4"/>
  <c r="D49" i="4"/>
  <c r="E49" i="3"/>
  <c r="F49" i="3"/>
  <c r="D49" i="3"/>
  <c r="C49" i="3"/>
  <c r="J15" i="2"/>
  <c r="K15" i="2" s="1"/>
  <c r="I12" i="2"/>
  <c r="I11" i="2"/>
  <c r="I19" i="2"/>
  <c r="I16" i="2"/>
  <c r="J16" i="2" s="1"/>
  <c r="K16" i="2" s="1"/>
  <c r="AA31" i="27" l="1"/>
  <c r="O48" i="22"/>
  <c r="Q17" i="22"/>
  <c r="G34" i="19"/>
  <c r="G36" i="19" s="1"/>
  <c r="C49" i="10"/>
  <c r="G36" i="14"/>
  <c r="R34" i="25"/>
  <c r="S34" i="25" s="1"/>
  <c r="O49" i="25"/>
  <c r="O48" i="25"/>
  <c r="R17" i="25"/>
  <c r="S17" i="25" s="1"/>
  <c r="F20" i="25"/>
  <c r="F48" i="25"/>
  <c r="O20" i="23"/>
  <c r="O49" i="23" s="1"/>
  <c r="Q27" i="25"/>
  <c r="F49" i="10"/>
  <c r="N49" i="23"/>
  <c r="Q20" i="25"/>
  <c r="Q49" i="25" s="1"/>
  <c r="M27" i="25"/>
  <c r="N27" i="25" s="1"/>
  <c r="R47" i="25"/>
  <c r="D27" i="14"/>
  <c r="D31" i="14" s="1"/>
  <c r="D40" i="14" s="1"/>
  <c r="D49" i="14"/>
  <c r="D49" i="10"/>
  <c r="D27" i="10"/>
  <c r="D31" i="10" s="1"/>
  <c r="D40" i="10" s="1"/>
  <c r="N31" i="24"/>
  <c r="N31" i="23"/>
  <c r="N40" i="22"/>
  <c r="AA105" i="27" s="1"/>
  <c r="N36" i="22"/>
  <c r="N31" i="21"/>
  <c r="R45" i="25"/>
  <c r="C31" i="21"/>
  <c r="C27" i="21"/>
  <c r="C27" i="23"/>
  <c r="C27" i="22"/>
  <c r="O20" i="21"/>
  <c r="O49" i="21" s="1"/>
  <c r="R43" i="25"/>
  <c r="O20" i="24"/>
  <c r="O49" i="24" s="1"/>
  <c r="M31" i="21"/>
  <c r="L27" i="21"/>
  <c r="H27" i="23"/>
  <c r="I27" i="25" s="1"/>
  <c r="J27" i="25" s="1"/>
  <c r="I49" i="25"/>
  <c r="J49" i="25"/>
  <c r="S46" i="25"/>
  <c r="K31" i="23"/>
  <c r="M20" i="25"/>
  <c r="N20" i="25" s="1"/>
  <c r="K49" i="22"/>
  <c r="N48" i="25"/>
  <c r="M48" i="25"/>
  <c r="O20" i="22"/>
  <c r="M27" i="24"/>
  <c r="O27" i="24" s="1"/>
  <c r="L31" i="24"/>
  <c r="R46" i="25"/>
  <c r="L27" i="23"/>
  <c r="P48" i="25"/>
  <c r="P20" i="25"/>
  <c r="M49" i="22"/>
  <c r="G49" i="18"/>
  <c r="M27" i="22"/>
  <c r="S43" i="25"/>
  <c r="S47" i="25"/>
  <c r="S45" i="25"/>
  <c r="G20" i="15"/>
  <c r="G27" i="15" s="1"/>
  <c r="G48" i="15"/>
  <c r="L31" i="22"/>
  <c r="G49" i="17"/>
  <c r="G20" i="10"/>
  <c r="G27" i="10" s="1"/>
  <c r="G49" i="8"/>
  <c r="G49" i="7"/>
  <c r="G48" i="10"/>
  <c r="G49" i="13"/>
  <c r="F49" i="14"/>
  <c r="F31" i="14"/>
  <c r="F40" i="14" s="1"/>
  <c r="G48" i="6"/>
  <c r="E27" i="6"/>
  <c r="E31" i="6" s="1"/>
  <c r="E40" i="6" s="1"/>
  <c r="G20" i="14"/>
  <c r="G48" i="14"/>
  <c r="G49" i="5"/>
  <c r="G43" i="19"/>
  <c r="G46" i="19"/>
  <c r="G45" i="19"/>
  <c r="G47" i="19"/>
  <c r="G49" i="3"/>
  <c r="G27" i="6"/>
  <c r="G31" i="6" s="1"/>
  <c r="G40" i="6" s="1"/>
  <c r="G49" i="6"/>
  <c r="G49" i="12"/>
  <c r="M31" i="23"/>
  <c r="E20" i="19"/>
  <c r="E27" i="19" s="1"/>
  <c r="E48" i="19"/>
  <c r="D20" i="19"/>
  <c r="G17" i="19"/>
  <c r="D49" i="15"/>
  <c r="D31" i="15"/>
  <c r="D40" i="15" s="1"/>
  <c r="C48" i="19"/>
  <c r="C20" i="19"/>
  <c r="F48" i="19"/>
  <c r="F20" i="19"/>
  <c r="F27" i="19" s="1"/>
  <c r="C49" i="15"/>
  <c r="C31" i="15"/>
  <c r="C40" i="15" s="1"/>
  <c r="R20" i="25" l="1"/>
  <c r="S20" i="25" s="1"/>
  <c r="O49" i="22"/>
  <c r="Q20" i="22"/>
  <c r="C27" i="19"/>
  <c r="C31" i="19" s="1"/>
  <c r="G27" i="14"/>
  <c r="G31" i="14" s="1"/>
  <c r="F49" i="25"/>
  <c r="Q31" i="25"/>
  <c r="N40" i="23"/>
  <c r="AA140" i="27" s="1"/>
  <c r="N36" i="23"/>
  <c r="N40" i="24"/>
  <c r="AA175" i="27" s="1"/>
  <c r="N36" i="24"/>
  <c r="N40" i="21"/>
  <c r="AA70" i="27" s="1"/>
  <c r="N36" i="21"/>
  <c r="C36" i="21"/>
  <c r="O27" i="21"/>
  <c r="C31" i="22"/>
  <c r="C31" i="23"/>
  <c r="C27" i="25"/>
  <c r="F27" i="25" s="1"/>
  <c r="O27" i="23"/>
  <c r="M36" i="21"/>
  <c r="L31" i="21"/>
  <c r="O31" i="21" s="1"/>
  <c r="P27" i="25"/>
  <c r="G49" i="10"/>
  <c r="H31" i="23"/>
  <c r="I31" i="25" s="1"/>
  <c r="J31" i="25" s="1"/>
  <c r="K40" i="23"/>
  <c r="X140" i="27" s="1"/>
  <c r="K36" i="23"/>
  <c r="M49" i="25"/>
  <c r="N49" i="25"/>
  <c r="K31" i="22"/>
  <c r="M31" i="25" s="1"/>
  <c r="N31" i="25" s="1"/>
  <c r="M31" i="24"/>
  <c r="O31" i="24" s="1"/>
  <c r="L36" i="24"/>
  <c r="O27" i="25"/>
  <c r="L31" i="23"/>
  <c r="P49" i="25"/>
  <c r="S48" i="25"/>
  <c r="R48" i="25"/>
  <c r="M31" i="22"/>
  <c r="O27" i="22"/>
  <c r="Q27" i="22" s="1"/>
  <c r="L40" i="22"/>
  <c r="Y105" i="27" s="1"/>
  <c r="L36" i="22"/>
  <c r="G49" i="15"/>
  <c r="G31" i="15"/>
  <c r="G40" i="15" s="1"/>
  <c r="G31" i="10"/>
  <c r="C40" i="21"/>
  <c r="P70" i="27" s="1"/>
  <c r="D27" i="19"/>
  <c r="D31" i="19" s="1"/>
  <c r="D40" i="19" s="1"/>
  <c r="G49" i="14"/>
  <c r="G20" i="19"/>
  <c r="G48" i="19"/>
  <c r="M36" i="23"/>
  <c r="E49" i="19"/>
  <c r="E31" i="19"/>
  <c r="E40" i="19" s="1"/>
  <c r="L40" i="24"/>
  <c r="Y175" i="27" s="1"/>
  <c r="D49" i="19"/>
  <c r="F49" i="19"/>
  <c r="F31" i="19"/>
  <c r="F40" i="19" s="1"/>
  <c r="C49" i="19"/>
  <c r="R27" i="25" l="1"/>
  <c r="S27" i="25" s="1"/>
  <c r="G27" i="19"/>
  <c r="G31" i="19" s="1"/>
  <c r="G40" i="14"/>
  <c r="AA35" i="27"/>
  <c r="Q36" i="25"/>
  <c r="C31" i="25"/>
  <c r="F31" i="25" s="1"/>
  <c r="Q40" i="25"/>
  <c r="M40" i="21"/>
  <c r="Z70" i="27" s="1"/>
  <c r="C40" i="23"/>
  <c r="P140" i="27" s="1"/>
  <c r="C36" i="23"/>
  <c r="C40" i="22"/>
  <c r="P105" i="27" s="1"/>
  <c r="C36" i="22"/>
  <c r="O31" i="23"/>
  <c r="L40" i="21"/>
  <c r="Y70" i="27" s="1"/>
  <c r="L36" i="21"/>
  <c r="O36" i="21" s="1"/>
  <c r="P31" i="25"/>
  <c r="H40" i="23"/>
  <c r="H36" i="23"/>
  <c r="I36" i="25" s="1"/>
  <c r="J36" i="25" s="1"/>
  <c r="K40" i="22"/>
  <c r="K36" i="22"/>
  <c r="M36" i="25" s="1"/>
  <c r="N36" i="25" s="1"/>
  <c r="M36" i="24"/>
  <c r="O36" i="24" s="1"/>
  <c r="O31" i="25"/>
  <c r="L40" i="23"/>
  <c r="Y140" i="27" s="1"/>
  <c r="L36" i="23"/>
  <c r="O31" i="22"/>
  <c r="Q31" i="22" s="1"/>
  <c r="M40" i="22"/>
  <c r="Z105" i="27" s="1"/>
  <c r="M36" i="22"/>
  <c r="R49" i="25"/>
  <c r="S49" i="25"/>
  <c r="G49" i="19"/>
  <c r="M40" i="23"/>
  <c r="Z140" i="27" s="1"/>
  <c r="Y35" i="27" l="1"/>
  <c r="C40" i="19"/>
  <c r="M40" i="25"/>
  <c r="N40" i="25" s="1"/>
  <c r="X105" i="27"/>
  <c r="X35" i="27" s="1"/>
  <c r="P35" i="27"/>
  <c r="I40" i="25"/>
  <c r="J40" i="25" s="1"/>
  <c r="U140" i="27"/>
  <c r="U35" i="27" s="1"/>
  <c r="R31" i="25"/>
  <c r="S31" i="25" s="1"/>
  <c r="O40" i="21"/>
  <c r="C36" i="25"/>
  <c r="F36" i="25" s="1"/>
  <c r="C40" i="25"/>
  <c r="F40" i="25" s="1"/>
  <c r="O36" i="23"/>
  <c r="M40" i="24"/>
  <c r="P36" i="25"/>
  <c r="O40" i="23"/>
  <c r="O40" i="25"/>
  <c r="O36" i="25"/>
  <c r="O40" i="22"/>
  <c r="Q40" i="22" s="1"/>
  <c r="O36" i="22"/>
  <c r="Q36" i="22" s="1"/>
  <c r="G40" i="10"/>
  <c r="G40" i="19" l="1"/>
  <c r="O40" i="24"/>
  <c r="Z175" i="27"/>
  <c r="Z35" i="27" s="1"/>
  <c r="R36" i="25"/>
  <c r="S36" i="25" s="1"/>
  <c r="P40" i="25"/>
  <c r="R40" i="25" s="1"/>
  <c r="S40" i="25" s="1"/>
</calcChain>
</file>

<file path=xl/comments1.xml><?xml version="1.0" encoding="utf-8"?>
<comments xmlns="http://schemas.openxmlformats.org/spreadsheetml/2006/main">
  <authors>
    <author>user</author>
  </authors>
  <commentList>
    <comment ref="D13" authorId="0" shapeId="0">
      <text>
        <r>
          <rPr>
            <b/>
            <sz val="22"/>
            <color indexed="81"/>
            <rFont val="Tahoma"/>
            <family val="2"/>
          </rPr>
          <t>81%</t>
        </r>
      </text>
    </comment>
    <comment ref="E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E13" authorId="0" shapeId="0">
      <text>
        <r>
          <rPr>
            <b/>
            <sz val="24"/>
            <color indexed="81"/>
            <rFont val="Tahoma"/>
            <family val="2"/>
          </rPr>
          <t>46%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C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D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E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G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H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I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K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L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M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O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P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Q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S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3" authorId="0" shapeId="0">
      <text>
        <r>
          <rPr>
            <b/>
            <sz val="24"/>
            <color indexed="81"/>
            <rFont val="Tahoma"/>
            <family val="2"/>
          </rPr>
          <t>46%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13" authorId="0" shapeId="0">
      <text>
        <r>
          <rPr>
            <b/>
            <sz val="24"/>
            <color indexed="81"/>
            <rFont val="Tahoma"/>
            <family val="2"/>
          </rPr>
          <t>46%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13" authorId="0" shapeId="0">
      <text>
        <r>
          <rPr>
            <b/>
            <sz val="24"/>
            <color indexed="81"/>
            <rFont val="Tahoma"/>
            <family val="2"/>
          </rPr>
          <t>46%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13" authorId="0" shapeId="0">
      <text>
        <r>
          <rPr>
            <b/>
            <sz val="22"/>
            <color indexed="81"/>
            <rFont val="Tahoma"/>
            <family val="2"/>
          </rPr>
          <t>81%</t>
        </r>
      </text>
    </comment>
    <comment ref="E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13" authorId="0" shapeId="0">
      <text>
        <r>
          <rPr>
            <b/>
            <sz val="24"/>
            <color indexed="81"/>
            <rFont val="Tahoma"/>
            <family val="2"/>
          </rPr>
          <t>46%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E13" authorId="0" shapeId="0">
      <text>
        <r>
          <rPr>
            <b/>
            <sz val="24"/>
            <color indexed="81"/>
            <rFont val="Tahoma"/>
            <family val="2"/>
          </rPr>
          <t>46%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D13" authorId="0" shapeId="0">
      <text>
        <r>
          <rPr>
            <b/>
            <sz val="22"/>
            <color indexed="81"/>
            <rFont val="Tahoma"/>
            <family val="2"/>
          </rPr>
          <t>81%</t>
        </r>
      </text>
    </comment>
    <comment ref="E13" authorId="0" shapeId="0">
      <text>
        <r>
          <rPr>
            <b/>
            <sz val="24"/>
            <color indexed="81"/>
            <rFont val="Tahoma"/>
            <family val="2"/>
          </rPr>
          <t>65%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E13" authorId="0" shapeId="0">
      <text>
        <r>
          <rPr>
            <b/>
            <sz val="24"/>
            <color indexed="81"/>
            <rFont val="Tahoma"/>
            <family val="2"/>
          </rPr>
          <t>46%</t>
        </r>
      </text>
    </comment>
    <comment ref="F13" authorId="0" shapeId="0">
      <text>
        <r>
          <rPr>
            <b/>
            <sz val="24"/>
            <color indexed="81"/>
            <rFont val="Tahoma"/>
            <family val="2"/>
          </rPr>
          <t>85%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<sst xmlns="http://schemas.openxmlformats.org/spreadsheetml/2006/main" count="1573" uniqueCount="148">
  <si>
    <t>N°</t>
  </si>
  <si>
    <t xml:space="preserve">Désignation </t>
  </si>
  <si>
    <t>Chiffre d'affaires</t>
  </si>
  <si>
    <t>Variation stocks produits finis et en cours</t>
  </si>
  <si>
    <t>Production immobilisée</t>
  </si>
  <si>
    <t>Subventions d'exploitation</t>
  </si>
  <si>
    <t>PRODUCTION DE L'EXERCICE (I)</t>
  </si>
  <si>
    <t>Achats consommes</t>
  </si>
  <si>
    <t>61/62</t>
  </si>
  <si>
    <t>II.    </t>
  </si>
  <si>
    <t>CONSOMMATIONS DE L'EXERCICE (II)</t>
  </si>
  <si>
    <t xml:space="preserve"> III.    </t>
  </si>
  <si>
    <t>VALEUR AJOUTEE (I - II)</t>
  </si>
  <si>
    <t>Impôts, taxes et versements assimiles</t>
  </si>
  <si>
    <t xml:space="preserve"> IV.   </t>
  </si>
  <si>
    <t> EXCEDENT BRUT D'EXPLOITATION</t>
  </si>
  <si>
    <t>Autres produits opérationnels</t>
  </si>
  <si>
    <t>Autres charges opérationnelles</t>
  </si>
  <si>
    <t>Produits inter unités</t>
  </si>
  <si>
    <t>Charges inter unités</t>
  </si>
  <si>
    <t xml:space="preserve">Dotation aux amortissements, provisions et pertes de valeur </t>
  </si>
  <si>
    <t>Reprise sur pertes de valeur et provisions</t>
  </si>
  <si>
    <t>V.    </t>
  </si>
  <si>
    <t xml:space="preserve"> RESULTAT OPERATIONNEL</t>
  </si>
  <si>
    <t>Produits financiers</t>
  </si>
  <si>
    <t>Charges financières</t>
  </si>
  <si>
    <t xml:space="preserve">  VI.    </t>
  </si>
  <si>
    <t>RESULTAT FINANCIER</t>
  </si>
  <si>
    <t xml:space="preserve"> VII.    </t>
  </si>
  <si>
    <t>RESULTAT ORDINAIRE AVANT IMPOTS (V + VI)</t>
  </si>
  <si>
    <t>695/698</t>
  </si>
  <si>
    <t>Impôts exigibles sur résultats ordinaires</t>
  </si>
  <si>
    <t>692/693</t>
  </si>
  <si>
    <t>Impôts différés (Variations) sur résultats ordinaires</t>
  </si>
  <si>
    <t>VIII.    </t>
  </si>
  <si>
    <t xml:space="preserve">RESULTAT NET DES ACTIVITES ORDINAIRES </t>
  </si>
  <si>
    <t>Eléments extraordinaires produits</t>
  </si>
  <si>
    <t>Eléments extraordinaires charges</t>
  </si>
  <si>
    <t>IX.    </t>
  </si>
  <si>
    <t xml:space="preserve">RESULTAT EXTRAORDINAIRE </t>
  </si>
  <si>
    <t xml:space="preserve"> X.    </t>
  </si>
  <si>
    <t>RESULTAT NET DE L'EXERCICE</t>
  </si>
  <si>
    <t>Cessions et produits</t>
  </si>
  <si>
    <t>Services extérieurs et Autres consommation</t>
  </si>
  <si>
    <t>Charges de personnel</t>
  </si>
  <si>
    <t>Total des produits des activités ordinaires</t>
  </si>
  <si>
    <t>Total des charges des activités ordinaires</t>
  </si>
  <si>
    <t>KDU</t>
  </si>
  <si>
    <t>SKDU</t>
  </si>
  <si>
    <t>AZDU</t>
  </si>
  <si>
    <t>SIEGE</t>
  </si>
  <si>
    <t>RATIOS</t>
  </si>
  <si>
    <t>PR/CA</t>
  </si>
  <si>
    <t>ACHAT CONSOMMEES/CA</t>
  </si>
  <si>
    <t>VALEUR AJOUTEE/CHARGES DU PERSONNEL</t>
  </si>
  <si>
    <t>EBE/VAL TOTAL DE LA PRODUCTION DE L'EXERCICE</t>
  </si>
  <si>
    <t>ACHAT CONSOMMEES/VAL TOTAL DE LA PRODUCTION DE LA PERIODE</t>
  </si>
  <si>
    <t>CONSOMMATION INTERM/VAL TOTAL DE LA PRODUCTIONDE LA PERIODE</t>
  </si>
  <si>
    <t>CHARGES DU PERSONNEL/VAL TOTAL DE LA PRODUCTIONDE LA PERIODE</t>
  </si>
  <si>
    <t>TOTAL GENERAL</t>
  </si>
  <si>
    <t>TOTAL GENERAL HT</t>
  </si>
  <si>
    <t>TVA 19%</t>
  </si>
  <si>
    <t>TTC</t>
  </si>
  <si>
    <t>Production Physique</t>
  </si>
  <si>
    <t xml:space="preserve"> KDA</t>
  </si>
  <si>
    <t xml:space="preserve"> Cent-</t>
  </si>
  <si>
    <t xml:space="preserve">Ventes </t>
  </si>
  <si>
    <t>Désignations</t>
  </si>
  <si>
    <t>Conserves</t>
  </si>
  <si>
    <t>Diverses</t>
  </si>
  <si>
    <t>Consolidé
Entreprise</t>
  </si>
  <si>
    <t>POLE-EST</t>
  </si>
  <si>
    <t>Conserves AZDU</t>
  </si>
  <si>
    <t>Diverses SKDU</t>
  </si>
  <si>
    <t xml:space="preserve">Production Physique </t>
  </si>
  <si>
    <t>ENTREPRISE</t>
  </si>
  <si>
    <t>T1 2020</t>
  </si>
  <si>
    <t>T2 2020</t>
  </si>
  <si>
    <t>TCR ENTREPRISE 2020</t>
  </si>
  <si>
    <t>T3 2020</t>
  </si>
  <si>
    <t>T4 2020</t>
  </si>
  <si>
    <t>trésorerie</t>
  </si>
  <si>
    <t>effecti</t>
  </si>
  <si>
    <t>ex-2019</t>
  </si>
  <si>
    <t>ex-2020</t>
  </si>
  <si>
    <t>TOTAL</t>
  </si>
  <si>
    <t>TCR JANVIER-2021</t>
  </si>
  <si>
    <t>TCR FEVRIER-2021</t>
  </si>
  <si>
    <t>TCR MARS-2021</t>
  </si>
  <si>
    <t>TCR 1er Trimestre 2021</t>
  </si>
  <si>
    <t>TCR AVRIL-2021</t>
  </si>
  <si>
    <t>TCR MAI-2021</t>
  </si>
  <si>
    <t>TCR JUIN-2021</t>
  </si>
  <si>
    <t>TCR 2éme Trimestre 2021</t>
  </si>
  <si>
    <t>TCR JUILLET-2021</t>
  </si>
  <si>
    <t>TCR AOUT-2021</t>
  </si>
  <si>
    <t>TCR SEPTEMBRE-2021</t>
  </si>
  <si>
    <t>TCR 3éme Trimestre 2021</t>
  </si>
  <si>
    <t>TCR OCTOBRE-2021</t>
  </si>
  <si>
    <t>TCR NOVEMBRE-2021</t>
  </si>
  <si>
    <t>TCR DECEMBRE-2021</t>
  </si>
  <si>
    <t>TCR 4éme Trimestre 2021</t>
  </si>
  <si>
    <t>TCR Exercice 2021</t>
  </si>
  <si>
    <t>TCR CONSOLIDE 2021</t>
  </si>
  <si>
    <t>TCR SIEGE-2021</t>
  </si>
  <si>
    <t>TCR KDU-2021</t>
  </si>
  <si>
    <t>TCR SKDU-2021</t>
  </si>
  <si>
    <t>TCR AZDU-2021</t>
  </si>
  <si>
    <t>T1 2021</t>
  </si>
  <si>
    <t>T2 2021</t>
  </si>
  <si>
    <t>T3 2021</t>
  </si>
  <si>
    <t>T4 2021</t>
  </si>
  <si>
    <t>janvier-21</t>
  </si>
  <si>
    <t>février-21</t>
  </si>
  <si>
    <t>mars-21</t>
  </si>
  <si>
    <t>avril-21</t>
  </si>
  <si>
    <t>mai-21</t>
  </si>
  <si>
    <t>juin-21</t>
  </si>
  <si>
    <t>juillet-21</t>
  </si>
  <si>
    <t>août-21</t>
  </si>
  <si>
    <t>septembre-21</t>
  </si>
  <si>
    <t>octobre-21</t>
  </si>
  <si>
    <t>novembre-21</t>
  </si>
  <si>
    <t>décembre-21</t>
  </si>
  <si>
    <t>Consommation inter-unités</t>
  </si>
  <si>
    <t>Exércice</t>
  </si>
  <si>
    <t>PRODUCTION DE L'EXERCICE</t>
  </si>
  <si>
    <t xml:space="preserve">VALEUR AJOUTEE </t>
  </si>
  <si>
    <t>CHIFFRE D'AFFAIRES</t>
  </si>
  <si>
    <t>ACHATS CONSOMMES</t>
  </si>
  <si>
    <t>CHARGES DE PERSONNEL</t>
  </si>
  <si>
    <t>CONSOLIDE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</si>
  <si>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</si>
  <si>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</si>
  <si>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</si>
  <si>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</si>
  <si>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</si>
  <si>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</si>
  <si>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</si>
  <si>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</si>
  <si>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</si>
  <si>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</si>
  <si>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</si>
  <si>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</si>
  <si>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RESULTAT NET</t>
  </si>
  <si>
    <t>REEL</t>
  </si>
  <si>
    <t>Colonne1</t>
  </si>
  <si>
    <t>Colonne2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</si>
</sst>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[$-40C]mmmm\-yy;@"/>
    <numFmt numFmtId="166" formatCode="_-* #,##0_-;\-* #,##0_-;_-* &quot;-&quot;??_-;_-@_-"/>
  </numFmts>
  <fonts count="56" x14ac:knownFonts="1">
    <font>
      <sz val="11"/>
      <color theme="1"/>
      <name val="Calibri"/>
      <family val="2"/>
      <scheme val="minor"/>
    </font>
    <font>
      <sz val="18"/>
      <name val="Times New Roman"/>
      <family val="1"/>
    </font>
    <font>
      <b/>
      <sz val="18"/>
      <name val="Times New Roman"/>
      <family val="1"/>
    </font>
    <font>
      <sz val="18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22"/>
      <name val="Arial"/>
      <family val="2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u val="singleAccounting"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22"/>
      <color indexed="81"/>
      <name val="Tahoma"/>
      <family val="2"/>
    </font>
    <font>
      <b/>
      <sz val="24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Segoe UI Semilight"/>
      <family val="2"/>
    </font>
    <font>
      <b/>
      <sz val="12"/>
      <color theme="1"/>
      <name val="Segoe UI Semilight"/>
      <family val="2"/>
    </font>
    <font>
      <b/>
      <sz val="12"/>
      <color rgb="FFFF0000"/>
      <name val="Segoe UI Semilight"/>
      <family val="2"/>
    </font>
    <font>
      <sz val="12"/>
      <color rgb="FFFF0000"/>
      <name val="Segoe UI Semilight"/>
      <family val="2"/>
    </font>
    <font>
      <sz val="12"/>
      <color theme="1"/>
      <name val="Segoe UI Semilight"/>
      <family val="2"/>
    </font>
    <font>
      <b/>
      <sz val="12"/>
      <name val="Times New Roman"/>
      <family val="1"/>
    </font>
    <font>
      <b/>
      <sz val="12"/>
      <name val="Segoe UI Semilight"/>
      <family val="2"/>
    </font>
    <font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Times New Roman"/>
      <family val="1"/>
    </font>
    <font>
      <b/>
      <sz val="12"/>
      <color rgb="FFC00000"/>
      <name val="Segoe UI Semilight"/>
      <family val="2"/>
    </font>
    <font>
      <b/>
      <sz val="12"/>
      <color rgb="FFC00000"/>
      <name val="Calibri"/>
      <family val="2"/>
      <scheme val="minor"/>
    </font>
    <font>
      <b/>
      <sz val="12"/>
      <color rgb="FFC0000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Calibri"/>
      <family val="2"/>
      <scheme val="minor"/>
    </font>
    <font>
      <sz val="9"/>
      <name val="Times New Roman"/>
      <family val="1"/>
    </font>
    <font>
      <sz val="9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9"/>
      <color theme="1"/>
      <name val="Calibri"/>
      <family val="2"/>
      <scheme val="minor"/>
    </font>
    <font>
      <b/>
      <u/>
      <sz val="8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Segoe UI Semilight"/>
    </font>
    <font>
      <b/>
      <sz val="12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theme="3" tint="0.59999389629810485"/>
      </bottom>
      <diagonal/>
    </border>
    <border>
      <left style="medium">
        <color indexed="64"/>
      </left>
      <right/>
      <top style="hair">
        <color theme="3" tint="0.59999389629810485"/>
      </top>
      <bottom style="hair">
        <color theme="3" tint="0.59999389629810485"/>
      </bottom>
      <diagonal/>
    </border>
    <border>
      <left/>
      <right style="medium">
        <color indexed="64"/>
      </right>
      <top/>
      <bottom style="hair">
        <color theme="3" tint="0.59999389629810485"/>
      </bottom>
      <diagonal/>
    </border>
    <border>
      <left/>
      <right style="medium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 style="medium">
        <color indexed="64"/>
      </left>
      <right style="medium">
        <color indexed="64"/>
      </right>
      <top/>
      <bottom style="hair">
        <color theme="3" tint="0.59999389629810485"/>
      </bottom>
      <diagonal/>
    </border>
    <border>
      <left style="medium">
        <color indexed="64"/>
      </left>
      <right style="medium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 style="medium">
        <color indexed="64"/>
      </left>
      <right style="medium">
        <color indexed="64"/>
      </right>
      <top style="hair">
        <color theme="3" tint="0.59999389629810485"/>
      </top>
      <bottom/>
      <diagonal/>
    </border>
    <border>
      <left style="medium">
        <color indexed="64"/>
      </left>
      <right/>
      <top style="hair">
        <color theme="3" tint="0.59999389629810485"/>
      </top>
      <bottom/>
      <diagonal/>
    </border>
    <border>
      <left/>
      <right style="medium">
        <color indexed="64"/>
      </right>
      <top style="hair">
        <color theme="3" tint="0.5999938962981048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3" tint="0.5999938962981048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64">
    <xf numFmtId="0" fontId="0" fillId="0" borderId="0" xfId="0"/>
    <xf numFmtId="0" fontId="0" fillId="2" borderId="0" xfId="0" applyFill="1"/>
    <xf numFmtId="0" fontId="5" fillId="2" borderId="0" xfId="0" applyFont="1" applyFill="1"/>
    <xf numFmtId="4" fontId="5" fillId="2" borderId="0" xfId="0" applyNumberFormat="1" applyFont="1" applyFill="1"/>
    <xf numFmtId="0" fontId="9" fillId="2" borderId="0" xfId="0" applyFont="1" applyFill="1"/>
    <xf numFmtId="0" fontId="9" fillId="0" borderId="0" xfId="0" applyFont="1" applyFill="1"/>
    <xf numFmtId="43" fontId="10" fillId="0" borderId="0" xfId="3" applyFont="1" applyAlignment="1">
      <alignment horizontal="right" vertical="center"/>
    </xf>
    <xf numFmtId="165" fontId="11" fillId="8" borderId="20" xfId="3" applyNumberFormat="1" applyFont="1" applyFill="1" applyBorder="1" applyAlignment="1">
      <alignment horizontal="center" vertical="center"/>
    </xf>
    <xf numFmtId="165" fontId="11" fillId="8" borderId="21" xfId="3" applyNumberFormat="1" applyFont="1" applyFill="1" applyBorder="1" applyAlignment="1">
      <alignment horizontal="center" vertical="center"/>
    </xf>
    <xf numFmtId="43" fontId="10" fillId="7" borderId="0" xfId="3" applyFont="1" applyFill="1" applyAlignment="1">
      <alignment horizontal="right" vertical="center"/>
    </xf>
    <xf numFmtId="43" fontId="12" fillId="5" borderId="16" xfId="3" applyFont="1" applyFill="1" applyBorder="1" applyAlignment="1">
      <alignment horizontal="center" vertical="center"/>
    </xf>
    <xf numFmtId="4" fontId="10" fillId="0" borderId="16" xfId="3" applyNumberFormat="1" applyFont="1" applyBorder="1" applyAlignment="1">
      <alignment horizontal="center" vertical="center"/>
    </xf>
    <xf numFmtId="166" fontId="10" fillId="0" borderId="16" xfId="3" applyNumberFormat="1" applyFont="1" applyBorder="1" applyAlignment="1">
      <alignment horizontal="right" vertical="center"/>
    </xf>
    <xf numFmtId="43" fontId="10" fillId="0" borderId="16" xfId="3" applyFont="1" applyBorder="1" applyAlignment="1">
      <alignment horizontal="left" vertical="center"/>
    </xf>
    <xf numFmtId="43" fontId="10" fillId="0" borderId="0" xfId="3" applyFont="1" applyAlignment="1">
      <alignment horizontal="left" vertical="center"/>
    </xf>
    <xf numFmtId="43" fontId="10" fillId="7" borderId="0" xfId="3" applyFont="1" applyFill="1" applyAlignment="1">
      <alignment horizontal="left" vertical="center"/>
    </xf>
    <xf numFmtId="43" fontId="11" fillId="8" borderId="17" xfId="3" applyFont="1" applyFill="1" applyBorder="1" applyAlignment="1">
      <alignment horizontal="left" vertical="center"/>
    </xf>
    <xf numFmtId="9" fontId="10" fillId="7" borderId="0" xfId="4" applyFont="1" applyFill="1" applyAlignment="1">
      <alignment horizontal="right" vertical="center"/>
    </xf>
    <xf numFmtId="166" fontId="12" fillId="10" borderId="16" xfId="3" applyNumberFormat="1" applyFont="1" applyFill="1" applyBorder="1" applyAlignment="1">
      <alignment horizontal="right" vertical="center"/>
    </xf>
    <xf numFmtId="166" fontId="13" fillId="10" borderId="16" xfId="3" applyNumberFormat="1" applyFont="1" applyFill="1" applyBorder="1" applyAlignment="1">
      <alignment horizontal="right" vertical="center"/>
    </xf>
    <xf numFmtId="166" fontId="10" fillId="10" borderId="16" xfId="3" applyNumberFormat="1" applyFont="1" applyFill="1" applyBorder="1" applyAlignment="1">
      <alignment horizontal="right" vertical="center"/>
    </xf>
    <xf numFmtId="4" fontId="10" fillId="10" borderId="16" xfId="3" applyNumberFormat="1" applyFont="1" applyFill="1" applyBorder="1" applyAlignment="1">
      <alignment horizontal="center" vertical="center"/>
    </xf>
    <xf numFmtId="43" fontId="10" fillId="12" borderId="0" xfId="3" applyFont="1" applyFill="1" applyAlignment="1">
      <alignment horizontal="right" vertical="center"/>
    </xf>
    <xf numFmtId="43" fontId="12" fillId="5" borderId="18" xfId="3" applyFont="1" applyFill="1" applyBorder="1" applyAlignment="1">
      <alignment horizontal="center" vertical="center"/>
    </xf>
    <xf numFmtId="43" fontId="12" fillId="5" borderId="19" xfId="3" applyFont="1" applyFill="1" applyBorder="1" applyAlignment="1">
      <alignment horizontal="center" vertical="center"/>
    </xf>
    <xf numFmtId="0" fontId="5" fillId="0" borderId="0" xfId="0" applyFont="1" applyFill="1"/>
    <xf numFmtId="0" fontId="19" fillId="2" borderId="0" xfId="0" applyFont="1" applyFill="1"/>
    <xf numFmtId="0" fontId="10" fillId="2" borderId="0" xfId="0" applyFont="1" applyFill="1"/>
    <xf numFmtId="0" fontId="13" fillId="2" borderId="0" xfId="0" applyFont="1" applyFill="1"/>
    <xf numFmtId="0" fontId="12" fillId="2" borderId="0" xfId="0" applyFont="1" applyFill="1"/>
    <xf numFmtId="9" fontId="12" fillId="2" borderId="0" xfId="4" applyFont="1" applyFill="1"/>
    <xf numFmtId="0" fontId="19" fillId="0" borderId="0" xfId="0" applyFont="1"/>
    <xf numFmtId="0" fontId="10" fillId="0" borderId="0" xfId="0" applyFont="1"/>
    <xf numFmtId="4" fontId="19" fillId="0" borderId="0" xfId="0" applyNumberFormat="1" applyFont="1"/>
    <xf numFmtId="9" fontId="19" fillId="0" borderId="0" xfId="4" applyFont="1"/>
    <xf numFmtId="9" fontId="10" fillId="0" borderId="0" xfId="4" applyFont="1"/>
    <xf numFmtId="0" fontId="19" fillId="0" borderId="0" xfId="0" applyFont="1" applyFill="1"/>
    <xf numFmtId="0" fontId="10" fillId="0" borderId="0" xfId="0" applyFont="1" applyFill="1"/>
    <xf numFmtId="10" fontId="19" fillId="0" borderId="0" xfId="4" applyNumberFormat="1" applyFont="1" applyFill="1"/>
    <xf numFmtId="0" fontId="1" fillId="0" borderId="0" xfId="0" applyFont="1" applyFill="1"/>
    <xf numFmtId="4" fontId="1" fillId="0" borderId="0" xfId="0" applyNumberFormat="1" applyFont="1" applyFill="1" applyAlignment="1">
      <alignment horizontal="left"/>
    </xf>
    <xf numFmtId="0" fontId="7" fillId="0" borderId="0" xfId="0" applyFont="1" applyFill="1"/>
    <xf numFmtId="0" fontId="0" fillId="0" borderId="0" xfId="0" applyFill="1"/>
    <xf numFmtId="0" fontId="2" fillId="0" borderId="0" xfId="0" quotePrefix="1" applyFont="1" applyFill="1"/>
    <xf numFmtId="4" fontId="1" fillId="0" borderId="0" xfId="0" quotePrefix="1" applyNumberFormat="1" applyFont="1" applyFill="1" applyAlignment="1">
      <alignment horizontal="left"/>
    </xf>
    <xf numFmtId="0" fontId="1" fillId="0" borderId="0" xfId="0" quotePrefix="1" applyFont="1" applyFill="1"/>
    <xf numFmtId="0" fontId="3" fillId="0" borderId="0" xfId="0" quotePrefix="1" applyFont="1" applyFill="1"/>
    <xf numFmtId="0" fontId="2" fillId="0" borderId="0" xfId="0" quotePrefix="1" applyFont="1" applyFill="1" applyAlignment="1">
      <alignment horizontal="left"/>
    </xf>
    <xf numFmtId="4" fontId="3" fillId="0" borderId="0" xfId="0" quotePrefix="1" applyNumberFormat="1" applyFont="1" applyFill="1" applyAlignment="1">
      <alignment horizontal="left"/>
    </xf>
    <xf numFmtId="0" fontId="8" fillId="0" borderId="0" xfId="0" quotePrefix="1" applyFont="1" applyFill="1"/>
    <xf numFmtId="4" fontId="3" fillId="0" borderId="0" xfId="0" quotePrefix="1" applyNumberFormat="1" applyFont="1" applyFill="1"/>
    <xf numFmtId="4" fontId="20" fillId="0" borderId="2" xfId="2" applyNumberFormat="1" applyFont="1" applyBorder="1" applyAlignment="1">
      <alignment horizontal="right" vertical="center"/>
    </xf>
    <xf numFmtId="4" fontId="20" fillId="0" borderId="6" xfId="2" applyNumberFormat="1" applyFont="1" applyBorder="1" applyAlignment="1">
      <alignment horizontal="right" vertical="center"/>
    </xf>
    <xf numFmtId="4" fontId="20" fillId="0" borderId="4" xfId="2" applyNumberFormat="1" applyFont="1" applyBorder="1" applyAlignment="1">
      <alignment horizontal="right" vertical="center"/>
    </xf>
    <xf numFmtId="4" fontId="20" fillId="0" borderId="3" xfId="2" applyNumberFormat="1" applyFont="1" applyBorder="1" applyAlignment="1">
      <alignment horizontal="right" vertical="center"/>
    </xf>
    <xf numFmtId="4" fontId="20" fillId="0" borderId="7" xfId="2" applyNumberFormat="1" applyFont="1" applyBorder="1" applyAlignment="1">
      <alignment horizontal="right" vertical="center"/>
    </xf>
    <xf numFmtId="4" fontId="20" fillId="0" borderId="5" xfId="2" applyNumberFormat="1" applyFont="1" applyBorder="1" applyAlignment="1">
      <alignment horizontal="right" vertical="center"/>
    </xf>
    <xf numFmtId="4" fontId="20" fillId="0" borderId="3" xfId="2" applyNumberFormat="1" applyFont="1" applyFill="1" applyBorder="1" applyAlignment="1">
      <alignment horizontal="right" vertical="center"/>
    </xf>
    <xf numFmtId="4" fontId="20" fillId="0" borderId="9" xfId="2" applyNumberFormat="1" applyFont="1" applyBorder="1" applyAlignment="1">
      <alignment horizontal="right" vertical="center"/>
    </xf>
    <xf numFmtId="4" fontId="20" fillId="0" borderId="8" xfId="2" applyNumberFormat="1" applyFont="1" applyBorder="1" applyAlignment="1">
      <alignment horizontal="right" vertical="center"/>
    </xf>
    <xf numFmtId="4" fontId="20" fillId="0" borderId="10" xfId="2" applyNumberFormat="1" applyFont="1" applyBorder="1" applyAlignment="1">
      <alignment horizontal="right" vertical="center"/>
    </xf>
    <xf numFmtId="4" fontId="21" fillId="4" borderId="11" xfId="2" applyNumberFormat="1" applyFont="1" applyFill="1" applyBorder="1" applyAlignment="1">
      <alignment horizontal="right" vertical="center"/>
    </xf>
    <xf numFmtId="4" fontId="21" fillId="4" borderId="1" xfId="2" applyNumberFormat="1" applyFont="1" applyFill="1" applyBorder="1" applyAlignment="1">
      <alignment horizontal="right" vertical="center"/>
    </xf>
    <xf numFmtId="4" fontId="21" fillId="4" borderId="12" xfId="2" applyNumberFormat="1" applyFont="1" applyFill="1" applyBorder="1" applyAlignment="1">
      <alignment horizontal="right" vertical="center"/>
    </xf>
    <xf numFmtId="4" fontId="20" fillId="0" borderId="2" xfId="2" applyNumberFormat="1" applyFont="1" applyFill="1" applyBorder="1" applyAlignment="1">
      <alignment horizontal="right" vertical="center"/>
    </xf>
    <xf numFmtId="4" fontId="20" fillId="0" borderId="6" xfId="2" applyNumberFormat="1" applyFont="1" applyFill="1" applyBorder="1" applyAlignment="1">
      <alignment horizontal="right" vertical="center"/>
    </xf>
    <xf numFmtId="4" fontId="20" fillId="0" borderId="4" xfId="2" applyNumberFormat="1" applyFont="1" applyFill="1" applyBorder="1" applyAlignment="1">
      <alignment horizontal="right" vertical="center"/>
    </xf>
    <xf numFmtId="4" fontId="22" fillId="4" borderId="14" xfId="2" applyNumberFormat="1" applyFont="1" applyFill="1" applyBorder="1" applyAlignment="1">
      <alignment horizontal="right" vertical="center"/>
    </xf>
    <xf numFmtId="4" fontId="22" fillId="4" borderId="13" xfId="2" applyNumberFormat="1" applyFont="1" applyFill="1" applyBorder="1" applyAlignment="1">
      <alignment horizontal="right" vertical="center"/>
    </xf>
    <xf numFmtId="4" fontId="22" fillId="4" borderId="15" xfId="2" applyNumberFormat="1" applyFont="1" applyFill="1" applyBorder="1" applyAlignment="1">
      <alignment horizontal="right" vertical="center"/>
    </xf>
    <xf numFmtId="4" fontId="23" fillId="0" borderId="3" xfId="2" applyNumberFormat="1" applyFont="1" applyBorder="1" applyAlignment="1">
      <alignment horizontal="right" vertical="center"/>
    </xf>
    <xf numFmtId="4" fontId="23" fillId="0" borderId="7" xfId="2" applyNumberFormat="1" applyFont="1" applyBorder="1" applyAlignment="1">
      <alignment horizontal="right" vertical="center"/>
    </xf>
    <xf numFmtId="4" fontId="23" fillId="0" borderId="5" xfId="2" applyNumberFormat="1" applyFont="1" applyBorder="1" applyAlignment="1">
      <alignment horizontal="right" vertical="center"/>
    </xf>
    <xf numFmtId="4" fontId="20" fillId="0" borderId="9" xfId="2" applyNumberFormat="1" applyFont="1" applyFill="1" applyBorder="1" applyAlignment="1">
      <alignment horizontal="right" vertical="center"/>
    </xf>
    <xf numFmtId="4" fontId="24" fillId="0" borderId="3" xfId="2" applyNumberFormat="1" applyFont="1" applyFill="1" applyBorder="1" applyAlignment="1">
      <alignment horizontal="right" vertical="center"/>
    </xf>
    <xf numFmtId="4" fontId="24" fillId="0" borderId="7" xfId="2" applyNumberFormat="1" applyFont="1" applyFill="1" applyBorder="1" applyAlignment="1">
      <alignment horizontal="right" vertical="center"/>
    </xf>
    <xf numFmtId="4" fontId="24" fillId="0" borderId="5" xfId="2" applyNumberFormat="1" applyFont="1" applyFill="1" applyBorder="1" applyAlignment="1">
      <alignment horizontal="right" vertical="center"/>
    </xf>
    <xf numFmtId="4" fontId="20" fillId="0" borderId="8" xfId="2" applyNumberFormat="1" applyFont="1" applyFill="1" applyBorder="1" applyAlignment="1">
      <alignment horizontal="right" vertical="center"/>
    </xf>
    <xf numFmtId="4" fontId="20" fillId="0" borderId="10" xfId="2" applyNumberFormat="1" applyFont="1" applyFill="1" applyBorder="1" applyAlignment="1">
      <alignment horizontal="right" vertical="center"/>
    </xf>
    <xf numFmtId="0" fontId="20" fillId="0" borderId="6" xfId="2" applyFont="1" applyBorder="1" applyAlignment="1">
      <alignment horizontal="left" vertical="center"/>
    </xf>
    <xf numFmtId="0" fontId="20" fillId="0" borderId="7" xfId="2" applyFont="1" applyBorder="1" applyAlignment="1">
      <alignment horizontal="left" vertical="center"/>
    </xf>
    <xf numFmtId="0" fontId="20" fillId="0" borderId="7" xfId="2" applyFont="1" applyBorder="1" applyAlignment="1">
      <alignment vertical="center"/>
    </xf>
    <xf numFmtId="0" fontId="20" fillId="0" borderId="8" xfId="2" applyFont="1" applyBorder="1" applyAlignment="1">
      <alignment vertical="center"/>
    </xf>
    <xf numFmtId="0" fontId="21" fillId="4" borderId="1" xfId="2" applyFont="1" applyFill="1" applyBorder="1" applyAlignment="1">
      <alignment horizontal="left" vertical="center"/>
    </xf>
    <xf numFmtId="0" fontId="20" fillId="0" borderId="6" xfId="2" applyFont="1" applyBorder="1" applyAlignment="1">
      <alignment vertical="center"/>
    </xf>
    <xf numFmtId="0" fontId="21" fillId="4" borderId="1" xfId="2" applyFont="1" applyFill="1" applyBorder="1" applyAlignment="1">
      <alignment vertical="center"/>
    </xf>
    <xf numFmtId="0" fontId="21" fillId="4" borderId="13" xfId="2" applyFont="1" applyFill="1" applyBorder="1" applyAlignment="1">
      <alignment vertical="center"/>
    </xf>
    <xf numFmtId="0" fontId="23" fillId="0" borderId="7" xfId="2" applyFont="1" applyBorder="1" applyAlignment="1">
      <alignment vertical="center"/>
    </xf>
    <xf numFmtId="0" fontId="24" fillId="0" borderId="7" xfId="2" applyFont="1" applyFill="1" applyBorder="1" applyAlignment="1">
      <alignment vertical="center"/>
    </xf>
    <xf numFmtId="0" fontId="24" fillId="0" borderId="8" xfId="2" applyFont="1" applyFill="1" applyBorder="1" applyAlignment="1">
      <alignment vertical="center"/>
    </xf>
    <xf numFmtId="0" fontId="27" fillId="2" borderId="0" xfId="0" applyFont="1" applyFill="1"/>
    <xf numFmtId="4" fontId="27" fillId="2" borderId="0" xfId="0" applyNumberFormat="1" applyFont="1" applyFill="1" applyAlignment="1">
      <alignment horizontal="right"/>
    </xf>
    <xf numFmtId="0" fontId="27" fillId="0" borderId="16" xfId="0" applyFont="1" applyFill="1" applyBorder="1" applyAlignment="1">
      <alignment horizontal="center"/>
    </xf>
    <xf numFmtId="0" fontId="27" fillId="0" borderId="16" xfId="0" applyFont="1" applyFill="1" applyBorder="1"/>
    <xf numFmtId="9" fontId="27" fillId="0" borderId="16" xfId="4" applyFont="1" applyFill="1" applyBorder="1" applyAlignment="1">
      <alignment horizontal="center"/>
    </xf>
    <xf numFmtId="10" fontId="27" fillId="0" borderId="16" xfId="4" applyNumberFormat="1" applyFont="1" applyFill="1" applyBorder="1" applyAlignment="1">
      <alignment horizontal="center"/>
    </xf>
    <xf numFmtId="4" fontId="27" fillId="2" borderId="0" xfId="0" applyNumberFormat="1" applyFont="1" applyFill="1"/>
    <xf numFmtId="4" fontId="29" fillId="0" borderId="0" xfId="0" applyNumberFormat="1" applyFont="1" applyFill="1" applyAlignment="1">
      <alignment horizontal="left"/>
    </xf>
    <xf numFmtId="4" fontId="29" fillId="0" borderId="0" xfId="0" quotePrefix="1" applyNumberFormat="1" applyFont="1" applyFill="1" applyAlignment="1">
      <alignment horizontal="left"/>
    </xf>
    <xf numFmtId="4" fontId="30" fillId="0" borderId="0" xfId="0" quotePrefix="1" applyNumberFormat="1" applyFont="1" applyFill="1" applyAlignment="1">
      <alignment horizontal="left"/>
    </xf>
    <xf numFmtId="4" fontId="30" fillId="0" borderId="0" xfId="0" quotePrefix="1" applyNumberFormat="1" applyFont="1" applyFill="1"/>
    <xf numFmtId="0" fontId="26" fillId="0" borderId="4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 wrapText="1"/>
    </xf>
    <xf numFmtId="0" fontId="26" fillId="0" borderId="10" xfId="1" applyFont="1" applyBorder="1" applyAlignment="1">
      <alignment horizontal="center" vertical="center" wrapText="1"/>
    </xf>
    <xf numFmtId="0" fontId="26" fillId="4" borderId="12" xfId="1" applyFont="1" applyFill="1" applyBorder="1" applyAlignment="1">
      <alignment horizontal="center" vertical="center" wrapText="1"/>
    </xf>
    <xf numFmtId="0" fontId="20" fillId="0" borderId="4" xfId="1" applyFont="1" applyBorder="1" applyAlignment="1">
      <alignment horizontal="center" vertical="center"/>
    </xf>
    <xf numFmtId="0" fontId="20" fillId="0" borderId="10" xfId="1" applyFont="1" applyBorder="1" applyAlignment="1">
      <alignment horizontal="center" vertical="center"/>
    </xf>
    <xf numFmtId="0" fontId="21" fillId="4" borderId="12" xfId="2" applyFont="1" applyFill="1" applyBorder="1" applyAlignment="1">
      <alignment horizontal="center" vertical="center"/>
    </xf>
    <xf numFmtId="0" fontId="21" fillId="4" borderId="15" xfId="2" applyFont="1" applyFill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0" fontId="24" fillId="0" borderId="5" xfId="2" applyFont="1" applyFill="1" applyBorder="1" applyAlignment="1">
      <alignment horizontal="center" vertical="center"/>
    </xf>
    <xf numFmtId="0" fontId="24" fillId="0" borderId="10" xfId="2" applyFont="1" applyFill="1" applyBorder="1" applyAlignment="1">
      <alignment horizontal="center" vertical="center"/>
    </xf>
    <xf numFmtId="4" fontId="20" fillId="0" borderId="23" xfId="2" applyNumberFormat="1" applyFont="1" applyBorder="1" applyAlignment="1">
      <alignment horizontal="right" vertical="center"/>
    </xf>
    <xf numFmtId="0" fontId="25" fillId="3" borderId="24" xfId="0" applyFont="1" applyFill="1" applyBorder="1" applyAlignment="1">
      <alignment horizontal="center" vertical="center"/>
    </xf>
    <xf numFmtId="0" fontId="25" fillId="3" borderId="25" xfId="0" applyFont="1" applyFill="1" applyBorder="1" applyAlignment="1">
      <alignment horizontal="center" vertical="center"/>
    </xf>
    <xf numFmtId="0" fontId="21" fillId="4" borderId="27" xfId="2" applyFont="1" applyFill="1" applyBorder="1" applyAlignment="1">
      <alignment horizontal="center" vertical="center"/>
    </xf>
    <xf numFmtId="0" fontId="21" fillId="4" borderId="28" xfId="2" applyFont="1" applyFill="1" applyBorder="1" applyAlignment="1">
      <alignment vertical="center"/>
    </xf>
    <xf numFmtId="4" fontId="21" fillId="4" borderId="29" xfId="2" applyNumberFormat="1" applyFont="1" applyFill="1" applyBorder="1" applyAlignment="1">
      <alignment horizontal="right" vertical="center"/>
    </xf>
    <xf numFmtId="4" fontId="21" fillId="4" borderId="28" xfId="2" applyNumberFormat="1" applyFont="1" applyFill="1" applyBorder="1" applyAlignment="1">
      <alignment horizontal="right" vertical="center"/>
    </xf>
    <xf numFmtId="4" fontId="21" fillId="4" borderId="27" xfId="2" applyNumberFormat="1" applyFont="1" applyFill="1" applyBorder="1" applyAlignment="1">
      <alignment horizontal="right" vertical="center"/>
    </xf>
    <xf numFmtId="0" fontId="24" fillId="0" borderId="15" xfId="2" applyFont="1" applyFill="1" applyBorder="1" applyAlignment="1">
      <alignment horizontal="center" vertical="center"/>
    </xf>
    <xf numFmtId="43" fontId="10" fillId="7" borderId="0" xfId="3" applyNumberFormat="1" applyFont="1" applyFill="1" applyAlignment="1">
      <alignment horizontal="right" vertical="center"/>
    </xf>
    <xf numFmtId="10" fontId="10" fillId="7" borderId="0" xfId="4" applyNumberFormat="1" applyFont="1" applyFill="1" applyAlignment="1">
      <alignment horizontal="right" vertical="center"/>
    </xf>
    <xf numFmtId="10" fontId="10" fillId="7" borderId="0" xfId="3" applyNumberFormat="1" applyFont="1" applyFill="1" applyAlignment="1">
      <alignment horizontal="right" vertical="center"/>
    </xf>
    <xf numFmtId="43" fontId="19" fillId="0" borderId="0" xfId="3" applyFont="1" applyFill="1"/>
    <xf numFmtId="43" fontId="7" fillId="0" borderId="0" xfId="3" applyFont="1" applyFill="1"/>
    <xf numFmtId="43" fontId="8" fillId="0" borderId="0" xfId="3" quotePrefix="1" applyFont="1" applyFill="1"/>
    <xf numFmtId="43" fontId="9" fillId="0" borderId="0" xfId="3" applyFont="1" applyFill="1"/>
    <xf numFmtId="43" fontId="9" fillId="2" borderId="0" xfId="3" applyFont="1" applyFill="1"/>
    <xf numFmtId="43" fontId="19" fillId="2" borderId="0" xfId="3" applyFont="1" applyFill="1"/>
    <xf numFmtId="43" fontId="13" fillId="2" borderId="0" xfId="3" applyFont="1" applyFill="1"/>
    <xf numFmtId="43" fontId="19" fillId="0" borderId="0" xfId="3" applyFont="1"/>
    <xf numFmtId="165" fontId="25" fillId="6" borderId="25" xfId="0" applyNumberFormat="1" applyFont="1" applyFill="1" applyBorder="1" applyAlignment="1">
      <alignment horizontal="center" vertical="center"/>
    </xf>
    <xf numFmtId="4" fontId="26" fillId="0" borderId="6" xfId="2" applyNumberFormat="1" applyFont="1" applyBorder="1" applyAlignment="1">
      <alignment horizontal="right" vertical="center"/>
    </xf>
    <xf numFmtId="4" fontId="26" fillId="0" borderId="7" xfId="2" applyNumberFormat="1" applyFont="1" applyBorder="1" applyAlignment="1">
      <alignment horizontal="right" vertical="center"/>
    </xf>
    <xf numFmtId="4" fontId="26" fillId="0" borderId="8" xfId="2" applyNumberFormat="1" applyFont="1" applyBorder="1" applyAlignment="1">
      <alignment horizontal="right" vertical="center"/>
    </xf>
    <xf numFmtId="4" fontId="26" fillId="0" borderId="6" xfId="2" applyNumberFormat="1" applyFont="1" applyFill="1" applyBorder="1" applyAlignment="1">
      <alignment horizontal="right" vertical="center"/>
    </xf>
    <xf numFmtId="4" fontId="22" fillId="0" borderId="7" xfId="2" applyNumberFormat="1" applyFont="1" applyBorder="1" applyAlignment="1">
      <alignment horizontal="right" vertical="center"/>
    </xf>
    <xf numFmtId="4" fontId="21" fillId="0" borderId="7" xfId="2" applyNumberFormat="1" applyFont="1" applyFill="1" applyBorder="1" applyAlignment="1">
      <alignment horizontal="right" vertical="center"/>
    </xf>
    <xf numFmtId="4" fontId="26" fillId="0" borderId="8" xfId="2" applyNumberFormat="1" applyFont="1" applyFill="1" applyBorder="1" applyAlignment="1">
      <alignment horizontal="right" vertical="center"/>
    </xf>
    <xf numFmtId="10" fontId="33" fillId="0" borderId="16" xfId="4" applyNumberFormat="1" applyFont="1" applyFill="1" applyBorder="1" applyAlignment="1">
      <alignment horizontal="center"/>
    </xf>
    <xf numFmtId="4" fontId="33" fillId="2" borderId="0" xfId="0" applyNumberFormat="1" applyFont="1" applyFill="1"/>
    <xf numFmtId="4" fontId="35" fillId="0" borderId="6" xfId="2" applyNumberFormat="1" applyFont="1" applyBorder="1" applyAlignment="1">
      <alignment horizontal="right" vertical="center"/>
    </xf>
    <xf numFmtId="4" fontId="35" fillId="0" borderId="7" xfId="2" applyNumberFormat="1" applyFont="1" applyBorder="1" applyAlignment="1">
      <alignment horizontal="right" vertical="center"/>
    </xf>
    <xf numFmtId="4" fontId="35" fillId="0" borderId="8" xfId="2" applyNumberFormat="1" applyFont="1" applyBorder="1" applyAlignment="1">
      <alignment horizontal="right" vertical="center"/>
    </xf>
    <xf numFmtId="4" fontId="35" fillId="4" borderId="1" xfId="2" applyNumberFormat="1" applyFont="1" applyFill="1" applyBorder="1" applyAlignment="1">
      <alignment horizontal="right" vertical="center"/>
    </xf>
    <xf numFmtId="4" fontId="35" fillId="0" borderId="6" xfId="2" applyNumberFormat="1" applyFont="1" applyFill="1" applyBorder="1" applyAlignment="1">
      <alignment horizontal="right" vertical="center"/>
    </xf>
    <xf numFmtId="4" fontId="35" fillId="4" borderId="13" xfId="2" applyNumberFormat="1" applyFont="1" applyFill="1" applyBorder="1" applyAlignment="1">
      <alignment horizontal="right" vertical="center"/>
    </xf>
    <xf numFmtId="4" fontId="35" fillId="0" borderId="7" xfId="2" applyNumberFormat="1" applyFont="1" applyFill="1" applyBorder="1" applyAlignment="1">
      <alignment horizontal="right" vertical="center"/>
    </xf>
    <xf numFmtId="4" fontId="35" fillId="0" borderId="8" xfId="2" applyNumberFormat="1" applyFont="1" applyFill="1" applyBorder="1" applyAlignment="1">
      <alignment horizontal="right" vertical="center"/>
    </xf>
    <xf numFmtId="4" fontId="35" fillId="4" borderId="28" xfId="2" applyNumberFormat="1" applyFont="1" applyFill="1" applyBorder="1" applyAlignment="1">
      <alignment horizontal="right" vertical="center"/>
    </xf>
    <xf numFmtId="10" fontId="36" fillId="0" borderId="16" xfId="4" applyNumberFormat="1" applyFont="1" applyFill="1" applyBorder="1" applyAlignment="1">
      <alignment horizontal="center"/>
    </xf>
    <xf numFmtId="4" fontId="36" fillId="2" borderId="0" xfId="0" applyNumberFormat="1" applyFont="1" applyFill="1"/>
    <xf numFmtId="4" fontId="34" fillId="0" borderId="0" xfId="0" applyNumberFormat="1" applyFont="1" applyFill="1" applyAlignment="1">
      <alignment horizontal="left"/>
    </xf>
    <xf numFmtId="4" fontId="34" fillId="0" borderId="0" xfId="0" quotePrefix="1" applyNumberFormat="1" applyFont="1" applyFill="1" applyAlignment="1">
      <alignment horizontal="left"/>
    </xf>
    <xf numFmtId="4" fontId="37" fillId="0" borderId="0" xfId="0" quotePrefix="1" applyNumberFormat="1" applyFont="1" applyFill="1" applyAlignment="1">
      <alignment horizontal="left"/>
    </xf>
    <xf numFmtId="4" fontId="37" fillId="0" borderId="0" xfId="0" quotePrefix="1" applyNumberFormat="1" applyFont="1" applyFill="1"/>
    <xf numFmtId="0" fontId="36" fillId="2" borderId="0" xfId="0" applyFont="1" applyFill="1"/>
    <xf numFmtId="0" fontId="27" fillId="0" borderId="0" xfId="0" applyFont="1" applyFill="1"/>
    <xf numFmtId="4" fontId="27" fillId="0" borderId="0" xfId="0" applyNumberFormat="1" applyFont="1" applyFill="1" applyAlignment="1">
      <alignment horizontal="right"/>
    </xf>
    <xf numFmtId="4" fontId="36" fillId="0" borderId="0" xfId="0" applyNumberFormat="1" applyFont="1" applyFill="1" applyAlignment="1">
      <alignment horizontal="right"/>
    </xf>
    <xf numFmtId="4" fontId="25" fillId="0" borderId="0" xfId="0" applyNumberFormat="1" applyFont="1" applyFill="1" applyAlignment="1">
      <alignment horizontal="left"/>
    </xf>
    <xf numFmtId="4" fontId="25" fillId="0" borderId="0" xfId="0" quotePrefix="1" applyNumberFormat="1" applyFont="1" applyFill="1" applyAlignment="1">
      <alignment horizontal="left"/>
    </xf>
    <xf numFmtId="4" fontId="38" fillId="0" borderId="0" xfId="0" quotePrefix="1" applyNumberFormat="1" applyFont="1" applyFill="1" applyAlignment="1">
      <alignment horizontal="left"/>
    </xf>
    <xf numFmtId="4" fontId="38" fillId="0" borderId="0" xfId="0" quotePrefix="1" applyNumberFormat="1" applyFont="1" applyFill="1"/>
    <xf numFmtId="4" fontId="33" fillId="0" borderId="0" xfId="0" applyNumberFormat="1" applyFont="1" applyFill="1" applyAlignment="1">
      <alignment horizontal="right"/>
    </xf>
    <xf numFmtId="165" fontId="34" fillId="6" borderId="25" xfId="0" applyNumberFormat="1" applyFont="1" applyFill="1" applyBorder="1" applyAlignment="1">
      <alignment horizontal="center" vertical="center" wrapText="1"/>
    </xf>
    <xf numFmtId="3" fontId="31" fillId="0" borderId="0" xfId="3" applyNumberFormat="1" applyFont="1" applyFill="1"/>
    <xf numFmtId="3" fontId="31" fillId="2" borderId="0" xfId="3" applyNumberFormat="1" applyFont="1" applyFill="1"/>
    <xf numFmtId="3" fontId="19" fillId="2" borderId="0" xfId="3" applyNumberFormat="1" applyFont="1" applyFill="1"/>
    <xf numFmtId="3" fontId="13" fillId="2" borderId="0" xfId="3" applyNumberFormat="1" applyFont="1" applyFill="1"/>
    <xf numFmtId="3" fontId="19" fillId="0" borderId="0" xfId="3" applyNumberFormat="1" applyFont="1"/>
    <xf numFmtId="3" fontId="19" fillId="0" borderId="0" xfId="3" applyNumberFormat="1" applyFont="1" applyFill="1"/>
    <xf numFmtId="0" fontId="1" fillId="0" borderId="0" xfId="0" applyFont="1" applyFill="1" applyAlignment="1"/>
    <xf numFmtId="3" fontId="10" fillId="2" borderId="16" xfId="0" applyNumberFormat="1" applyFont="1" applyFill="1" applyBorder="1"/>
    <xf numFmtId="43" fontId="10" fillId="2" borderId="16" xfId="3" applyFont="1" applyFill="1" applyBorder="1"/>
    <xf numFmtId="3" fontId="12" fillId="2" borderId="16" xfId="0" applyNumberFormat="1" applyFont="1" applyFill="1" applyBorder="1"/>
    <xf numFmtId="43" fontId="12" fillId="2" borderId="16" xfId="3" applyFont="1" applyFill="1" applyBorder="1"/>
    <xf numFmtId="3" fontId="10" fillId="0" borderId="16" xfId="0" applyNumberFormat="1" applyFont="1" applyBorder="1"/>
    <xf numFmtId="43" fontId="10" fillId="0" borderId="16" xfId="3" applyFont="1" applyBorder="1"/>
    <xf numFmtId="165" fontId="34" fillId="6" borderId="2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4" fontId="20" fillId="0" borderId="7" xfId="2" applyNumberFormat="1" applyFont="1" applyFill="1" applyBorder="1" applyAlignment="1">
      <alignment horizontal="right" vertical="center"/>
    </xf>
    <xf numFmtId="164" fontId="10" fillId="2" borderId="0" xfId="0" applyNumberFormat="1" applyFont="1" applyFill="1"/>
    <xf numFmtId="43" fontId="3" fillId="0" borderId="0" xfId="3" quotePrefix="1" applyFont="1" applyFill="1"/>
    <xf numFmtId="43" fontId="39" fillId="0" borderId="0" xfId="3" quotePrefix="1" applyFont="1" applyFill="1" applyAlignment="1">
      <alignment vertical="top"/>
    </xf>
    <xf numFmtId="4" fontId="19" fillId="2" borderId="0" xfId="0" applyNumberFormat="1" applyFont="1" applyFill="1"/>
    <xf numFmtId="9" fontId="19" fillId="0" borderId="0" xfId="4" applyFont="1" applyFill="1"/>
    <xf numFmtId="0" fontId="26" fillId="0" borderId="6" xfId="1" applyFont="1" applyBorder="1" applyAlignment="1">
      <alignment horizontal="center" vertical="center" wrapText="1"/>
    </xf>
    <xf numFmtId="0" fontId="26" fillId="0" borderId="7" xfId="1" applyFont="1" applyBorder="1" applyAlignment="1">
      <alignment horizontal="center" vertical="center" wrapText="1"/>
    </xf>
    <xf numFmtId="0" fontId="26" fillId="0" borderId="8" xfId="1" applyFont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/>
    </xf>
    <xf numFmtId="0" fontId="21" fillId="4" borderId="13" xfId="2" applyFont="1" applyFill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4" fillId="0" borderId="7" xfId="2" applyFont="1" applyFill="1" applyBorder="1" applyAlignment="1">
      <alignment horizontal="center" vertical="center"/>
    </xf>
    <xf numFmtId="0" fontId="24" fillId="0" borderId="8" xfId="2" applyFont="1" applyFill="1" applyBorder="1" applyAlignment="1">
      <alignment horizontal="center" vertical="center"/>
    </xf>
    <xf numFmtId="0" fontId="27" fillId="0" borderId="32" xfId="0" applyFont="1" applyFill="1" applyBorder="1" applyAlignment="1">
      <alignment horizontal="center"/>
    </xf>
    <xf numFmtId="0" fontId="27" fillId="0" borderId="32" xfId="0" applyFont="1" applyFill="1" applyBorder="1"/>
    <xf numFmtId="10" fontId="27" fillId="0" borderId="32" xfId="4" applyNumberFormat="1" applyFont="1" applyFill="1" applyBorder="1" applyAlignment="1">
      <alignment horizontal="center"/>
    </xf>
    <xf numFmtId="0" fontId="19" fillId="2" borderId="33" xfId="0" applyFont="1" applyFill="1" applyBorder="1"/>
    <xf numFmtId="0" fontId="10" fillId="2" borderId="33" xfId="0" applyFont="1" applyFill="1" applyBorder="1"/>
    <xf numFmtId="0" fontId="10" fillId="2" borderId="12" xfId="0" applyFont="1" applyFill="1" applyBorder="1"/>
    <xf numFmtId="0" fontId="28" fillId="8" borderId="11" xfId="0" applyFont="1" applyFill="1" applyBorder="1" applyAlignment="1"/>
    <xf numFmtId="0" fontId="28" fillId="8" borderId="33" xfId="0" applyFont="1" applyFill="1" applyBorder="1" applyAlignment="1"/>
    <xf numFmtId="0" fontId="26" fillId="0" borderId="34" xfId="1" applyFont="1" applyBorder="1" applyAlignment="1">
      <alignment horizontal="center" vertical="center" wrapText="1"/>
    </xf>
    <xf numFmtId="0" fontId="20" fillId="0" borderId="34" xfId="2" applyFont="1" applyBorder="1" applyAlignment="1">
      <alignment horizontal="left" vertical="center"/>
    </xf>
    <xf numFmtId="4" fontId="20" fillId="0" borderId="34" xfId="2" applyNumberFormat="1" applyFont="1" applyBorder="1" applyAlignment="1">
      <alignment horizontal="right" vertical="center"/>
    </xf>
    <xf numFmtId="4" fontId="2" fillId="0" borderId="0" xfId="0" applyNumberFormat="1" applyFont="1" applyFill="1" applyAlignment="1">
      <alignment horizontal="left"/>
    </xf>
    <xf numFmtId="4" fontId="2" fillId="0" borderId="0" xfId="0" quotePrefix="1" applyNumberFormat="1" applyFont="1" applyFill="1" applyAlignment="1">
      <alignment horizontal="left"/>
    </xf>
    <xf numFmtId="4" fontId="41" fillId="0" borderId="0" xfId="0" quotePrefix="1" applyNumberFormat="1" applyFont="1" applyFill="1" applyAlignment="1">
      <alignment horizontal="left"/>
    </xf>
    <xf numFmtId="4" fontId="41" fillId="0" borderId="0" xfId="0" quotePrefix="1" applyNumberFormat="1" applyFont="1" applyFill="1"/>
    <xf numFmtId="4" fontId="33" fillId="2" borderId="0" xfId="0" applyNumberFormat="1" applyFont="1" applyFill="1" applyAlignment="1">
      <alignment horizontal="right"/>
    </xf>
    <xf numFmtId="4" fontId="42" fillId="2" borderId="0" xfId="0" applyNumberFormat="1" applyFont="1" applyFill="1"/>
    <xf numFmtId="4" fontId="43" fillId="0" borderId="0" xfId="0" quotePrefix="1" applyNumberFormat="1" applyFont="1" applyFill="1" applyAlignment="1">
      <alignment horizontal="left"/>
    </xf>
    <xf numFmtId="4" fontId="44" fillId="0" borderId="0" xfId="0" quotePrefix="1" applyNumberFormat="1" applyFont="1" applyFill="1" applyAlignment="1">
      <alignment horizontal="left"/>
    </xf>
    <xf numFmtId="43" fontId="2" fillId="0" borderId="0" xfId="3" applyFont="1" applyFill="1"/>
    <xf numFmtId="43" fontId="41" fillId="0" borderId="0" xfId="3" quotePrefix="1" applyFont="1" applyFill="1"/>
    <xf numFmtId="43" fontId="31" fillId="0" borderId="0" xfId="3" applyFont="1" applyFill="1"/>
    <xf numFmtId="43" fontId="31" fillId="2" borderId="0" xfId="3" applyFont="1" applyFill="1"/>
    <xf numFmtId="43" fontId="19" fillId="2" borderId="0" xfId="3" applyFont="1" applyFill="1" applyAlignment="1">
      <alignment vertical="center"/>
    </xf>
    <xf numFmtId="0" fontId="33" fillId="0" borderId="16" xfId="0" applyFont="1" applyFill="1" applyBorder="1" applyAlignment="1">
      <alignment horizontal="center"/>
    </xf>
    <xf numFmtId="0" fontId="33" fillId="0" borderId="16" xfId="0" applyFont="1" applyFill="1" applyBorder="1"/>
    <xf numFmtId="0" fontId="42" fillId="0" borderId="0" xfId="0" applyFont="1" applyFill="1"/>
    <xf numFmtId="4" fontId="45" fillId="0" borderId="0" xfId="0" quotePrefix="1" applyNumberFormat="1" applyFont="1" applyFill="1" applyAlignment="1">
      <alignment horizontal="left"/>
    </xf>
    <xf numFmtId="4" fontId="4" fillId="0" borderId="0" xfId="0" quotePrefix="1" applyNumberFormat="1" applyFont="1" applyFill="1" applyAlignment="1">
      <alignment horizontal="left"/>
    </xf>
    <xf numFmtId="4" fontId="39" fillId="0" borderId="0" xfId="0" quotePrefix="1" applyNumberFormat="1" applyFont="1" applyFill="1" applyAlignment="1">
      <alignment horizontal="left"/>
    </xf>
    <xf numFmtId="0" fontId="20" fillId="0" borderId="35" xfId="1" applyFont="1" applyBorder="1" applyAlignment="1">
      <alignment horizontal="center" vertical="center"/>
    </xf>
    <xf numFmtId="0" fontId="20" fillId="0" borderId="36" xfId="2" applyFont="1" applyBorder="1" applyAlignment="1">
      <alignment vertical="center"/>
    </xf>
    <xf numFmtId="4" fontId="20" fillId="0" borderId="36" xfId="2" applyNumberFormat="1" applyFont="1" applyBorder="1" applyAlignment="1">
      <alignment horizontal="right" vertical="center"/>
    </xf>
    <xf numFmtId="4" fontId="20" fillId="0" borderId="35" xfId="2" applyNumberFormat="1" applyFont="1" applyBorder="1" applyAlignment="1">
      <alignment horizontal="right" vertical="center"/>
    </xf>
    <xf numFmtId="4" fontId="26" fillId="0" borderId="36" xfId="2" applyNumberFormat="1" applyFont="1" applyBorder="1" applyAlignment="1">
      <alignment horizontal="right" vertical="center"/>
    </xf>
    <xf numFmtId="0" fontId="20" fillId="0" borderId="36" xfId="1" applyFont="1" applyBorder="1" applyAlignment="1">
      <alignment horizontal="center" vertical="center"/>
    </xf>
    <xf numFmtId="4" fontId="20" fillId="0" borderId="36" xfId="2" applyNumberFormat="1" applyFont="1" applyFill="1" applyBorder="1" applyAlignment="1">
      <alignment horizontal="right" vertical="center"/>
    </xf>
    <xf numFmtId="4" fontId="22" fillId="0" borderId="9" xfId="2" applyNumberFormat="1" applyFont="1" applyBorder="1" applyAlignment="1">
      <alignment horizontal="right" vertical="center"/>
    </xf>
    <xf numFmtId="4" fontId="10" fillId="2" borderId="0" xfId="0" applyNumberFormat="1" applyFont="1" applyFill="1"/>
    <xf numFmtId="0" fontId="25" fillId="11" borderId="24" xfId="0" applyFont="1" applyFill="1" applyBorder="1" applyAlignment="1">
      <alignment horizontal="center" vertical="center"/>
    </xf>
    <xf numFmtId="0" fontId="25" fillId="11" borderId="25" xfId="0" applyFont="1" applyFill="1" applyBorder="1" applyAlignment="1">
      <alignment horizontal="center" vertical="center"/>
    </xf>
    <xf numFmtId="4" fontId="25" fillId="11" borderId="26" xfId="0" applyNumberFormat="1" applyFont="1" applyFill="1" applyBorder="1" applyAlignment="1">
      <alignment horizontal="center" vertical="center"/>
    </xf>
    <xf numFmtId="4" fontId="25" fillId="11" borderId="25" xfId="0" applyNumberFormat="1" applyFont="1" applyFill="1" applyBorder="1" applyAlignment="1">
      <alignment horizontal="center" vertical="center"/>
    </xf>
    <xf numFmtId="4" fontId="25" fillId="11" borderId="24" xfId="0" applyNumberFormat="1" applyFont="1" applyFill="1" applyBorder="1" applyAlignment="1">
      <alignment horizontal="center" vertical="center"/>
    </xf>
    <xf numFmtId="165" fontId="25" fillId="11" borderId="26" xfId="0" applyNumberFormat="1" applyFont="1" applyFill="1" applyBorder="1" applyAlignment="1">
      <alignment horizontal="center" vertical="center"/>
    </xf>
    <xf numFmtId="165" fontId="25" fillId="11" borderId="25" xfId="0" applyNumberFormat="1" applyFont="1" applyFill="1" applyBorder="1" applyAlignment="1">
      <alignment horizontal="center" vertical="center"/>
    </xf>
    <xf numFmtId="165" fontId="25" fillId="11" borderId="24" xfId="0" applyNumberFormat="1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165" fontId="25" fillId="11" borderId="11" xfId="0" applyNumberFormat="1" applyFont="1" applyFill="1" applyBorder="1" applyAlignment="1">
      <alignment horizontal="center" vertical="center"/>
    </xf>
    <xf numFmtId="165" fontId="25" fillId="11" borderId="1" xfId="0" applyNumberFormat="1" applyFont="1" applyFill="1" applyBorder="1" applyAlignment="1">
      <alignment horizontal="center" vertical="center"/>
    </xf>
    <xf numFmtId="4" fontId="25" fillId="11" borderId="1" xfId="0" applyNumberFormat="1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center"/>
    </xf>
    <xf numFmtId="0" fontId="12" fillId="0" borderId="0" xfId="0" applyFont="1" applyFill="1"/>
    <xf numFmtId="0" fontId="26" fillId="0" borderId="5" xfId="1" applyFont="1" applyFill="1" applyBorder="1" applyAlignment="1">
      <alignment horizontal="center" vertical="center" wrapText="1"/>
    </xf>
    <xf numFmtId="0" fontId="20" fillId="0" borderId="7" xfId="2" applyFont="1" applyFill="1" applyBorder="1" applyAlignment="1">
      <alignment horizontal="left" vertical="center"/>
    </xf>
    <xf numFmtId="4" fontId="20" fillId="0" borderId="5" xfId="2" applyNumberFormat="1" applyFont="1" applyFill="1" applyBorder="1" applyAlignment="1">
      <alignment horizontal="right" vertical="center"/>
    </xf>
    <xf numFmtId="9" fontId="12" fillId="0" borderId="0" xfId="4" applyFont="1" applyFill="1"/>
    <xf numFmtId="0" fontId="20" fillId="0" borderId="7" xfId="2" applyFont="1" applyFill="1" applyBorder="1" applyAlignment="1">
      <alignment vertical="center"/>
    </xf>
    <xf numFmtId="0" fontId="26" fillId="0" borderId="10" xfId="1" applyFont="1" applyFill="1" applyBorder="1" applyAlignment="1">
      <alignment horizontal="center" vertical="center" wrapText="1"/>
    </xf>
    <xf numFmtId="0" fontId="20" fillId="0" borderId="8" xfId="2" applyFont="1" applyFill="1" applyBorder="1" applyAlignment="1">
      <alignment vertical="center"/>
    </xf>
    <xf numFmtId="4" fontId="20" fillId="0" borderId="23" xfId="2" applyNumberFormat="1" applyFont="1" applyFill="1" applyBorder="1" applyAlignment="1">
      <alignment horizontal="right" vertical="center"/>
    </xf>
    <xf numFmtId="0" fontId="20" fillId="0" borderId="4" xfId="1" applyFont="1" applyFill="1" applyBorder="1" applyAlignment="1">
      <alignment horizontal="center" vertical="center"/>
    </xf>
    <xf numFmtId="0" fontId="20" fillId="0" borderId="6" xfId="2" applyFont="1" applyFill="1" applyBorder="1" applyAlignment="1">
      <alignment vertical="center"/>
    </xf>
    <xf numFmtId="0" fontId="20" fillId="0" borderId="10" xfId="1" applyFont="1" applyFill="1" applyBorder="1" applyAlignment="1">
      <alignment horizontal="center" vertical="center"/>
    </xf>
    <xf numFmtId="0" fontId="20" fillId="0" borderId="35" xfId="1" applyFont="1" applyFill="1" applyBorder="1" applyAlignment="1">
      <alignment horizontal="center" vertical="center"/>
    </xf>
    <xf numFmtId="0" fontId="20" fillId="0" borderId="36" xfId="2" applyFont="1" applyFill="1" applyBorder="1" applyAlignment="1">
      <alignment vertical="center"/>
    </xf>
    <xf numFmtId="4" fontId="20" fillId="0" borderId="35" xfId="2" applyNumberFormat="1" applyFont="1" applyFill="1" applyBorder="1" applyAlignment="1">
      <alignment horizontal="right" vertical="center"/>
    </xf>
    <xf numFmtId="9" fontId="10" fillId="0" borderId="0" xfId="4" applyFont="1" applyFill="1"/>
    <xf numFmtId="0" fontId="20" fillId="0" borderId="5" xfId="1" applyFont="1" applyFill="1" applyBorder="1" applyAlignment="1">
      <alignment horizontal="center" vertical="center"/>
    </xf>
    <xf numFmtId="0" fontId="23" fillId="0" borderId="7" xfId="2" applyFont="1" applyFill="1" applyBorder="1" applyAlignment="1">
      <alignment vertical="center"/>
    </xf>
    <xf numFmtId="4" fontId="23" fillId="0" borderId="3" xfId="2" applyNumberFormat="1" applyFont="1" applyFill="1" applyBorder="1" applyAlignment="1">
      <alignment horizontal="right" vertical="center"/>
    </xf>
    <xf numFmtId="4" fontId="23" fillId="0" borderId="7" xfId="2" applyNumberFormat="1" applyFont="1" applyFill="1" applyBorder="1" applyAlignment="1">
      <alignment horizontal="right" vertical="center"/>
    </xf>
    <xf numFmtId="4" fontId="23" fillId="0" borderId="5" xfId="2" applyNumberFormat="1" applyFont="1" applyFill="1" applyBorder="1" applyAlignment="1">
      <alignment horizontal="right" vertical="center"/>
    </xf>
    <xf numFmtId="0" fontId="26" fillId="13" borderId="12" xfId="1" applyFont="1" applyFill="1" applyBorder="1" applyAlignment="1">
      <alignment horizontal="center" vertical="center" wrapText="1"/>
    </xf>
    <xf numFmtId="0" fontId="21" fillId="13" borderId="1" xfId="2" applyFont="1" applyFill="1" applyBorder="1" applyAlignment="1">
      <alignment horizontal="left" vertical="center"/>
    </xf>
    <xf numFmtId="4" fontId="21" fillId="13" borderId="11" xfId="2" applyNumberFormat="1" applyFont="1" applyFill="1" applyBorder="1" applyAlignment="1">
      <alignment horizontal="right" vertical="center"/>
    </xf>
    <xf numFmtId="4" fontId="21" fillId="13" borderId="1" xfId="2" applyNumberFormat="1" applyFont="1" applyFill="1" applyBorder="1" applyAlignment="1">
      <alignment horizontal="right" vertical="center"/>
    </xf>
    <xf numFmtId="4" fontId="21" fillId="13" borderId="12" xfId="2" applyNumberFormat="1" applyFont="1" applyFill="1" applyBorder="1" applyAlignment="1">
      <alignment horizontal="right" vertical="center"/>
    </xf>
    <xf numFmtId="0" fontId="19" fillId="13" borderId="0" xfId="0" applyFont="1" applyFill="1"/>
    <xf numFmtId="0" fontId="10" fillId="13" borderId="0" xfId="0" applyFont="1" applyFill="1"/>
    <xf numFmtId="0" fontId="21" fillId="13" borderId="12" xfId="2" applyFont="1" applyFill="1" applyBorder="1" applyAlignment="1">
      <alignment horizontal="center" vertical="center"/>
    </xf>
    <xf numFmtId="0" fontId="21" fillId="13" borderId="1" xfId="2" applyFont="1" applyFill="1" applyBorder="1" applyAlignment="1">
      <alignment vertical="center"/>
    </xf>
    <xf numFmtId="9" fontId="19" fillId="13" borderId="0" xfId="4" applyFont="1" applyFill="1"/>
    <xf numFmtId="0" fontId="21" fillId="13" borderId="15" xfId="2" applyFont="1" applyFill="1" applyBorder="1" applyAlignment="1">
      <alignment horizontal="center" vertical="center"/>
    </xf>
    <xf numFmtId="0" fontId="21" fillId="13" borderId="13" xfId="2" applyFont="1" applyFill="1" applyBorder="1" applyAlignment="1">
      <alignment vertical="center"/>
    </xf>
    <xf numFmtId="4" fontId="22" fillId="13" borderId="14" xfId="2" applyNumberFormat="1" applyFont="1" applyFill="1" applyBorder="1" applyAlignment="1">
      <alignment horizontal="right" vertical="center"/>
    </xf>
    <xf numFmtId="4" fontId="22" fillId="13" borderId="13" xfId="2" applyNumberFormat="1" applyFont="1" applyFill="1" applyBorder="1" applyAlignment="1">
      <alignment horizontal="right" vertical="center"/>
    </xf>
    <xf numFmtId="4" fontId="22" fillId="13" borderId="15" xfId="2" applyNumberFormat="1" applyFont="1" applyFill="1" applyBorder="1" applyAlignment="1">
      <alignment horizontal="right" vertical="center"/>
    </xf>
    <xf numFmtId="0" fontId="21" fillId="13" borderId="27" xfId="2" applyFont="1" applyFill="1" applyBorder="1" applyAlignment="1">
      <alignment horizontal="center" vertical="center"/>
    </xf>
    <xf numFmtId="0" fontId="21" fillId="13" borderId="28" xfId="2" applyFont="1" applyFill="1" applyBorder="1" applyAlignment="1">
      <alignment vertical="center"/>
    </xf>
    <xf numFmtId="4" fontId="21" fillId="13" borderId="29" xfId="2" applyNumberFormat="1" applyFont="1" applyFill="1" applyBorder="1" applyAlignment="1">
      <alignment horizontal="right" vertical="center"/>
    </xf>
    <xf numFmtId="4" fontId="21" fillId="13" borderId="28" xfId="2" applyNumberFormat="1" applyFont="1" applyFill="1" applyBorder="1" applyAlignment="1">
      <alignment horizontal="right" vertical="center"/>
    </xf>
    <xf numFmtId="4" fontId="21" fillId="13" borderId="27" xfId="2" applyNumberFormat="1" applyFont="1" applyFill="1" applyBorder="1" applyAlignment="1">
      <alignment horizontal="right" vertical="center"/>
    </xf>
    <xf numFmtId="9" fontId="4" fillId="0" borderId="0" xfId="4" quotePrefix="1" applyFont="1" applyFill="1"/>
    <xf numFmtId="43" fontId="4" fillId="0" borderId="0" xfId="3" quotePrefix="1" applyFont="1" applyFill="1" applyAlignment="1">
      <alignment horizontal="right"/>
    </xf>
    <xf numFmtId="43" fontId="39" fillId="0" borderId="0" xfId="3" quotePrefix="1" applyFont="1" applyFill="1" applyAlignment="1">
      <alignment horizontal="left"/>
    </xf>
    <xf numFmtId="43" fontId="39" fillId="0" borderId="0" xfId="3" quotePrefix="1" applyFont="1" applyFill="1"/>
    <xf numFmtId="0" fontId="49" fillId="15" borderId="0" xfId="0" applyFont="1" applyFill="1" applyAlignment="1">
      <alignment horizontal="center" vertical="center"/>
    </xf>
    <xf numFmtId="4" fontId="0" fillId="15" borderId="0" xfId="0" applyNumberFormat="1" applyFill="1" applyAlignment="1">
      <alignment horizontal="right" vertical="center"/>
    </xf>
    <xf numFmtId="0" fontId="0" fillId="15" borderId="0" xfId="0" applyFill="1" applyAlignment="1">
      <alignment vertical="center"/>
    </xf>
    <xf numFmtId="0" fontId="10" fillId="15" borderId="0" xfId="0" applyFont="1" applyFill="1" applyAlignment="1">
      <alignment horizontal="center" vertical="center"/>
    </xf>
    <xf numFmtId="4" fontId="10" fillId="15" borderId="0" xfId="0" applyNumberFormat="1" applyFont="1" applyFill="1" applyAlignment="1">
      <alignment horizontal="right" vertical="center"/>
    </xf>
    <xf numFmtId="0" fontId="46" fillId="15" borderId="16" xfId="0" applyFont="1" applyFill="1" applyBorder="1" applyAlignment="1">
      <alignment horizontal="center" vertical="center"/>
    </xf>
    <xf numFmtId="165" fontId="46" fillId="15" borderId="16" xfId="0" applyNumberFormat="1" applyFont="1" applyFill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3" fontId="47" fillId="15" borderId="16" xfId="0" applyNumberFormat="1" applyFont="1" applyFill="1" applyBorder="1" applyAlignment="1">
      <alignment horizontal="right" vertical="center"/>
    </xf>
    <xf numFmtId="3" fontId="0" fillId="15" borderId="0" xfId="0" applyNumberFormat="1" applyFill="1" applyAlignment="1">
      <alignment horizontal="right" vertical="center"/>
    </xf>
    <xf numFmtId="4" fontId="47" fillId="15" borderId="16" xfId="0" applyNumberFormat="1" applyFont="1" applyFill="1" applyBorder="1" applyAlignment="1">
      <alignment horizontal="right" vertical="center"/>
    </xf>
    <xf numFmtId="0" fontId="50" fillId="2" borderId="0" xfId="0" applyFont="1" applyFill="1"/>
    <xf numFmtId="4" fontId="51" fillId="2" borderId="0" xfId="0" applyNumberFormat="1" applyFont="1" applyFill="1"/>
    <xf numFmtId="4" fontId="52" fillId="2" borderId="0" xfId="0" applyNumberFormat="1" applyFont="1" applyFill="1"/>
    <xf numFmtId="0" fontId="40" fillId="2" borderId="0" xfId="0" applyFont="1" applyFill="1"/>
    <xf numFmtId="4" fontId="1" fillId="0" borderId="0" xfId="0" applyNumberFormat="1" applyFont="1" applyFill="1" applyAlignment="1">
      <alignment vertical="center"/>
    </xf>
    <xf numFmtId="4" fontId="3" fillId="0" borderId="0" xfId="0" quotePrefix="1" applyNumberFormat="1" applyFont="1" applyFill="1" applyAlignment="1">
      <alignment vertical="center"/>
    </xf>
    <xf numFmtId="4" fontId="0" fillId="0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4" fontId="10" fillId="2" borderId="0" xfId="0" applyNumberFormat="1" applyFont="1" applyFill="1" applyAlignment="1">
      <alignment vertical="center"/>
    </xf>
    <xf numFmtId="4" fontId="12" fillId="2" borderId="0" xfId="0" applyNumberFormat="1" applyFont="1" applyFill="1" applyAlignment="1">
      <alignment vertical="center"/>
    </xf>
    <xf numFmtId="4" fontId="10" fillId="0" borderId="0" xfId="0" applyNumberFormat="1" applyFont="1" applyAlignment="1">
      <alignment vertical="center"/>
    </xf>
    <xf numFmtId="4" fontId="10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53" fillId="0" borderId="0" xfId="0" quotePrefix="1" applyNumberFormat="1" applyFont="1" applyFill="1" applyAlignment="1">
      <alignment horizontal="center" vertical="center"/>
    </xf>
    <xf numFmtId="4" fontId="20" fillId="9" borderId="8" xfId="2" applyNumberFormat="1" applyFont="1" applyFill="1" applyBorder="1" applyAlignment="1">
      <alignment horizontal="right" vertical="center"/>
    </xf>
    <xf numFmtId="4" fontId="20" fillId="9" borderId="7" xfId="2" applyNumberFormat="1" applyFont="1" applyFill="1" applyBorder="1" applyAlignment="1">
      <alignment horizontal="right" vertical="center"/>
    </xf>
    <xf numFmtId="43" fontId="3" fillId="0" borderId="0" xfId="3" quotePrefix="1" applyFont="1" applyFill="1" applyAlignment="1">
      <alignment vertical="center"/>
    </xf>
    <xf numFmtId="43" fontId="39" fillId="0" borderId="0" xfId="3" quotePrefix="1" applyFont="1" applyFill="1" applyAlignment="1">
      <alignment vertical="center"/>
    </xf>
    <xf numFmtId="43" fontId="10" fillId="2" borderId="0" xfId="3" applyFont="1" applyFill="1" applyAlignment="1">
      <alignment vertical="center"/>
    </xf>
    <xf numFmtId="43" fontId="0" fillId="2" borderId="0" xfId="3" applyFont="1" applyFill="1" applyAlignment="1">
      <alignment vertical="center"/>
    </xf>
    <xf numFmtId="43" fontId="12" fillId="2" borderId="0" xfId="3" applyFont="1" applyFill="1" applyAlignment="1">
      <alignment vertical="center"/>
    </xf>
    <xf numFmtId="43" fontId="40" fillId="2" borderId="0" xfId="3" applyFont="1" applyFill="1" applyAlignment="1">
      <alignment vertical="center"/>
    </xf>
    <xf numFmtId="43" fontId="10" fillId="0" borderId="0" xfId="3" applyFont="1" applyAlignment="1">
      <alignment vertical="center"/>
    </xf>
    <xf numFmtId="43" fontId="10" fillId="0" borderId="0" xfId="3" applyFont="1" applyFill="1" applyAlignment="1">
      <alignment vertical="center"/>
    </xf>
    <xf numFmtId="43" fontId="0" fillId="0" borderId="0" xfId="3" applyFont="1" applyFill="1" applyAlignment="1">
      <alignment vertical="center"/>
    </xf>
    <xf numFmtId="43" fontId="1" fillId="0" borderId="0" xfId="3" applyFont="1" applyFill="1" applyAlignment="1">
      <alignment vertical="center"/>
    </xf>
    <xf numFmtId="43" fontId="14" fillId="12" borderId="0" xfId="3" applyFont="1" applyFill="1" applyAlignment="1">
      <alignment horizontal="center" vertical="center"/>
    </xf>
    <xf numFmtId="43" fontId="10" fillId="11" borderId="19" xfId="3" applyFont="1" applyFill="1" applyBorder="1" applyAlignment="1">
      <alignment horizontal="center" vertical="center" wrapText="1"/>
    </xf>
    <xf numFmtId="43" fontId="10" fillId="11" borderId="19" xfId="3" applyFont="1" applyFill="1" applyBorder="1" applyAlignment="1">
      <alignment horizontal="center" vertical="center"/>
    </xf>
    <xf numFmtId="43" fontId="11" fillId="8" borderId="16" xfId="3" applyFont="1" applyFill="1" applyBorder="1" applyAlignment="1">
      <alignment horizontal="center" vertical="center" textRotation="90"/>
    </xf>
    <xf numFmtId="43" fontId="11" fillId="8" borderId="16" xfId="3" applyFont="1" applyFill="1" applyBorder="1" applyAlignment="1">
      <alignment horizontal="center" vertical="center" textRotation="90" wrapText="1"/>
    </xf>
    <xf numFmtId="43" fontId="10" fillId="9" borderId="19" xfId="3" applyFont="1" applyFill="1" applyBorder="1" applyAlignment="1">
      <alignment horizontal="center" vertical="center"/>
    </xf>
    <xf numFmtId="43" fontId="10" fillId="10" borderId="19" xfId="3" applyFont="1" applyFill="1" applyBorder="1" applyAlignment="1">
      <alignment horizontal="center" vertical="center"/>
    </xf>
    <xf numFmtId="0" fontId="28" fillId="8" borderId="17" xfId="0" applyFont="1" applyFill="1" applyBorder="1" applyAlignment="1">
      <alignment horizontal="center"/>
    </xf>
    <xf numFmtId="0" fontId="28" fillId="8" borderId="18" xfId="0" applyFont="1" applyFill="1" applyBorder="1" applyAlignment="1">
      <alignment horizontal="center"/>
    </xf>
    <xf numFmtId="0" fontId="28" fillId="8" borderId="1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18" fillId="2" borderId="22" xfId="0" applyFont="1" applyFill="1" applyBorder="1" applyAlignment="1">
      <alignment horizontal="center"/>
    </xf>
    <xf numFmtId="0" fontId="28" fillId="8" borderId="11" xfId="0" applyFont="1" applyFill="1" applyBorder="1" applyAlignment="1">
      <alignment horizontal="center"/>
    </xf>
    <xf numFmtId="0" fontId="28" fillId="8" borderId="33" xfId="0" applyFont="1" applyFill="1" applyBorder="1" applyAlignment="1">
      <alignment horizontal="center"/>
    </xf>
    <xf numFmtId="0" fontId="28" fillId="8" borderId="12" xfId="0" applyFont="1" applyFill="1" applyBorder="1" applyAlignment="1">
      <alignment horizontal="center"/>
    </xf>
    <xf numFmtId="0" fontId="31" fillId="15" borderId="37" xfId="0" applyFont="1" applyFill="1" applyBorder="1" applyAlignment="1">
      <alignment horizontal="left" vertical="center"/>
    </xf>
    <xf numFmtId="0" fontId="31" fillId="15" borderId="32" xfId="0" applyFont="1" applyFill="1" applyBorder="1" applyAlignment="1">
      <alignment horizontal="left" vertical="center"/>
    </xf>
    <xf numFmtId="0" fontId="48" fillId="15" borderId="0" xfId="0" applyFont="1" applyFill="1" applyBorder="1" applyAlignment="1">
      <alignment horizontal="center" vertical="center"/>
    </xf>
    <xf numFmtId="0" fontId="48" fillId="15" borderId="31" xfId="0" applyFont="1" applyFill="1" applyBorder="1" applyAlignment="1">
      <alignment horizontal="center" vertical="center"/>
    </xf>
    <xf numFmtId="0" fontId="49" fillId="14" borderId="0" xfId="0" applyFont="1" applyFill="1" applyAlignment="1">
      <alignment horizontal="center" vertical="center"/>
    </xf>
    <xf numFmtId="0" fontId="28" fillId="8" borderId="30" xfId="0" applyFont="1" applyFill="1" applyBorder="1" applyAlignment="1">
      <alignment horizontal="center"/>
    </xf>
    <xf numFmtId="0" fontId="28" fillId="8" borderId="31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4" fontId="54" fillId="4" borderId="11" xfId="2" applyNumberFormat="1" applyFont="1" applyFill="1" applyBorder="1" applyAlignment="1">
      <alignment horizontal="right" vertical="center"/>
    </xf>
    <xf numFmtId="4" fontId="54" fillId="4" borderId="14" xfId="2" applyNumberFormat="1" applyFont="1" applyFill="1" applyBorder="1" applyAlignment="1">
      <alignment horizontal="right" vertical="center"/>
    </xf>
    <xf numFmtId="4" fontId="54" fillId="4" borderId="29" xfId="2" applyNumberFormat="1" applyFont="1" applyFill="1" applyBorder="1" applyAlignment="1">
      <alignment horizontal="right" vertical="center"/>
    </xf>
    <xf numFmtId="4" fontId="55" fillId="11" borderId="25" xfId="0" applyNumberFormat="1" applyFont="1" applyFill="1" applyBorder="1" applyAlignment="1">
      <alignment horizontal="center" vertical="center"/>
    </xf>
    <xf numFmtId="9" fontId="54" fillId="4" borderId="11" xfId="4" applyFont="1" applyFill="1" applyBorder="1" applyAlignment="1">
      <alignment horizontal="right" vertical="center"/>
    </xf>
  </cellXfs>
  <cellStyles count="5">
    <cellStyle name="Milliers" xfId="3" builtinId="3"/>
    <cellStyle name="Normal" xfId="0" builtinId="0"/>
    <cellStyle name="Normal 2 11" xfId="2"/>
    <cellStyle name="Normal_Clot2000 4 5" xfId="1"/>
    <cellStyle name="Pourcentage" xfId="4" builtinId="5"/>
  </cellStyles>
  <dxfs count="42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13" formatCode="0%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 Semilight"/>
        <scheme val="none"/>
      </font>
      <fill>
        <patternFill patternType="solid">
          <fgColor rgb="FF000000"/>
          <bgColor rgb="FFDDEBF7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 style="medium">
          <color indexed="64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 style="medium">
          <color indexed="64"/>
        </vertical>
        <horizontal style="hair">
          <color auto="1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 Semilight"/>
        <scheme val="none"/>
      </font>
      <fill>
        <patternFill patternType="solid">
          <fgColor rgb="FF000000"/>
          <bgColor rgb="FFDDEBF7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 style="medium">
          <color indexed="64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 style="medium">
          <color indexed="64"/>
        </vertical>
        <horizontal style="hair">
          <color auto="1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 Semilight"/>
        <scheme val="none"/>
      </font>
      <fill>
        <patternFill patternType="solid">
          <fgColor rgb="FF000000"/>
          <bgColor rgb="FFDDEBF7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 Semilight"/>
        <scheme val="none"/>
      </font>
      <fill>
        <patternFill patternType="solid">
          <fgColor rgb="FF000000"/>
          <bgColor rgb="FFDDEBF7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 Semilight"/>
        <scheme val="none"/>
      </font>
      <fill>
        <patternFill patternType="solid">
          <fgColor rgb="FF000000"/>
          <bgColor rgb="FFDDEBF7"/>
        </patternFill>
      </fill>
      <alignment horizontal="right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 Semilight"/>
        <scheme val="none"/>
      </font>
      <fill>
        <patternFill patternType="solid">
          <fgColor rgb="FF000000"/>
          <bgColor rgb="FFDDEBF7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Semilight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0"/>
          <c:order val="0"/>
          <c:tx>
            <c:strRef>
              <c:f>GRAPHYQUES!$N$24:$O$24</c:f>
              <c:strCache>
                <c:ptCount val="2"/>
                <c:pt idx="0">
                  <c:v>CHIFFRE D'AFFAIRES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GRAPHYQUES!$P$24:$AA$24</c:f>
              <c:numCache>
                <c:formatCode>#,##0</c:formatCode>
                <c:ptCount val="12"/>
                <c:pt idx="0">
                  <c:v>72.594616900000005</c:v>
                </c:pt>
                <c:pt idx="1">
                  <c:v>94.859717139999987</c:v>
                </c:pt>
                <c:pt idx="2">
                  <c:v>93.211833339999998</c:v>
                </c:pt>
                <c:pt idx="3">
                  <c:v>96.2204464</c:v>
                </c:pt>
                <c:pt idx="4">
                  <c:v>152.15987580000001</c:v>
                </c:pt>
                <c:pt idx="5">
                  <c:v>169.56078120000001</c:v>
                </c:pt>
                <c:pt idx="6">
                  <c:v>126.70165040000001</c:v>
                </c:pt>
                <c:pt idx="7">
                  <c:v>156.0586892</c:v>
                </c:pt>
                <c:pt idx="8">
                  <c:v>207.67180429000001</c:v>
                </c:pt>
                <c:pt idx="9">
                  <c:v>217.80896014000001</c:v>
                </c:pt>
                <c:pt idx="10">
                  <c:v>235.14587037000001</c:v>
                </c:pt>
                <c:pt idx="11">
                  <c:v>486.57359730000007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6-4C8B-96E7-6B289037ECF6}"/>
            </c:ext>
          </c:extLst>
        </c:ser>
        <c:ser>
          <c:idx val="1"/>
          <c:order val="1"/>
          <c:tx>
            <c:strRef>
              <c:f>GRAPHYQUES!$N$25:$O$25</c:f>
              <c:strCache>
                <c:ptCount val="2"/>
                <c:pt idx="0">
                  <c:v>CHIFFRE D'AFFAIRES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GRAPHYQUES!$P$25:$AA$25</c:f>
              <c:numCache>
                <c:formatCode>#,##0</c:formatCode>
                <c:ptCount val="12"/>
                <c:pt idx="0">
                  <c:v>92.184710269999997</c:v>
                </c:pt>
                <c:pt idx="1">
                  <c:v>98.325431250000008</c:v>
                </c:pt>
                <c:pt idx="2">
                  <c:v>192.75221775999998</c:v>
                </c:pt>
                <c:pt idx="3">
                  <c:v>197.58164563000003</c:v>
                </c:pt>
                <c:pt idx="4">
                  <c:v>248.02460159999998</c:v>
                </c:pt>
                <c:pt idx="5">
                  <c:v>345.35723625999998</c:v>
                </c:pt>
                <c:pt idx="6">
                  <c:v>147.34745900999999</c:v>
                </c:pt>
                <c:pt idx="7">
                  <c:v>197.25824418000002</c:v>
                </c:pt>
                <c:pt idx="8">
                  <c:v>220.36779822</c:v>
                </c:pt>
                <c:pt idx="9">
                  <c:v>266.37292930000001</c:v>
                </c:pt>
                <c:pt idx="10">
                  <c:v>294.23575901000004</c:v>
                </c:pt>
                <c:pt idx="11">
                  <c:v>334.56219385999998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6-4C8B-96E7-6B289037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GRAPHYQUES!$N$26:$O$26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GRAPHYQUES!$P$26:$AA$26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120.98144435</c:v>
                      </c:pt>
                      <c:pt idx="1">
                        <c:v>132.78218099999998</c:v>
                      </c:pt>
                      <c:pt idx="2">
                        <c:v>130.87319431</c:v>
                      </c:pt>
                      <c:pt idx="3">
                        <c:v>72.057038959999986</c:v>
                      </c:pt>
                      <c:pt idx="4">
                        <c:v>106.01176556999999</c:v>
                      </c:pt>
                      <c:pt idx="5">
                        <c:v>204.11082909999999</c:v>
                      </c:pt>
                      <c:pt idx="6">
                        <c:v>109.31915982000001</c:v>
                      </c:pt>
                      <c:pt idx="7">
                        <c:v>151.17009121999999</c:v>
                      </c:pt>
                      <c:pt idx="8">
                        <c:v>185.38558771000004</c:v>
                      </c:pt>
                      <c:pt idx="9">
                        <c:v>216.24811851000001</c:v>
                      </c:pt>
                      <c:pt idx="10">
                        <c:v>193.57986073000001</c:v>
                      </c:pt>
                      <c:pt idx="11">
                        <c:v>384.64935160000005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76-4C8B-96E7-6B289037EC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GRAPHYQUES!$N$27:$O$27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GRAPHYQUES!$P$27:$AA$27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213.49584070999998</c:v>
                      </c:pt>
                      <c:pt idx="1">
                        <c:v>172.19152550999999</c:v>
                      </c:pt>
                      <c:pt idx="2">
                        <c:v>281.07496621000001</c:v>
                      </c:pt>
                      <c:pt idx="3">
                        <c:v>185.04600934000001</c:v>
                      </c:pt>
                      <c:pt idx="4">
                        <c:v>204.53502576</c:v>
                      </c:pt>
                      <c:pt idx="5">
                        <c:v>228.14084779000001</c:v>
                      </c:pt>
                      <c:pt idx="6">
                        <c:v>137.21407348</c:v>
                      </c:pt>
                      <c:pt idx="7">
                        <c:v>173.21041891000002</c:v>
                      </c:pt>
                      <c:pt idx="8">
                        <c:v>184.74831594</c:v>
                      </c:pt>
                      <c:pt idx="9">
                        <c:v>306.76374673000004</c:v>
                      </c:pt>
                      <c:pt idx="10">
                        <c:v>273.27079308999998</c:v>
                      </c:pt>
                      <c:pt idx="11">
                        <c:v>389.44742737999997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76-4C8B-96E7-6B289037EC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GRAPHYQUES!$N$28:$O$28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GRAPHYQUES!$P$28:$AA$28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104.06932908000002</c:v>
                      </c:pt>
                      <c:pt idx="1">
                        <c:v>101.10086497</c:v>
                      </c:pt>
                      <c:pt idx="2">
                        <c:v>99.773181240000014</c:v>
                      </c:pt>
                      <c:pt idx="3">
                        <c:v>60.573071120000002</c:v>
                      </c:pt>
                      <c:pt idx="4">
                        <c:v>66.085679040000002</c:v>
                      </c:pt>
                      <c:pt idx="5">
                        <c:v>140.41066816</c:v>
                      </c:pt>
                      <c:pt idx="6">
                        <c:v>83.361222760000004</c:v>
                      </c:pt>
                      <c:pt idx="7">
                        <c:v>122.16785022000001</c:v>
                      </c:pt>
                      <c:pt idx="8">
                        <c:v>131.82940602000002</c:v>
                      </c:pt>
                      <c:pt idx="9">
                        <c:v>173.18429282999998</c:v>
                      </c:pt>
                      <c:pt idx="10">
                        <c:v>128.4683775</c:v>
                      </c:pt>
                      <c:pt idx="11">
                        <c:v>222.11881713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76-4C8B-96E7-6B289037EC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GRAPHYQUES!$N$29:$O$29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GRAPHYQUES!$P$29:$AA$29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162.49593348999997</c:v>
                      </c:pt>
                      <c:pt idx="1">
                        <c:v>126.88893487</c:v>
                      </c:pt>
                      <c:pt idx="2">
                        <c:v>214.45810731</c:v>
                      </c:pt>
                      <c:pt idx="3">
                        <c:v>129.19147074</c:v>
                      </c:pt>
                      <c:pt idx="4">
                        <c:v>133.63691832000001</c:v>
                      </c:pt>
                      <c:pt idx="5">
                        <c:v>150.17935711999999</c:v>
                      </c:pt>
                      <c:pt idx="6">
                        <c:v>85.600110349999994</c:v>
                      </c:pt>
                      <c:pt idx="7">
                        <c:v>118.37223598999999</c:v>
                      </c:pt>
                      <c:pt idx="8">
                        <c:v>121.96870238000001</c:v>
                      </c:pt>
                      <c:pt idx="9">
                        <c:v>204.20791288999999</c:v>
                      </c:pt>
                      <c:pt idx="10">
                        <c:v>161.21316583999999</c:v>
                      </c:pt>
                      <c:pt idx="11">
                        <c:v>260.56986866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76-4C8B-96E7-6B289037EC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GRAPHYQUES!$N$30:$O$30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GRAPHYQUES!$P$30:$AA$30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7.0997781899999932</c:v>
                      </c:pt>
                      <c:pt idx="1">
                        <c:v>23.411253420000001</c:v>
                      </c:pt>
                      <c:pt idx="2">
                        <c:v>23.481179669999989</c:v>
                      </c:pt>
                      <c:pt idx="3">
                        <c:v>5.6236285199999987</c:v>
                      </c:pt>
                      <c:pt idx="4">
                        <c:v>31.658686349999989</c:v>
                      </c:pt>
                      <c:pt idx="5">
                        <c:v>46.742336650000013</c:v>
                      </c:pt>
                      <c:pt idx="6">
                        <c:v>10.798667260000011</c:v>
                      </c:pt>
                      <c:pt idx="7">
                        <c:v>17.343832919999997</c:v>
                      </c:pt>
                      <c:pt idx="8">
                        <c:v>39.75473324</c:v>
                      </c:pt>
                      <c:pt idx="9">
                        <c:v>28.465406550000033</c:v>
                      </c:pt>
                      <c:pt idx="10">
                        <c:v>46.099559849999999</c:v>
                      </c:pt>
                      <c:pt idx="11">
                        <c:v>130.49365509000006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76-4C8B-96E7-6B289037EC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GRAPHYQUES!$N$31:$O$31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GRAPHYQUES!$P$31:$AA$31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38.320009699999986</c:v>
                      </c:pt>
                      <c:pt idx="1">
                        <c:v>34.792105439999972</c:v>
                      </c:pt>
                      <c:pt idx="2">
                        <c:v>53.791898949999982</c:v>
                      </c:pt>
                      <c:pt idx="3">
                        <c:v>45.37193597000001</c:v>
                      </c:pt>
                      <c:pt idx="4">
                        <c:v>57.696208250000012</c:v>
                      </c:pt>
                      <c:pt idx="5">
                        <c:v>63.612681760000015</c:v>
                      </c:pt>
                      <c:pt idx="6">
                        <c:v>33.000821430000002</c:v>
                      </c:pt>
                      <c:pt idx="7">
                        <c:v>41.68997195999998</c:v>
                      </c:pt>
                      <c:pt idx="8">
                        <c:v>46.182551330000003</c:v>
                      </c:pt>
                      <c:pt idx="9">
                        <c:v>86.853810940000017</c:v>
                      </c:pt>
                      <c:pt idx="10">
                        <c:v>95.393098619999989</c:v>
                      </c:pt>
                      <c:pt idx="11">
                        <c:v>107.95500660000002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76-4C8B-96E7-6B289037ECF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GRAPHYQUES!$N$32:$O$32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GRAPHYQUES!$P$32:$AA$32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49.642073340000003</c:v>
                      </c:pt>
                      <c:pt idx="1">
                        <c:v>50.243161449999988</c:v>
                      </c:pt>
                      <c:pt idx="2">
                        <c:v>52.732671489999994</c:v>
                      </c:pt>
                      <c:pt idx="3">
                        <c:v>52.246820140000004</c:v>
                      </c:pt>
                      <c:pt idx="4">
                        <c:v>50.447913080000006</c:v>
                      </c:pt>
                      <c:pt idx="5">
                        <c:v>50.249244259999998</c:v>
                      </c:pt>
                      <c:pt idx="6">
                        <c:v>64.91682496</c:v>
                      </c:pt>
                      <c:pt idx="7">
                        <c:v>60.684875789999992</c:v>
                      </c:pt>
                      <c:pt idx="8">
                        <c:v>62.232289309999999</c:v>
                      </c:pt>
                      <c:pt idx="9">
                        <c:v>61.798060169999999</c:v>
                      </c:pt>
                      <c:pt idx="10">
                        <c:v>63.62710946</c:v>
                      </c:pt>
                      <c:pt idx="11">
                        <c:v>67.616969470000001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76-4C8B-96E7-6B289037ECF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GRAPHYQUES!$N$33:$O$33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GRAPHYQUES!$P$33:$AA$33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60.995273739999995</c:v>
                      </c:pt>
                      <c:pt idx="1">
                        <c:v>64.411506930000002</c:v>
                      </c:pt>
                      <c:pt idx="2">
                        <c:v>62.324420439999997</c:v>
                      </c:pt>
                      <c:pt idx="3">
                        <c:v>63.77517757999999</c:v>
                      </c:pt>
                      <c:pt idx="4">
                        <c:v>64.635168899999996</c:v>
                      </c:pt>
                      <c:pt idx="5">
                        <c:v>58.399031139999998</c:v>
                      </c:pt>
                      <c:pt idx="6">
                        <c:v>74.437410469999989</c:v>
                      </c:pt>
                      <c:pt idx="7">
                        <c:v>79.271876539999994</c:v>
                      </c:pt>
                      <c:pt idx="8">
                        <c:v>62.338564840000004</c:v>
                      </c:pt>
                      <c:pt idx="9">
                        <c:v>62.126336339999995</c:v>
                      </c:pt>
                      <c:pt idx="10">
                        <c:v>66.072581009999993</c:v>
                      </c:pt>
                      <c:pt idx="11">
                        <c:v>65.343683830000003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76-4C8B-96E7-6B289037ECF6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4"/>
          <c:order val="4"/>
          <c:tx>
            <c:strRef>
              <c:f>GRAPHYQUES!$N$63:$O$63</c:f>
              <c:strCache>
                <c:ptCount val="2"/>
                <c:pt idx="0">
                  <c:v>ACHATS CONSOMMES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GRAPHYQUES!$P$63:$AA$63</c:f>
              <c:numCache>
                <c:formatCode>#,##0.00</c:formatCode>
                <c:ptCount val="12"/>
                <c:pt idx="0">
                  <c:v>-6.4640550000000005E-2</c:v>
                </c:pt>
                <c:pt idx="1">
                  <c:v>0.11038427000000001</c:v>
                </c:pt>
                <c:pt idx="2">
                  <c:v>0.20832359</c:v>
                </c:pt>
                <c:pt idx="3">
                  <c:v>0.30950548</c:v>
                </c:pt>
                <c:pt idx="4">
                  <c:v>0.22647606000000001</c:v>
                </c:pt>
                <c:pt idx="5">
                  <c:v>0.27203082000000001</c:v>
                </c:pt>
                <c:pt idx="6">
                  <c:v>0.47041864</c:v>
                </c:pt>
                <c:pt idx="7" formatCode="#,##0">
                  <c:v>0.3733534</c:v>
                </c:pt>
                <c:pt idx="8" formatCode="#,##0">
                  <c:v>0.34414748000000001</c:v>
                </c:pt>
                <c:pt idx="9" formatCode="#,##0">
                  <c:v>0.68071223999999997</c:v>
                </c:pt>
                <c:pt idx="10" formatCode="#,##0">
                  <c:v>1.7311125199999999</c:v>
                </c:pt>
                <c:pt idx="11" formatCode="#,##0">
                  <c:v>38.791888239999999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B-4F7D-9FBC-7A46455FD0A2}"/>
            </c:ext>
          </c:extLst>
        </c:ser>
        <c:ser>
          <c:idx val="5"/>
          <c:order val="5"/>
          <c:tx>
            <c:strRef>
              <c:f>GRAPHYQUES!$N$64:$O$64</c:f>
              <c:strCache>
                <c:ptCount val="2"/>
                <c:pt idx="0">
                  <c:v>ACHATS CONSOMMES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GRAPHYQUES!$P$64:$AA$64</c:f>
              <c:numCache>
                <c:formatCode>#,##0.00</c:formatCode>
                <c:ptCount val="12"/>
                <c:pt idx="0">
                  <c:v>0.46549612000000001</c:v>
                </c:pt>
                <c:pt idx="1">
                  <c:v>0.92241348999999995</c:v>
                </c:pt>
                <c:pt idx="2">
                  <c:v>0.65156263000000003</c:v>
                </c:pt>
                <c:pt idx="3">
                  <c:v>0.94059872999999994</c:v>
                </c:pt>
                <c:pt idx="4">
                  <c:v>0.44777995000000004</c:v>
                </c:pt>
                <c:pt idx="5">
                  <c:v>0.26480273999999998</c:v>
                </c:pt>
                <c:pt idx="6">
                  <c:v>0.19944255999999999</c:v>
                </c:pt>
                <c:pt idx="7">
                  <c:v>0.59656613000000003</c:v>
                </c:pt>
                <c:pt idx="8">
                  <c:v>-0.55158850000000004</c:v>
                </c:pt>
                <c:pt idx="9">
                  <c:v>0.30497690999999999</c:v>
                </c:pt>
                <c:pt idx="10">
                  <c:v>0.46646046999999996</c:v>
                </c:pt>
                <c:pt idx="11">
                  <c:v>1.12258653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B-4F7D-9FBC-7A46455F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GRAPHYQUES!$N$59:$O$59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GRAPHYQUES!$P$59:$AA$59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>
                        <c:v>2.5</c:v>
                      </c:pt>
                      <c:pt idx="8">
                        <c:v>4.3</c:v>
                      </c:pt>
                      <c:pt idx="9">
                        <c:v>2.5</c:v>
                      </c:pt>
                      <c:pt idx="10">
                        <c:v>2.5</c:v>
                      </c:pt>
                      <c:pt idx="11">
                        <c:v>98.593823540000002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AB-4F7D-9FBC-7A46455FD0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GRAPHYQUES!$N$60:$O$60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GRAPHYQUES!$P$60:$AA$60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AB-4F7D-9FBC-7A46455FD0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GRAPHYQUES!$N$61:$O$61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GRAPHYQUES!$P$61:$AA$61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 formatCode="#,##0">
                        <c:v>2.5</c:v>
                      </c:pt>
                      <c:pt idx="8" formatCode="#,##0">
                        <c:v>4.3</c:v>
                      </c:pt>
                      <c:pt idx="9" formatCode="#,##0">
                        <c:v>2.5</c:v>
                      </c:pt>
                      <c:pt idx="10" formatCode="#,##0">
                        <c:v>2.5</c:v>
                      </c:pt>
                      <c:pt idx="11" formatCode="#,##0">
                        <c:v>98.593823540000002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AB-4F7D-9FBC-7A46455FD0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GRAPHYQUES!$N$62:$O$62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GRAPHYQUES!$P$62:$AA$62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AB-4F7D-9FBC-7A46455FD0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GRAPHYQUES!$N$65:$O$65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GRAPHYQUES!$P$65:$AA$65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1.36395205</c:v>
                      </c:pt>
                      <c:pt idx="1">
                        <c:v>0.67346110000000015</c:v>
                      </c:pt>
                      <c:pt idx="2">
                        <c:v>7.0642176799999996</c:v>
                      </c:pt>
                      <c:pt idx="3">
                        <c:v>1.6326362700000001</c:v>
                      </c:pt>
                      <c:pt idx="4">
                        <c:v>0.96614829000000002</c:v>
                      </c:pt>
                      <c:pt idx="5">
                        <c:v>2.5886850199999993</c:v>
                      </c:pt>
                      <c:pt idx="6">
                        <c:v>-1.9649233199999994</c:v>
                      </c:pt>
                      <c:pt idx="7" formatCode="#,##0">
                        <c:v>0.20604943999999994</c:v>
                      </c:pt>
                      <c:pt idx="8" formatCode="#,##0">
                        <c:v>2.31968533</c:v>
                      </c:pt>
                      <c:pt idx="9" formatCode="#,##0">
                        <c:v>-0.3490241900000004</c:v>
                      </c:pt>
                      <c:pt idx="10" formatCode="#,##0">
                        <c:v>-2.8829999599999998</c:v>
                      </c:pt>
                      <c:pt idx="11" formatCode="#,##0">
                        <c:v>51.773354870000006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AB-4F7D-9FBC-7A46455FD0A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GRAPHYQUES!$N$66:$O$66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GRAPHYQUES!$P$66:$AA$66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15.434513920000001</c:v>
                      </c:pt>
                      <c:pt idx="1">
                        <c:v>-2.9936784400000001</c:v>
                      </c:pt>
                      <c:pt idx="2">
                        <c:v>-2.1065021000000002</c:v>
                      </c:pt>
                      <c:pt idx="3">
                        <c:v>-5.5385633800000011</c:v>
                      </c:pt>
                      <c:pt idx="4">
                        <c:v>-3.0724553000000001</c:v>
                      </c:pt>
                      <c:pt idx="5">
                        <c:v>-2.3570315300000004</c:v>
                      </c:pt>
                      <c:pt idx="6">
                        <c:v>-5.5211275099999995</c:v>
                      </c:pt>
                      <c:pt idx="7">
                        <c:v>1.0704871899999999</c:v>
                      </c:pt>
                      <c:pt idx="8">
                        <c:v>1.6800145499999999</c:v>
                      </c:pt>
                      <c:pt idx="9">
                        <c:v>-0.54654752000000006</c:v>
                      </c:pt>
                      <c:pt idx="10">
                        <c:v>-0.72239529999999985</c:v>
                      </c:pt>
                      <c:pt idx="11">
                        <c:v>-2.3592016500000006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AB-4F7D-9FBC-7A46455FD0A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GRAPHYQUES!$N$67:$O$67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GRAPHYQUES!$P$67:$AA$67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7.69085733</c:v>
                      </c:pt>
                      <c:pt idx="1">
                        <c:v>8.1624952999999998</c:v>
                      </c:pt>
                      <c:pt idx="2">
                        <c:v>8.1849258099999993</c:v>
                      </c:pt>
                      <c:pt idx="3">
                        <c:v>8.6123882799999993</c:v>
                      </c:pt>
                      <c:pt idx="4">
                        <c:v>8.6132625100000002</c:v>
                      </c:pt>
                      <c:pt idx="5">
                        <c:v>8.4553907899999992</c:v>
                      </c:pt>
                      <c:pt idx="6">
                        <c:v>8.7862774899999998</c:v>
                      </c:pt>
                      <c:pt idx="7" formatCode="#,##0">
                        <c:v>9.9851610399999995</c:v>
                      </c:pt>
                      <c:pt idx="8" formatCode="#,##0">
                        <c:v>13.451512279999999</c:v>
                      </c:pt>
                      <c:pt idx="9" formatCode="#,##0">
                        <c:v>10.257791529999999</c:v>
                      </c:pt>
                      <c:pt idx="10" formatCode="#,##0">
                        <c:v>10.000583970000001</c:v>
                      </c:pt>
                      <c:pt idx="11" formatCode="#,##0">
                        <c:v>36.880329840000002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AB-4F7D-9FBC-7A46455FD0A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GRAPHYQUES!$N$68:$O$68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GRAPHYQUES!$P$68:$AA$68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10.559188240000001</c:v>
                      </c:pt>
                      <c:pt idx="1">
                        <c:v>10.849396029999999</c:v>
                      </c:pt>
                      <c:pt idx="2">
                        <c:v>11.52690059</c:v>
                      </c:pt>
                      <c:pt idx="3">
                        <c:v>13.720481919999999</c:v>
                      </c:pt>
                      <c:pt idx="4">
                        <c:v>14.37187188</c:v>
                      </c:pt>
                      <c:pt idx="5">
                        <c:v>10.587601660000001</c:v>
                      </c:pt>
                      <c:pt idx="6">
                        <c:v>12.98302157</c:v>
                      </c:pt>
                      <c:pt idx="7">
                        <c:v>14.649707300000001</c:v>
                      </c:pt>
                      <c:pt idx="8">
                        <c:v>17.256683339999999</c:v>
                      </c:pt>
                      <c:pt idx="9">
                        <c:v>11.319395720000001</c:v>
                      </c:pt>
                      <c:pt idx="10">
                        <c:v>16.422787449999998</c:v>
                      </c:pt>
                      <c:pt idx="11">
                        <c:v>14.44020255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3AB-4F7D-9FBC-7A46455FD0A2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8"/>
          <c:order val="8"/>
          <c:tx>
            <c:strRef>
              <c:f>GRAPHYQUES!$N$67:$O$67</c:f>
              <c:strCache>
                <c:ptCount val="2"/>
                <c:pt idx="0">
                  <c:v>CHARGES DE PERSONNEL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GRAPHYQUES!$P$67:$AA$67</c:f>
              <c:numCache>
                <c:formatCode>#,##0.00</c:formatCode>
                <c:ptCount val="12"/>
                <c:pt idx="0">
                  <c:v>7.69085733</c:v>
                </c:pt>
                <c:pt idx="1">
                  <c:v>8.1624952999999998</c:v>
                </c:pt>
                <c:pt idx="2">
                  <c:v>8.1849258099999993</c:v>
                </c:pt>
                <c:pt idx="3">
                  <c:v>8.6123882799999993</c:v>
                </c:pt>
                <c:pt idx="4">
                  <c:v>8.6132625100000002</c:v>
                </c:pt>
                <c:pt idx="5">
                  <c:v>8.4553907899999992</c:v>
                </c:pt>
                <c:pt idx="6">
                  <c:v>8.7862774899999998</c:v>
                </c:pt>
                <c:pt idx="7" formatCode="#,##0">
                  <c:v>9.9851610399999995</c:v>
                </c:pt>
                <c:pt idx="8" formatCode="#,##0">
                  <c:v>13.451512279999999</c:v>
                </c:pt>
                <c:pt idx="9" formatCode="#,##0">
                  <c:v>10.257791529999999</c:v>
                </c:pt>
                <c:pt idx="10" formatCode="#,##0">
                  <c:v>10.000583970000001</c:v>
                </c:pt>
                <c:pt idx="11" formatCode="#,##0">
                  <c:v>36.880329840000002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F-4E0F-AAB3-681F78050899}"/>
            </c:ext>
          </c:extLst>
        </c:ser>
        <c:ser>
          <c:idx val="9"/>
          <c:order val="9"/>
          <c:tx>
            <c:strRef>
              <c:f>GRAPHYQUES!$N$68:$O$68</c:f>
              <c:strCache>
                <c:ptCount val="2"/>
                <c:pt idx="0">
                  <c:v>CHARGES DE PERSONNEL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GRAPHYQUES!$P$68:$AA$68</c:f>
              <c:numCache>
                <c:formatCode>#,##0.00</c:formatCode>
                <c:ptCount val="12"/>
                <c:pt idx="0">
                  <c:v>10.559188240000001</c:v>
                </c:pt>
                <c:pt idx="1">
                  <c:v>10.849396029999999</c:v>
                </c:pt>
                <c:pt idx="2">
                  <c:v>11.52690059</c:v>
                </c:pt>
                <c:pt idx="3">
                  <c:v>13.720481919999999</c:v>
                </c:pt>
                <c:pt idx="4">
                  <c:v>14.37187188</c:v>
                </c:pt>
                <c:pt idx="5">
                  <c:v>10.587601660000001</c:v>
                </c:pt>
                <c:pt idx="6">
                  <c:v>12.98302157</c:v>
                </c:pt>
                <c:pt idx="7">
                  <c:v>14.649707300000001</c:v>
                </c:pt>
                <c:pt idx="8">
                  <c:v>17.256683339999999</c:v>
                </c:pt>
                <c:pt idx="9">
                  <c:v>11.319395720000001</c:v>
                </c:pt>
                <c:pt idx="10">
                  <c:v>16.422787449999998</c:v>
                </c:pt>
                <c:pt idx="11">
                  <c:v>14.44020255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F-4E0F-AAB3-681F7805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GRAPHYQUES!$N$59:$O$59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GRAPHYQUES!$P$59:$AA$59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>
                        <c:v>2.5</c:v>
                      </c:pt>
                      <c:pt idx="8">
                        <c:v>4.3</c:v>
                      </c:pt>
                      <c:pt idx="9">
                        <c:v>2.5</c:v>
                      </c:pt>
                      <c:pt idx="10">
                        <c:v>2.5</c:v>
                      </c:pt>
                      <c:pt idx="11">
                        <c:v>98.593823540000002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1F-4E0F-AAB3-681F780508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GRAPHYQUES!$N$60:$O$60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GRAPHYQUES!$P$60:$AA$60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1F-4E0F-AAB3-681F780508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GRAPHYQUES!$N$61:$O$61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GRAPHYQUES!$P$61:$AA$61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 formatCode="#,##0">
                        <c:v>2.5</c:v>
                      </c:pt>
                      <c:pt idx="8" formatCode="#,##0">
                        <c:v>4.3</c:v>
                      </c:pt>
                      <c:pt idx="9" formatCode="#,##0">
                        <c:v>2.5</c:v>
                      </c:pt>
                      <c:pt idx="10" formatCode="#,##0">
                        <c:v>2.5</c:v>
                      </c:pt>
                      <c:pt idx="11" formatCode="#,##0">
                        <c:v>98.593823540000002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1F-4E0F-AAB3-681F780508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GRAPHYQUES!$N$62:$O$62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GRAPHYQUES!$P$62:$AA$62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1F-4E0F-AAB3-681F780508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GRAPHYQUES!$N$63:$O$63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GRAPHYQUES!$P$63:$AA$63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-6.4640550000000005E-2</c:v>
                      </c:pt>
                      <c:pt idx="1">
                        <c:v>0.11038427000000001</c:v>
                      </c:pt>
                      <c:pt idx="2">
                        <c:v>0.20832359</c:v>
                      </c:pt>
                      <c:pt idx="3">
                        <c:v>0.30950548</c:v>
                      </c:pt>
                      <c:pt idx="4">
                        <c:v>0.22647606000000001</c:v>
                      </c:pt>
                      <c:pt idx="5">
                        <c:v>0.27203082000000001</c:v>
                      </c:pt>
                      <c:pt idx="6">
                        <c:v>0.47041864</c:v>
                      </c:pt>
                      <c:pt idx="7" formatCode="#,##0">
                        <c:v>0.3733534</c:v>
                      </c:pt>
                      <c:pt idx="8" formatCode="#,##0">
                        <c:v>0.34414748000000001</c:v>
                      </c:pt>
                      <c:pt idx="9" formatCode="#,##0">
                        <c:v>0.68071223999999997</c:v>
                      </c:pt>
                      <c:pt idx="10" formatCode="#,##0">
                        <c:v>1.7311125199999999</c:v>
                      </c:pt>
                      <c:pt idx="11" formatCode="#,##0">
                        <c:v>38.791888239999999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1F-4E0F-AAB3-681F780508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GRAPHYQUES!$N$64:$O$64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GRAPHYQUES!$P$64:$AA$64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0.46549612000000001</c:v>
                      </c:pt>
                      <c:pt idx="1">
                        <c:v>0.92241348999999995</c:v>
                      </c:pt>
                      <c:pt idx="2">
                        <c:v>0.65156263000000003</c:v>
                      </c:pt>
                      <c:pt idx="3">
                        <c:v>0.94059872999999994</c:v>
                      </c:pt>
                      <c:pt idx="4">
                        <c:v>0.44777995000000004</c:v>
                      </c:pt>
                      <c:pt idx="5">
                        <c:v>0.26480273999999998</c:v>
                      </c:pt>
                      <c:pt idx="6">
                        <c:v>0.19944255999999999</c:v>
                      </c:pt>
                      <c:pt idx="7">
                        <c:v>0.59656613000000003</c:v>
                      </c:pt>
                      <c:pt idx="8">
                        <c:v>-0.55158850000000004</c:v>
                      </c:pt>
                      <c:pt idx="9">
                        <c:v>0.30497690999999999</c:v>
                      </c:pt>
                      <c:pt idx="10">
                        <c:v>0.46646046999999996</c:v>
                      </c:pt>
                      <c:pt idx="11">
                        <c:v>1.12258653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1F-4E0F-AAB3-681F780508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GRAPHYQUES!$N$65:$O$65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GRAPHYQUES!$P$65:$AA$65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1.36395205</c:v>
                      </c:pt>
                      <c:pt idx="1">
                        <c:v>0.67346110000000015</c:v>
                      </c:pt>
                      <c:pt idx="2">
                        <c:v>7.0642176799999996</c:v>
                      </c:pt>
                      <c:pt idx="3">
                        <c:v>1.6326362700000001</c:v>
                      </c:pt>
                      <c:pt idx="4">
                        <c:v>0.96614829000000002</c:v>
                      </c:pt>
                      <c:pt idx="5">
                        <c:v>2.5886850199999993</c:v>
                      </c:pt>
                      <c:pt idx="6">
                        <c:v>-1.9649233199999994</c:v>
                      </c:pt>
                      <c:pt idx="7" formatCode="#,##0">
                        <c:v>0.20604943999999994</c:v>
                      </c:pt>
                      <c:pt idx="8" formatCode="#,##0">
                        <c:v>2.31968533</c:v>
                      </c:pt>
                      <c:pt idx="9" formatCode="#,##0">
                        <c:v>-0.3490241900000004</c:v>
                      </c:pt>
                      <c:pt idx="10" formatCode="#,##0">
                        <c:v>-2.8829999599999998</c:v>
                      </c:pt>
                      <c:pt idx="11" formatCode="#,##0">
                        <c:v>51.773354870000006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81F-4E0F-AAB3-681F780508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GRAPHYQUES!$N$66:$O$66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GRAPHYQUES!$P$66:$AA$66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15.434513920000001</c:v>
                      </c:pt>
                      <c:pt idx="1">
                        <c:v>-2.9936784400000001</c:v>
                      </c:pt>
                      <c:pt idx="2">
                        <c:v>-2.1065021000000002</c:v>
                      </c:pt>
                      <c:pt idx="3">
                        <c:v>-5.5385633800000011</c:v>
                      </c:pt>
                      <c:pt idx="4">
                        <c:v>-3.0724553000000001</c:v>
                      </c:pt>
                      <c:pt idx="5">
                        <c:v>-2.3570315300000004</c:v>
                      </c:pt>
                      <c:pt idx="6">
                        <c:v>-5.5211275099999995</c:v>
                      </c:pt>
                      <c:pt idx="7">
                        <c:v>1.0704871899999999</c:v>
                      </c:pt>
                      <c:pt idx="8">
                        <c:v>1.6800145499999999</c:v>
                      </c:pt>
                      <c:pt idx="9">
                        <c:v>-0.54654752000000006</c:v>
                      </c:pt>
                      <c:pt idx="10">
                        <c:v>-0.72239529999999985</c:v>
                      </c:pt>
                      <c:pt idx="11">
                        <c:v>-2.3592016500000006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1F-4E0F-AAB3-681F78050899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10"/>
          <c:order val="10"/>
          <c:tx>
            <c:strRef>
              <c:f>GRAPHYQUES!$N$69:$O$69</c:f>
              <c:strCache>
                <c:ptCount val="2"/>
                <c:pt idx="0">
                  <c:v>RESULTAT NET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GRAPHYQUES!$P$69:$AA$69</c:f>
              <c:numCache>
                <c:formatCode>#,##0.00</c:formatCode>
                <c:ptCount val="12"/>
                <c:pt idx="0">
                  <c:v>-7.8743100000000013</c:v>
                </c:pt>
                <c:pt idx="1">
                  <c:v>-8.6032627799999997</c:v>
                </c:pt>
                <c:pt idx="2">
                  <c:v>-2.7435993999999999</c:v>
                </c:pt>
                <c:pt idx="3">
                  <c:v>153.40173303999998</c:v>
                </c:pt>
                <c:pt idx="4">
                  <c:v>16.32346218</c:v>
                </c:pt>
                <c:pt idx="5">
                  <c:v>-53.330768049999996</c:v>
                </c:pt>
                <c:pt idx="6">
                  <c:v>-12.242687669999999</c:v>
                </c:pt>
                <c:pt idx="7" formatCode="#,##0">
                  <c:v>-16.296395090000001</c:v>
                </c:pt>
                <c:pt idx="8" formatCode="#,##0">
                  <c:v>-17.248139469999998</c:v>
                </c:pt>
                <c:pt idx="9" formatCode="#,##0">
                  <c:v>-11.892488739999999</c:v>
                </c:pt>
                <c:pt idx="10" formatCode="#,##0">
                  <c:v>-14.204658009999999</c:v>
                </c:pt>
                <c:pt idx="11" formatCode="#,##0">
                  <c:v>166.01575504000002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A-45FC-B325-A4C9D6851A9A}"/>
            </c:ext>
          </c:extLst>
        </c:ser>
        <c:ser>
          <c:idx val="11"/>
          <c:order val="11"/>
          <c:tx>
            <c:strRef>
              <c:f>GRAPHYQUES!$N$70:$O$70</c:f>
              <c:strCache>
                <c:ptCount val="2"/>
                <c:pt idx="0">
                  <c:v>RESULTAT NET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GRAPHYQUES!$P$70:$AA$70</c:f>
              <c:numCache>
                <c:formatCode>#,##0.00</c:formatCode>
                <c:ptCount val="12"/>
                <c:pt idx="0">
                  <c:v>3.0446411899999997</c:v>
                </c:pt>
                <c:pt idx="1">
                  <c:v>-11.109397209999999</c:v>
                </c:pt>
                <c:pt idx="2">
                  <c:v>62.990401829999996</c:v>
                </c:pt>
                <c:pt idx="3">
                  <c:v>-20.727648210000002</c:v>
                </c:pt>
                <c:pt idx="4">
                  <c:v>-18.657781220000004</c:v>
                </c:pt>
                <c:pt idx="5">
                  <c:v>132.43008678000001</c:v>
                </c:pt>
                <c:pt idx="6">
                  <c:v>-20.038527669999997</c:v>
                </c:pt>
                <c:pt idx="7">
                  <c:v>-15.078523010000003</c:v>
                </c:pt>
                <c:pt idx="8">
                  <c:v>-16.880552430000005</c:v>
                </c:pt>
                <c:pt idx="9">
                  <c:v>-14.553781559999999</c:v>
                </c:pt>
                <c:pt idx="10">
                  <c:v>-18.146428440000001</c:v>
                </c:pt>
                <c:pt idx="11">
                  <c:v>-17.957960580000002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A-45FC-B325-A4C9D685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GRAPHYQUES!$N$59:$O$59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GRAPHYQUES!$P$59:$AA$59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>
                        <c:v>2.5</c:v>
                      </c:pt>
                      <c:pt idx="8">
                        <c:v>4.3</c:v>
                      </c:pt>
                      <c:pt idx="9">
                        <c:v>2.5</c:v>
                      </c:pt>
                      <c:pt idx="10">
                        <c:v>2.5</c:v>
                      </c:pt>
                      <c:pt idx="11">
                        <c:v>98.593823540000002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2A-45FC-B325-A4C9D6851A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GRAPHYQUES!$N$60:$O$60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GRAPHYQUES!$P$60:$AA$60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A-45FC-B325-A4C9D6851A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GRAPHYQUES!$N$61:$O$61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GRAPHYQUES!$P$61:$AA$61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 formatCode="#,##0">
                        <c:v>2.5</c:v>
                      </c:pt>
                      <c:pt idx="8" formatCode="#,##0">
                        <c:v>4.3</c:v>
                      </c:pt>
                      <c:pt idx="9" formatCode="#,##0">
                        <c:v>2.5</c:v>
                      </c:pt>
                      <c:pt idx="10" formatCode="#,##0">
                        <c:v>2.5</c:v>
                      </c:pt>
                      <c:pt idx="11" formatCode="#,##0">
                        <c:v>98.593823540000002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2A-45FC-B325-A4C9D6851A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GRAPHYQUES!$N$62:$O$62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GRAPHYQUES!$P$62:$AA$62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2A-45FC-B325-A4C9D6851A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GRAPHYQUES!$N$63:$O$63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GRAPHYQUES!$P$63:$AA$63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-6.4640550000000005E-2</c:v>
                      </c:pt>
                      <c:pt idx="1">
                        <c:v>0.11038427000000001</c:v>
                      </c:pt>
                      <c:pt idx="2">
                        <c:v>0.20832359</c:v>
                      </c:pt>
                      <c:pt idx="3">
                        <c:v>0.30950548</c:v>
                      </c:pt>
                      <c:pt idx="4">
                        <c:v>0.22647606000000001</c:v>
                      </c:pt>
                      <c:pt idx="5">
                        <c:v>0.27203082000000001</c:v>
                      </c:pt>
                      <c:pt idx="6">
                        <c:v>0.47041864</c:v>
                      </c:pt>
                      <c:pt idx="7" formatCode="#,##0">
                        <c:v>0.3733534</c:v>
                      </c:pt>
                      <c:pt idx="8" formatCode="#,##0">
                        <c:v>0.34414748000000001</c:v>
                      </c:pt>
                      <c:pt idx="9" formatCode="#,##0">
                        <c:v>0.68071223999999997</c:v>
                      </c:pt>
                      <c:pt idx="10" formatCode="#,##0">
                        <c:v>1.7311125199999999</c:v>
                      </c:pt>
                      <c:pt idx="11" formatCode="#,##0">
                        <c:v>38.791888239999999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2A-45FC-B325-A4C9D6851A9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GRAPHYQUES!$N$64:$O$64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GRAPHYQUES!$P$64:$AA$64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0.46549612000000001</c:v>
                      </c:pt>
                      <c:pt idx="1">
                        <c:v>0.92241348999999995</c:v>
                      </c:pt>
                      <c:pt idx="2">
                        <c:v>0.65156263000000003</c:v>
                      </c:pt>
                      <c:pt idx="3">
                        <c:v>0.94059872999999994</c:v>
                      </c:pt>
                      <c:pt idx="4">
                        <c:v>0.44777995000000004</c:v>
                      </c:pt>
                      <c:pt idx="5">
                        <c:v>0.26480273999999998</c:v>
                      </c:pt>
                      <c:pt idx="6">
                        <c:v>0.19944255999999999</c:v>
                      </c:pt>
                      <c:pt idx="7">
                        <c:v>0.59656613000000003</c:v>
                      </c:pt>
                      <c:pt idx="8">
                        <c:v>-0.55158850000000004</c:v>
                      </c:pt>
                      <c:pt idx="9">
                        <c:v>0.30497690999999999</c:v>
                      </c:pt>
                      <c:pt idx="10">
                        <c:v>0.46646046999999996</c:v>
                      </c:pt>
                      <c:pt idx="11">
                        <c:v>1.12258653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A-45FC-B325-A4C9D6851A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GRAPHYQUES!$N$65:$O$65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GRAPHYQUES!$P$65:$AA$65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1.36395205</c:v>
                      </c:pt>
                      <c:pt idx="1">
                        <c:v>0.67346110000000015</c:v>
                      </c:pt>
                      <c:pt idx="2">
                        <c:v>7.0642176799999996</c:v>
                      </c:pt>
                      <c:pt idx="3">
                        <c:v>1.6326362700000001</c:v>
                      </c:pt>
                      <c:pt idx="4">
                        <c:v>0.96614829000000002</c:v>
                      </c:pt>
                      <c:pt idx="5">
                        <c:v>2.5886850199999993</c:v>
                      </c:pt>
                      <c:pt idx="6">
                        <c:v>-1.9649233199999994</c:v>
                      </c:pt>
                      <c:pt idx="7" formatCode="#,##0">
                        <c:v>0.20604943999999994</c:v>
                      </c:pt>
                      <c:pt idx="8" formatCode="#,##0">
                        <c:v>2.31968533</c:v>
                      </c:pt>
                      <c:pt idx="9" formatCode="#,##0">
                        <c:v>-0.3490241900000004</c:v>
                      </c:pt>
                      <c:pt idx="10" formatCode="#,##0">
                        <c:v>-2.8829999599999998</c:v>
                      </c:pt>
                      <c:pt idx="11" formatCode="#,##0">
                        <c:v>51.773354870000006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2A-45FC-B325-A4C9D6851A9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GRAPHYQUES!$N$66:$O$66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GRAPHYQUES!$P$66:$AA$66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15.434513920000001</c:v>
                      </c:pt>
                      <c:pt idx="1">
                        <c:v>-2.9936784400000001</c:v>
                      </c:pt>
                      <c:pt idx="2">
                        <c:v>-2.1065021000000002</c:v>
                      </c:pt>
                      <c:pt idx="3">
                        <c:v>-5.5385633800000011</c:v>
                      </c:pt>
                      <c:pt idx="4">
                        <c:v>-3.0724553000000001</c:v>
                      </c:pt>
                      <c:pt idx="5">
                        <c:v>-2.3570315300000004</c:v>
                      </c:pt>
                      <c:pt idx="6">
                        <c:v>-5.5211275099999995</c:v>
                      </c:pt>
                      <c:pt idx="7">
                        <c:v>1.0704871899999999</c:v>
                      </c:pt>
                      <c:pt idx="8">
                        <c:v>1.6800145499999999</c:v>
                      </c:pt>
                      <c:pt idx="9">
                        <c:v>-0.54654752000000006</c:v>
                      </c:pt>
                      <c:pt idx="10">
                        <c:v>-0.72239529999999985</c:v>
                      </c:pt>
                      <c:pt idx="11">
                        <c:v>-2.3592016500000006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2A-45FC-B325-A4C9D6851A9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GRAPHYQUES!$N$67:$O$67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GRAPHYQUES!$P$67:$AA$67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7.69085733</c:v>
                      </c:pt>
                      <c:pt idx="1">
                        <c:v>8.1624952999999998</c:v>
                      </c:pt>
                      <c:pt idx="2">
                        <c:v>8.1849258099999993</c:v>
                      </c:pt>
                      <c:pt idx="3">
                        <c:v>8.6123882799999993</c:v>
                      </c:pt>
                      <c:pt idx="4">
                        <c:v>8.6132625100000002</c:v>
                      </c:pt>
                      <c:pt idx="5">
                        <c:v>8.4553907899999992</c:v>
                      </c:pt>
                      <c:pt idx="6">
                        <c:v>8.7862774899999998</c:v>
                      </c:pt>
                      <c:pt idx="7" formatCode="#,##0">
                        <c:v>9.9851610399999995</c:v>
                      </c:pt>
                      <c:pt idx="8" formatCode="#,##0">
                        <c:v>13.451512279999999</c:v>
                      </c:pt>
                      <c:pt idx="9" formatCode="#,##0">
                        <c:v>10.257791529999999</c:v>
                      </c:pt>
                      <c:pt idx="10" formatCode="#,##0">
                        <c:v>10.000583970000001</c:v>
                      </c:pt>
                      <c:pt idx="11" formatCode="#,##0">
                        <c:v>36.880329840000002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A-45FC-B325-A4C9D6851A9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GRAPHYQUES!$N$68:$O$68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4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GRAPHYQUES!$P$68:$AA$68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10.559188240000001</c:v>
                      </c:pt>
                      <c:pt idx="1">
                        <c:v>10.849396029999999</c:v>
                      </c:pt>
                      <c:pt idx="2">
                        <c:v>11.52690059</c:v>
                      </c:pt>
                      <c:pt idx="3">
                        <c:v>13.720481919999999</c:v>
                      </c:pt>
                      <c:pt idx="4">
                        <c:v>14.37187188</c:v>
                      </c:pt>
                      <c:pt idx="5">
                        <c:v>10.587601660000001</c:v>
                      </c:pt>
                      <c:pt idx="6">
                        <c:v>12.98302157</c:v>
                      </c:pt>
                      <c:pt idx="7">
                        <c:v>14.649707300000001</c:v>
                      </c:pt>
                      <c:pt idx="8">
                        <c:v>17.256683339999999</c:v>
                      </c:pt>
                      <c:pt idx="9">
                        <c:v>11.319395720000001</c:v>
                      </c:pt>
                      <c:pt idx="10">
                        <c:v>16.422787449999998</c:v>
                      </c:pt>
                      <c:pt idx="11">
                        <c:v>14.44020255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A-45FC-B325-A4C9D6851A9A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0"/>
          <c:order val="0"/>
          <c:tx>
            <c:strRef>
              <c:f>GRAPHYQUES!$N$94:$O$94</c:f>
              <c:strCache>
                <c:ptCount val="2"/>
                <c:pt idx="0">
                  <c:v>CHIFFRE D'AFFAIRES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GRAPHYQUES!$P$94:$AA$94</c:f>
              <c:numCache>
                <c:formatCode>#,##0</c:formatCode>
                <c:ptCount val="12"/>
                <c:pt idx="0">
                  <c:v>28.049688700000001</c:v>
                </c:pt>
                <c:pt idx="1">
                  <c:v>58.711413439999994</c:v>
                </c:pt>
                <c:pt idx="2">
                  <c:v>51.107887299999994</c:v>
                </c:pt>
                <c:pt idx="3">
                  <c:v>43.990155000000001</c:v>
                </c:pt>
                <c:pt idx="4">
                  <c:v>71.482070300000004</c:v>
                </c:pt>
                <c:pt idx="5">
                  <c:v>100.30512879999999</c:v>
                </c:pt>
                <c:pt idx="6">
                  <c:v>72.440591999999995</c:v>
                </c:pt>
                <c:pt idx="7">
                  <c:v>80.143167599999998</c:v>
                </c:pt>
                <c:pt idx="8">
                  <c:v>121.1460223</c:v>
                </c:pt>
                <c:pt idx="9">
                  <c:v>97.806413980000002</c:v>
                </c:pt>
                <c:pt idx="10">
                  <c:v>122.31690901</c:v>
                </c:pt>
                <c:pt idx="11">
                  <c:v>136.09510342000007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4-4D87-9D51-A2DED1D21475}"/>
            </c:ext>
          </c:extLst>
        </c:ser>
        <c:ser>
          <c:idx val="1"/>
          <c:order val="1"/>
          <c:tx>
            <c:strRef>
              <c:f>GRAPHYQUES!$N$95:$O$95</c:f>
              <c:strCache>
                <c:ptCount val="2"/>
                <c:pt idx="0">
                  <c:v>CHIFFRE D'AFFAIRES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GRAPHYQUES!$P$95:$AA$95</c:f>
              <c:numCache>
                <c:formatCode>#,##0</c:formatCode>
                <c:ptCount val="12"/>
                <c:pt idx="0">
                  <c:v>36.362607789999998</c:v>
                </c:pt>
                <c:pt idx="1">
                  <c:v>49.471433079999997</c:v>
                </c:pt>
                <c:pt idx="2">
                  <c:v>84.961264099999994</c:v>
                </c:pt>
                <c:pt idx="3">
                  <c:v>85.694295980000007</c:v>
                </c:pt>
                <c:pt idx="4">
                  <c:v>83.86220247</c:v>
                </c:pt>
                <c:pt idx="5">
                  <c:v>159.32885540999999</c:v>
                </c:pt>
                <c:pt idx="6">
                  <c:v>35.241349820000003</c:v>
                </c:pt>
                <c:pt idx="7">
                  <c:v>105.29668122</c:v>
                </c:pt>
                <c:pt idx="8">
                  <c:v>89.344148939999997</c:v>
                </c:pt>
                <c:pt idx="9">
                  <c:v>109.07384893999999</c:v>
                </c:pt>
                <c:pt idx="10">
                  <c:v>126.88435398999999</c:v>
                </c:pt>
                <c:pt idx="11">
                  <c:v>148.34763641999999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4-4D87-9D51-A2DED1D2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GRAPHYQUES!$N$96:$O$96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GRAPHYQUES!$P$96:$AA$96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89.242913610000002</c:v>
                      </c:pt>
                      <c:pt idx="1">
                        <c:v>100.02748260999999</c:v>
                      </c:pt>
                      <c:pt idx="2">
                        <c:v>98.353910729999996</c:v>
                      </c:pt>
                      <c:pt idx="3">
                        <c:v>50.777878719999997</c:v>
                      </c:pt>
                      <c:pt idx="4">
                        <c:v>76.351086259999988</c:v>
                      </c:pt>
                      <c:pt idx="5">
                        <c:v>155.69604462000001</c:v>
                      </c:pt>
                      <c:pt idx="6">
                        <c:v>78.589266530000003</c:v>
                      </c:pt>
                      <c:pt idx="7">
                        <c:v>108.67982361</c:v>
                      </c:pt>
                      <c:pt idx="8">
                        <c:v>124.64526748</c:v>
                      </c:pt>
                      <c:pt idx="9">
                        <c:v>156.41211609000001</c:v>
                      </c:pt>
                      <c:pt idx="10">
                        <c:v>137.64539563</c:v>
                      </c:pt>
                      <c:pt idx="11">
                        <c:v>150.64496970000008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E24-4D87-9D51-A2DED1D214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GRAPHYQUES!$N$97:$O$97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GRAPHYQUES!$P$97:$AA$97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133.61922730000001</c:v>
                      </c:pt>
                      <c:pt idx="1">
                        <c:v>112.74824616999999</c:v>
                      </c:pt>
                      <c:pt idx="2">
                        <c:v>197.52268074</c:v>
                      </c:pt>
                      <c:pt idx="3">
                        <c:v>113.00107962999999</c:v>
                      </c:pt>
                      <c:pt idx="4">
                        <c:v>111.26120548</c:v>
                      </c:pt>
                      <c:pt idx="5">
                        <c:v>133.27807884000001</c:v>
                      </c:pt>
                      <c:pt idx="6">
                        <c:v>76.089192659999995</c:v>
                      </c:pt>
                      <c:pt idx="7">
                        <c:v>119.07988601</c:v>
                      </c:pt>
                      <c:pt idx="8">
                        <c:v>99.138224640000004</c:v>
                      </c:pt>
                      <c:pt idx="9">
                        <c:v>195.32947647</c:v>
                      </c:pt>
                      <c:pt idx="10">
                        <c:v>156.68151123999999</c:v>
                      </c:pt>
                      <c:pt idx="11">
                        <c:v>253.54069049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24-4D87-9D51-A2DED1D2147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GRAPHYQUES!$N$98:$O$98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GRAPHYQUES!$P$98:$AA$98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83.324416900000003</c:v>
                      </c:pt>
                      <c:pt idx="1">
                        <c:v>79.303120419999999</c:v>
                      </c:pt>
                      <c:pt idx="2">
                        <c:v>79.825070290000014</c:v>
                      </c:pt>
                      <c:pt idx="3">
                        <c:v>43.933429220000001</c:v>
                      </c:pt>
                      <c:pt idx="4">
                        <c:v>52.125817060000003</c:v>
                      </c:pt>
                      <c:pt idx="5">
                        <c:v>116.09713069</c:v>
                      </c:pt>
                      <c:pt idx="6">
                        <c:v>58.733137509999999</c:v>
                      </c:pt>
                      <c:pt idx="7">
                        <c:v>88.947892609999997</c:v>
                      </c:pt>
                      <c:pt idx="8">
                        <c:v>92.051105540000009</c:v>
                      </c:pt>
                      <c:pt idx="9">
                        <c:v>133.84409331999998</c:v>
                      </c:pt>
                      <c:pt idx="10">
                        <c:v>92.003714959999996</c:v>
                      </c:pt>
                      <c:pt idx="11">
                        <c:v>114.33001573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24-4D87-9D51-A2DED1D214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GRAPHYQUES!$N$99:$O$99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GRAPHYQUES!$P$99:$AA$99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115.1433912</c:v>
                      </c:pt>
                      <c:pt idx="1">
                        <c:v>85.340355810000005</c:v>
                      </c:pt>
                      <c:pt idx="2">
                        <c:v>160.81778996</c:v>
                      </c:pt>
                      <c:pt idx="3">
                        <c:v>84.180428849999998</c:v>
                      </c:pt>
                      <c:pt idx="4">
                        <c:v>87.676561359999994</c:v>
                      </c:pt>
                      <c:pt idx="5">
                        <c:v>101.37603815999999</c:v>
                      </c:pt>
                      <c:pt idx="6">
                        <c:v>57.604893329999996</c:v>
                      </c:pt>
                      <c:pt idx="7">
                        <c:v>85.188913589999999</c:v>
                      </c:pt>
                      <c:pt idx="8">
                        <c:v>82.324132340000006</c:v>
                      </c:pt>
                      <c:pt idx="9">
                        <c:v>153.35974066</c:v>
                      </c:pt>
                      <c:pt idx="10">
                        <c:v>103.32059123000001</c:v>
                      </c:pt>
                      <c:pt idx="11">
                        <c:v>189.73239337999999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24-4D87-9D51-A2DED1D2147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GRAPHYQUES!$N$100:$O$100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GRAPHYQUES!$P$100:$AA$100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0.16534956999999284</c:v>
                      </c:pt>
                      <c:pt idx="1">
                        <c:v>16.663471939999997</c:v>
                      </c:pt>
                      <c:pt idx="2">
                        <c:v>14.816526559999987</c:v>
                      </c:pt>
                      <c:pt idx="3">
                        <c:v>3.9824525399999993</c:v>
                      </c:pt>
                      <c:pt idx="4">
                        <c:v>20.228395889999987</c:v>
                      </c:pt>
                      <c:pt idx="5">
                        <c:v>34.207335110000017</c:v>
                      </c:pt>
                      <c:pt idx="6">
                        <c:v>13.295689970000007</c:v>
                      </c:pt>
                      <c:pt idx="7">
                        <c:v>12.537717239999994</c:v>
                      </c:pt>
                      <c:pt idx="8">
                        <c:v>25.517627140000002</c:v>
                      </c:pt>
                      <c:pt idx="9">
                        <c:v>14.602167350000023</c:v>
                      </c:pt>
                      <c:pt idx="10">
                        <c:v>40.080451159999996</c:v>
                      </c:pt>
                      <c:pt idx="11">
                        <c:v>27.805468520000069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24-4D87-9D51-A2DED1D2147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GRAPHYQUES!$N$101:$O$101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GRAPHYQUES!$P$101:$AA$101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13.037403729999989</c:v>
                      </c:pt>
                      <c:pt idx="1">
                        <c:v>21.874853489999978</c:v>
                      </c:pt>
                      <c:pt idx="2">
                        <c:v>31.438501349999996</c:v>
                      </c:pt>
                      <c:pt idx="3">
                        <c:v>25.087929670000001</c:v>
                      </c:pt>
                      <c:pt idx="4">
                        <c:v>18.136356460000009</c:v>
                      </c:pt>
                      <c:pt idx="5">
                        <c:v>25.858425540000006</c:v>
                      </c:pt>
                      <c:pt idx="6">
                        <c:v>14.513310439999998</c:v>
                      </c:pt>
                      <c:pt idx="7">
                        <c:v>26.991475269999981</c:v>
                      </c:pt>
                      <c:pt idx="8">
                        <c:v>10.446175999999999</c:v>
                      </c:pt>
                      <c:pt idx="9">
                        <c:v>36.687366830000016</c:v>
                      </c:pt>
                      <c:pt idx="10">
                        <c:v>48.018095119999977</c:v>
                      </c:pt>
                      <c:pt idx="11">
                        <c:v>57.714027190000024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24-4D87-9D51-A2DED1D2147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GRAPHYQUES!$N$102:$O$102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GRAPHYQUES!$P$102:$AA$102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24.530168539999998</c:v>
                      </c:pt>
                      <c:pt idx="1">
                        <c:v>24.716853559999997</c:v>
                      </c:pt>
                      <c:pt idx="2">
                        <c:v>25.35135678</c:v>
                      </c:pt>
                      <c:pt idx="3">
                        <c:v>26.275869910000001</c:v>
                      </c:pt>
                      <c:pt idx="4">
                        <c:v>25.033281070000001</c:v>
                      </c:pt>
                      <c:pt idx="5">
                        <c:v>25.30459428</c:v>
                      </c:pt>
                      <c:pt idx="6">
                        <c:v>34.327042759999998</c:v>
                      </c:pt>
                      <c:pt idx="7">
                        <c:v>30.498273409999999</c:v>
                      </c:pt>
                      <c:pt idx="8">
                        <c:v>29.603671730000002</c:v>
                      </c:pt>
                      <c:pt idx="9">
                        <c:v>30.555508739999997</c:v>
                      </c:pt>
                      <c:pt idx="10">
                        <c:v>30.827675829999997</c:v>
                      </c:pt>
                      <c:pt idx="11">
                        <c:v>13.651820650000001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24-4D87-9D51-A2DED1D2147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GRAPHYQUES!$N$103:$O$103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GRAPHYQUES!$P$103:$AA$103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28.960107699999998</c:v>
                      </c:pt>
                      <c:pt idx="1">
                        <c:v>30.178071329999998</c:v>
                      </c:pt>
                      <c:pt idx="2">
                        <c:v>29.04488701</c:v>
                      </c:pt>
                      <c:pt idx="3">
                        <c:v>27.44536986</c:v>
                      </c:pt>
                      <c:pt idx="4">
                        <c:v>28.28567095</c:v>
                      </c:pt>
                      <c:pt idx="5">
                        <c:v>26.93320958</c:v>
                      </c:pt>
                      <c:pt idx="6">
                        <c:v>40.381946360000001</c:v>
                      </c:pt>
                      <c:pt idx="7">
                        <c:v>33.961358740000001</c:v>
                      </c:pt>
                      <c:pt idx="8">
                        <c:v>25.593083</c:v>
                      </c:pt>
                      <c:pt idx="9">
                        <c:v>27.56289636</c:v>
                      </c:pt>
                      <c:pt idx="10">
                        <c:v>27.309523579999997</c:v>
                      </c:pt>
                      <c:pt idx="11">
                        <c:v>29.238492620000002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24-4D87-9D51-A2DED1D21475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6"/>
          <c:order val="6"/>
          <c:tx>
            <c:strRef>
              <c:f>GRAPHYQUES!$N$100:$O$100</c:f>
              <c:strCache>
                <c:ptCount val="2"/>
                <c:pt idx="0">
                  <c:v>VALEUR AJOUTEE 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GRAPHYQUES!$P$100:$AA$100</c:f>
              <c:numCache>
                <c:formatCode>#,##0</c:formatCode>
                <c:ptCount val="12"/>
                <c:pt idx="0">
                  <c:v>0.16534956999999284</c:v>
                </c:pt>
                <c:pt idx="1">
                  <c:v>16.663471939999997</c:v>
                </c:pt>
                <c:pt idx="2">
                  <c:v>14.816526559999987</c:v>
                </c:pt>
                <c:pt idx="3">
                  <c:v>3.9824525399999993</c:v>
                </c:pt>
                <c:pt idx="4">
                  <c:v>20.228395889999987</c:v>
                </c:pt>
                <c:pt idx="5">
                  <c:v>34.207335110000017</c:v>
                </c:pt>
                <c:pt idx="6">
                  <c:v>13.295689970000007</c:v>
                </c:pt>
                <c:pt idx="7">
                  <c:v>12.537717239999994</c:v>
                </c:pt>
                <c:pt idx="8">
                  <c:v>25.517627140000002</c:v>
                </c:pt>
                <c:pt idx="9">
                  <c:v>14.602167350000023</c:v>
                </c:pt>
                <c:pt idx="10">
                  <c:v>40.080451159999996</c:v>
                </c:pt>
                <c:pt idx="11">
                  <c:v>27.805468520000069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9-4F3C-9D39-6A722906B192}"/>
            </c:ext>
          </c:extLst>
        </c:ser>
        <c:ser>
          <c:idx val="7"/>
          <c:order val="7"/>
          <c:tx>
            <c:strRef>
              <c:f>GRAPHYQUES!$N$101:$O$101</c:f>
              <c:strCache>
                <c:ptCount val="2"/>
                <c:pt idx="0">
                  <c:v>VALEUR AJOUTEE 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GRAPHYQUES!$P$101:$AA$101</c:f>
              <c:numCache>
                <c:formatCode>#,##0</c:formatCode>
                <c:ptCount val="12"/>
                <c:pt idx="0">
                  <c:v>13.037403729999989</c:v>
                </c:pt>
                <c:pt idx="1">
                  <c:v>21.874853489999978</c:v>
                </c:pt>
                <c:pt idx="2">
                  <c:v>31.438501349999996</c:v>
                </c:pt>
                <c:pt idx="3">
                  <c:v>25.087929670000001</c:v>
                </c:pt>
                <c:pt idx="4">
                  <c:v>18.136356460000009</c:v>
                </c:pt>
                <c:pt idx="5">
                  <c:v>25.858425540000006</c:v>
                </c:pt>
                <c:pt idx="6">
                  <c:v>14.513310439999998</c:v>
                </c:pt>
                <c:pt idx="7">
                  <c:v>26.991475269999981</c:v>
                </c:pt>
                <c:pt idx="8">
                  <c:v>10.446175999999999</c:v>
                </c:pt>
                <c:pt idx="9">
                  <c:v>36.687366830000016</c:v>
                </c:pt>
                <c:pt idx="10">
                  <c:v>48.018095119999977</c:v>
                </c:pt>
                <c:pt idx="11">
                  <c:v>57.714027190000024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9-4F3C-9D39-6A722906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GRAPHYQUES!$N$94:$O$94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GRAPHYQUES!$P$94:$AA$94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28.049688700000001</c:v>
                      </c:pt>
                      <c:pt idx="1">
                        <c:v>58.711413439999994</c:v>
                      </c:pt>
                      <c:pt idx="2">
                        <c:v>51.107887299999994</c:v>
                      </c:pt>
                      <c:pt idx="3">
                        <c:v>43.990155000000001</c:v>
                      </c:pt>
                      <c:pt idx="4">
                        <c:v>71.482070300000004</c:v>
                      </c:pt>
                      <c:pt idx="5">
                        <c:v>100.30512879999999</c:v>
                      </c:pt>
                      <c:pt idx="6">
                        <c:v>72.440591999999995</c:v>
                      </c:pt>
                      <c:pt idx="7">
                        <c:v>80.143167599999998</c:v>
                      </c:pt>
                      <c:pt idx="8">
                        <c:v>121.1460223</c:v>
                      </c:pt>
                      <c:pt idx="9">
                        <c:v>97.806413980000002</c:v>
                      </c:pt>
                      <c:pt idx="10">
                        <c:v>122.31690901</c:v>
                      </c:pt>
                      <c:pt idx="11">
                        <c:v>136.09510342000007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29-4F3C-9D39-6A722906B1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GRAPHYQUES!$N$95:$O$95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GRAPHYQUES!$P$95:$AA$95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36.362607789999998</c:v>
                      </c:pt>
                      <c:pt idx="1">
                        <c:v>49.471433079999997</c:v>
                      </c:pt>
                      <c:pt idx="2">
                        <c:v>84.961264099999994</c:v>
                      </c:pt>
                      <c:pt idx="3">
                        <c:v>85.694295980000007</c:v>
                      </c:pt>
                      <c:pt idx="4">
                        <c:v>83.86220247</c:v>
                      </c:pt>
                      <c:pt idx="5">
                        <c:v>159.32885540999999</c:v>
                      </c:pt>
                      <c:pt idx="6">
                        <c:v>35.241349820000003</c:v>
                      </c:pt>
                      <c:pt idx="7">
                        <c:v>105.29668122</c:v>
                      </c:pt>
                      <c:pt idx="8">
                        <c:v>89.344148939999997</c:v>
                      </c:pt>
                      <c:pt idx="9">
                        <c:v>109.07384893999999</c:v>
                      </c:pt>
                      <c:pt idx="10">
                        <c:v>126.88435398999999</c:v>
                      </c:pt>
                      <c:pt idx="11">
                        <c:v>148.34763641999999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29-4F3C-9D39-6A722906B1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GRAPHYQUES!$N$96:$O$96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GRAPHYQUES!$P$96:$AA$96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89.242913610000002</c:v>
                      </c:pt>
                      <c:pt idx="1">
                        <c:v>100.02748260999999</c:v>
                      </c:pt>
                      <c:pt idx="2">
                        <c:v>98.353910729999996</c:v>
                      </c:pt>
                      <c:pt idx="3">
                        <c:v>50.777878719999997</c:v>
                      </c:pt>
                      <c:pt idx="4">
                        <c:v>76.351086259999988</c:v>
                      </c:pt>
                      <c:pt idx="5">
                        <c:v>155.69604462000001</c:v>
                      </c:pt>
                      <c:pt idx="6">
                        <c:v>78.589266530000003</c:v>
                      </c:pt>
                      <c:pt idx="7">
                        <c:v>108.67982361</c:v>
                      </c:pt>
                      <c:pt idx="8">
                        <c:v>124.64526748</c:v>
                      </c:pt>
                      <c:pt idx="9">
                        <c:v>156.41211609000001</c:v>
                      </c:pt>
                      <c:pt idx="10">
                        <c:v>137.64539563</c:v>
                      </c:pt>
                      <c:pt idx="11">
                        <c:v>150.64496970000008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29-4F3C-9D39-6A722906B1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GRAPHYQUES!$N$97:$O$97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GRAPHYQUES!$P$97:$AA$97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133.61922730000001</c:v>
                      </c:pt>
                      <c:pt idx="1">
                        <c:v>112.74824616999999</c:v>
                      </c:pt>
                      <c:pt idx="2">
                        <c:v>197.52268074</c:v>
                      </c:pt>
                      <c:pt idx="3">
                        <c:v>113.00107962999999</c:v>
                      </c:pt>
                      <c:pt idx="4">
                        <c:v>111.26120548</c:v>
                      </c:pt>
                      <c:pt idx="5">
                        <c:v>133.27807884000001</c:v>
                      </c:pt>
                      <c:pt idx="6">
                        <c:v>76.089192659999995</c:v>
                      </c:pt>
                      <c:pt idx="7">
                        <c:v>119.07988601</c:v>
                      </c:pt>
                      <c:pt idx="8">
                        <c:v>99.138224640000004</c:v>
                      </c:pt>
                      <c:pt idx="9">
                        <c:v>195.32947647</c:v>
                      </c:pt>
                      <c:pt idx="10">
                        <c:v>156.68151123999999</c:v>
                      </c:pt>
                      <c:pt idx="11">
                        <c:v>253.54069049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29-4F3C-9D39-6A722906B19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GRAPHYQUES!$N$98:$O$98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GRAPHYQUES!$P$98:$AA$98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83.324416900000003</c:v>
                      </c:pt>
                      <c:pt idx="1">
                        <c:v>79.303120419999999</c:v>
                      </c:pt>
                      <c:pt idx="2">
                        <c:v>79.825070290000014</c:v>
                      </c:pt>
                      <c:pt idx="3">
                        <c:v>43.933429220000001</c:v>
                      </c:pt>
                      <c:pt idx="4">
                        <c:v>52.125817060000003</c:v>
                      </c:pt>
                      <c:pt idx="5">
                        <c:v>116.09713069</c:v>
                      </c:pt>
                      <c:pt idx="6">
                        <c:v>58.733137509999999</c:v>
                      </c:pt>
                      <c:pt idx="7">
                        <c:v>88.947892609999997</c:v>
                      </c:pt>
                      <c:pt idx="8">
                        <c:v>92.051105540000009</c:v>
                      </c:pt>
                      <c:pt idx="9">
                        <c:v>133.84409331999998</c:v>
                      </c:pt>
                      <c:pt idx="10">
                        <c:v>92.003714959999996</c:v>
                      </c:pt>
                      <c:pt idx="11">
                        <c:v>114.33001573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29-4F3C-9D39-6A722906B19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GRAPHYQUES!$N$99:$O$99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GRAPHYQUES!$P$99:$AA$99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115.1433912</c:v>
                      </c:pt>
                      <c:pt idx="1">
                        <c:v>85.340355810000005</c:v>
                      </c:pt>
                      <c:pt idx="2">
                        <c:v>160.81778996</c:v>
                      </c:pt>
                      <c:pt idx="3">
                        <c:v>84.180428849999998</c:v>
                      </c:pt>
                      <c:pt idx="4">
                        <c:v>87.676561359999994</c:v>
                      </c:pt>
                      <c:pt idx="5">
                        <c:v>101.37603815999999</c:v>
                      </c:pt>
                      <c:pt idx="6">
                        <c:v>57.604893329999996</c:v>
                      </c:pt>
                      <c:pt idx="7">
                        <c:v>85.188913589999999</c:v>
                      </c:pt>
                      <c:pt idx="8">
                        <c:v>82.324132340000006</c:v>
                      </c:pt>
                      <c:pt idx="9">
                        <c:v>153.35974066</c:v>
                      </c:pt>
                      <c:pt idx="10">
                        <c:v>103.32059123000001</c:v>
                      </c:pt>
                      <c:pt idx="11">
                        <c:v>189.73239337999999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29-4F3C-9D39-6A722906B19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GRAPHYQUES!$N$102:$O$102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GRAPHYQUES!$P$102:$AA$102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24.530168539999998</c:v>
                      </c:pt>
                      <c:pt idx="1">
                        <c:v>24.716853559999997</c:v>
                      </c:pt>
                      <c:pt idx="2">
                        <c:v>25.35135678</c:v>
                      </c:pt>
                      <c:pt idx="3">
                        <c:v>26.275869910000001</c:v>
                      </c:pt>
                      <c:pt idx="4">
                        <c:v>25.033281070000001</c:v>
                      </c:pt>
                      <c:pt idx="5">
                        <c:v>25.30459428</c:v>
                      </c:pt>
                      <c:pt idx="6">
                        <c:v>34.327042759999998</c:v>
                      </c:pt>
                      <c:pt idx="7">
                        <c:v>30.498273409999999</c:v>
                      </c:pt>
                      <c:pt idx="8">
                        <c:v>29.603671730000002</c:v>
                      </c:pt>
                      <c:pt idx="9">
                        <c:v>30.555508739999997</c:v>
                      </c:pt>
                      <c:pt idx="10">
                        <c:v>30.827675829999997</c:v>
                      </c:pt>
                      <c:pt idx="11">
                        <c:v>13.651820650000001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29-4F3C-9D39-6A722906B19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GRAPHYQUES!$N$103:$O$103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GRAPHYQUES!$P$103:$AA$103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28.960107699999998</c:v>
                      </c:pt>
                      <c:pt idx="1">
                        <c:v>30.178071329999998</c:v>
                      </c:pt>
                      <c:pt idx="2">
                        <c:v>29.04488701</c:v>
                      </c:pt>
                      <c:pt idx="3">
                        <c:v>27.44536986</c:v>
                      </c:pt>
                      <c:pt idx="4">
                        <c:v>28.28567095</c:v>
                      </c:pt>
                      <c:pt idx="5">
                        <c:v>26.93320958</c:v>
                      </c:pt>
                      <c:pt idx="6">
                        <c:v>40.381946360000001</c:v>
                      </c:pt>
                      <c:pt idx="7">
                        <c:v>33.961358740000001</c:v>
                      </c:pt>
                      <c:pt idx="8">
                        <c:v>25.593083</c:v>
                      </c:pt>
                      <c:pt idx="9">
                        <c:v>27.56289636</c:v>
                      </c:pt>
                      <c:pt idx="10">
                        <c:v>27.309523579999997</c:v>
                      </c:pt>
                      <c:pt idx="11">
                        <c:v>29.238492620000002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29-4F3C-9D39-6A722906B192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2"/>
          <c:order val="2"/>
          <c:tx>
            <c:strRef>
              <c:f>GRAPHYQUES!$N$96:$O$96</c:f>
              <c:strCache>
                <c:ptCount val="2"/>
                <c:pt idx="0">
                  <c:v>PRODUCTION DE L'EXERCICE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GRAPHYQUES!$P$96:$AA$96</c:f>
              <c:numCache>
                <c:formatCode>#,##0</c:formatCode>
                <c:ptCount val="12"/>
                <c:pt idx="0">
                  <c:v>89.242913610000002</c:v>
                </c:pt>
                <c:pt idx="1">
                  <c:v>100.02748260999999</c:v>
                </c:pt>
                <c:pt idx="2">
                  <c:v>98.353910729999996</c:v>
                </c:pt>
                <c:pt idx="3">
                  <c:v>50.777878719999997</c:v>
                </c:pt>
                <c:pt idx="4">
                  <c:v>76.351086259999988</c:v>
                </c:pt>
                <c:pt idx="5">
                  <c:v>155.69604462000001</c:v>
                </c:pt>
                <c:pt idx="6">
                  <c:v>78.589266530000003</c:v>
                </c:pt>
                <c:pt idx="7">
                  <c:v>108.67982361</c:v>
                </c:pt>
                <c:pt idx="8">
                  <c:v>124.64526748</c:v>
                </c:pt>
                <c:pt idx="9">
                  <c:v>156.41211609000001</c:v>
                </c:pt>
                <c:pt idx="10">
                  <c:v>137.64539563</c:v>
                </c:pt>
                <c:pt idx="11">
                  <c:v>150.64496970000008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87C-AF61-A5D8F62FADC4}"/>
            </c:ext>
          </c:extLst>
        </c:ser>
        <c:ser>
          <c:idx val="3"/>
          <c:order val="3"/>
          <c:tx>
            <c:strRef>
              <c:f>GRAPHYQUES!$N$97:$O$97</c:f>
              <c:strCache>
                <c:ptCount val="2"/>
                <c:pt idx="0">
                  <c:v>PRODUCTION DE L'EXERCICE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GRAPHYQUES!$P$97:$AA$97</c:f>
              <c:numCache>
                <c:formatCode>#,##0</c:formatCode>
                <c:ptCount val="12"/>
                <c:pt idx="0">
                  <c:v>133.61922730000001</c:v>
                </c:pt>
                <c:pt idx="1">
                  <c:v>112.74824616999999</c:v>
                </c:pt>
                <c:pt idx="2">
                  <c:v>197.52268074</c:v>
                </c:pt>
                <c:pt idx="3">
                  <c:v>113.00107962999999</c:v>
                </c:pt>
                <c:pt idx="4">
                  <c:v>111.26120548</c:v>
                </c:pt>
                <c:pt idx="5">
                  <c:v>133.27807884000001</c:v>
                </c:pt>
                <c:pt idx="6">
                  <c:v>76.089192659999995</c:v>
                </c:pt>
                <c:pt idx="7">
                  <c:v>119.07988601</c:v>
                </c:pt>
                <c:pt idx="8">
                  <c:v>99.138224640000004</c:v>
                </c:pt>
                <c:pt idx="9">
                  <c:v>195.32947647</c:v>
                </c:pt>
                <c:pt idx="10">
                  <c:v>156.68151123999999</c:v>
                </c:pt>
                <c:pt idx="11">
                  <c:v>253.54069049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E-487C-AF61-A5D8F62FA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GRAPHYQUES!$N$94:$O$94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GRAPHYQUES!$P$94:$AA$94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28.049688700000001</c:v>
                      </c:pt>
                      <c:pt idx="1">
                        <c:v>58.711413439999994</c:v>
                      </c:pt>
                      <c:pt idx="2">
                        <c:v>51.107887299999994</c:v>
                      </c:pt>
                      <c:pt idx="3">
                        <c:v>43.990155000000001</c:v>
                      </c:pt>
                      <c:pt idx="4">
                        <c:v>71.482070300000004</c:v>
                      </c:pt>
                      <c:pt idx="5">
                        <c:v>100.30512879999999</c:v>
                      </c:pt>
                      <c:pt idx="6">
                        <c:v>72.440591999999995</c:v>
                      </c:pt>
                      <c:pt idx="7">
                        <c:v>80.143167599999998</c:v>
                      </c:pt>
                      <c:pt idx="8">
                        <c:v>121.1460223</c:v>
                      </c:pt>
                      <c:pt idx="9">
                        <c:v>97.806413980000002</c:v>
                      </c:pt>
                      <c:pt idx="10">
                        <c:v>122.31690901</c:v>
                      </c:pt>
                      <c:pt idx="11">
                        <c:v>136.09510342000007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F9E-487C-AF61-A5D8F62FAD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GRAPHYQUES!$N$95:$O$95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GRAPHYQUES!$P$95:$AA$95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36.362607789999998</c:v>
                      </c:pt>
                      <c:pt idx="1">
                        <c:v>49.471433079999997</c:v>
                      </c:pt>
                      <c:pt idx="2">
                        <c:v>84.961264099999994</c:v>
                      </c:pt>
                      <c:pt idx="3">
                        <c:v>85.694295980000007</c:v>
                      </c:pt>
                      <c:pt idx="4">
                        <c:v>83.86220247</c:v>
                      </c:pt>
                      <c:pt idx="5">
                        <c:v>159.32885540999999</c:v>
                      </c:pt>
                      <c:pt idx="6">
                        <c:v>35.241349820000003</c:v>
                      </c:pt>
                      <c:pt idx="7">
                        <c:v>105.29668122</c:v>
                      </c:pt>
                      <c:pt idx="8">
                        <c:v>89.344148939999997</c:v>
                      </c:pt>
                      <c:pt idx="9">
                        <c:v>109.07384893999999</c:v>
                      </c:pt>
                      <c:pt idx="10">
                        <c:v>126.88435398999999</c:v>
                      </c:pt>
                      <c:pt idx="11">
                        <c:v>148.34763641999999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9E-487C-AF61-A5D8F62FAD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GRAPHYQUES!$N$98:$O$98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GRAPHYQUES!$P$98:$AA$98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83.324416900000003</c:v>
                      </c:pt>
                      <c:pt idx="1">
                        <c:v>79.303120419999999</c:v>
                      </c:pt>
                      <c:pt idx="2">
                        <c:v>79.825070290000014</c:v>
                      </c:pt>
                      <c:pt idx="3">
                        <c:v>43.933429220000001</c:v>
                      </c:pt>
                      <c:pt idx="4">
                        <c:v>52.125817060000003</c:v>
                      </c:pt>
                      <c:pt idx="5">
                        <c:v>116.09713069</c:v>
                      </c:pt>
                      <c:pt idx="6">
                        <c:v>58.733137509999999</c:v>
                      </c:pt>
                      <c:pt idx="7">
                        <c:v>88.947892609999997</c:v>
                      </c:pt>
                      <c:pt idx="8">
                        <c:v>92.051105540000009</c:v>
                      </c:pt>
                      <c:pt idx="9">
                        <c:v>133.84409331999998</c:v>
                      </c:pt>
                      <c:pt idx="10">
                        <c:v>92.003714959999996</c:v>
                      </c:pt>
                      <c:pt idx="11">
                        <c:v>114.33001573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9E-487C-AF61-A5D8F62FADC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GRAPHYQUES!$N$99:$O$99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GRAPHYQUES!$P$99:$AA$99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115.1433912</c:v>
                      </c:pt>
                      <c:pt idx="1">
                        <c:v>85.340355810000005</c:v>
                      </c:pt>
                      <c:pt idx="2">
                        <c:v>160.81778996</c:v>
                      </c:pt>
                      <c:pt idx="3">
                        <c:v>84.180428849999998</c:v>
                      </c:pt>
                      <c:pt idx="4">
                        <c:v>87.676561359999994</c:v>
                      </c:pt>
                      <c:pt idx="5">
                        <c:v>101.37603815999999</c:v>
                      </c:pt>
                      <c:pt idx="6">
                        <c:v>57.604893329999996</c:v>
                      </c:pt>
                      <c:pt idx="7">
                        <c:v>85.188913589999999</c:v>
                      </c:pt>
                      <c:pt idx="8">
                        <c:v>82.324132340000006</c:v>
                      </c:pt>
                      <c:pt idx="9">
                        <c:v>153.35974066</c:v>
                      </c:pt>
                      <c:pt idx="10">
                        <c:v>103.32059123000001</c:v>
                      </c:pt>
                      <c:pt idx="11">
                        <c:v>189.73239337999999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9E-487C-AF61-A5D8F62FAD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GRAPHYQUES!$N$100:$O$100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GRAPHYQUES!$P$100:$AA$100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0.16534956999999284</c:v>
                      </c:pt>
                      <c:pt idx="1">
                        <c:v>16.663471939999997</c:v>
                      </c:pt>
                      <c:pt idx="2">
                        <c:v>14.816526559999987</c:v>
                      </c:pt>
                      <c:pt idx="3">
                        <c:v>3.9824525399999993</c:v>
                      </c:pt>
                      <c:pt idx="4">
                        <c:v>20.228395889999987</c:v>
                      </c:pt>
                      <c:pt idx="5">
                        <c:v>34.207335110000017</c:v>
                      </c:pt>
                      <c:pt idx="6">
                        <c:v>13.295689970000007</c:v>
                      </c:pt>
                      <c:pt idx="7">
                        <c:v>12.537717239999994</c:v>
                      </c:pt>
                      <c:pt idx="8">
                        <c:v>25.517627140000002</c:v>
                      </c:pt>
                      <c:pt idx="9">
                        <c:v>14.602167350000023</c:v>
                      </c:pt>
                      <c:pt idx="10">
                        <c:v>40.080451159999996</c:v>
                      </c:pt>
                      <c:pt idx="11">
                        <c:v>27.805468520000069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9E-487C-AF61-A5D8F62FADC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GRAPHYQUES!$N$101:$O$101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GRAPHYQUES!$P$101:$AA$101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13.037403729999989</c:v>
                      </c:pt>
                      <c:pt idx="1">
                        <c:v>21.874853489999978</c:v>
                      </c:pt>
                      <c:pt idx="2">
                        <c:v>31.438501349999996</c:v>
                      </c:pt>
                      <c:pt idx="3">
                        <c:v>25.087929670000001</c:v>
                      </c:pt>
                      <c:pt idx="4">
                        <c:v>18.136356460000009</c:v>
                      </c:pt>
                      <c:pt idx="5">
                        <c:v>25.858425540000006</c:v>
                      </c:pt>
                      <c:pt idx="6">
                        <c:v>14.513310439999998</c:v>
                      </c:pt>
                      <c:pt idx="7">
                        <c:v>26.991475269999981</c:v>
                      </c:pt>
                      <c:pt idx="8">
                        <c:v>10.446175999999999</c:v>
                      </c:pt>
                      <c:pt idx="9">
                        <c:v>36.687366830000016</c:v>
                      </c:pt>
                      <c:pt idx="10">
                        <c:v>48.018095119999977</c:v>
                      </c:pt>
                      <c:pt idx="11">
                        <c:v>57.714027190000024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9E-487C-AF61-A5D8F62FADC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GRAPHYQUES!$N$102:$O$102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GRAPHYQUES!$P$102:$AA$102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24.530168539999998</c:v>
                      </c:pt>
                      <c:pt idx="1">
                        <c:v>24.716853559999997</c:v>
                      </c:pt>
                      <c:pt idx="2">
                        <c:v>25.35135678</c:v>
                      </c:pt>
                      <c:pt idx="3">
                        <c:v>26.275869910000001</c:v>
                      </c:pt>
                      <c:pt idx="4">
                        <c:v>25.033281070000001</c:v>
                      </c:pt>
                      <c:pt idx="5">
                        <c:v>25.30459428</c:v>
                      </c:pt>
                      <c:pt idx="6">
                        <c:v>34.327042759999998</c:v>
                      </c:pt>
                      <c:pt idx="7">
                        <c:v>30.498273409999999</c:v>
                      </c:pt>
                      <c:pt idx="8">
                        <c:v>29.603671730000002</c:v>
                      </c:pt>
                      <c:pt idx="9">
                        <c:v>30.555508739999997</c:v>
                      </c:pt>
                      <c:pt idx="10">
                        <c:v>30.827675829999997</c:v>
                      </c:pt>
                      <c:pt idx="11">
                        <c:v>13.651820650000001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F9E-487C-AF61-A5D8F62FADC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GRAPHYQUES!$N$103:$O$103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GRAPHYQUES!$P$103:$AA$103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28.960107699999998</c:v>
                      </c:pt>
                      <c:pt idx="1">
                        <c:v>30.178071329999998</c:v>
                      </c:pt>
                      <c:pt idx="2">
                        <c:v>29.04488701</c:v>
                      </c:pt>
                      <c:pt idx="3">
                        <c:v>27.44536986</c:v>
                      </c:pt>
                      <c:pt idx="4">
                        <c:v>28.28567095</c:v>
                      </c:pt>
                      <c:pt idx="5">
                        <c:v>26.93320958</c:v>
                      </c:pt>
                      <c:pt idx="6">
                        <c:v>40.381946360000001</c:v>
                      </c:pt>
                      <c:pt idx="7">
                        <c:v>33.961358740000001</c:v>
                      </c:pt>
                      <c:pt idx="8">
                        <c:v>25.593083</c:v>
                      </c:pt>
                      <c:pt idx="9">
                        <c:v>27.56289636</c:v>
                      </c:pt>
                      <c:pt idx="10">
                        <c:v>27.309523579999997</c:v>
                      </c:pt>
                      <c:pt idx="11">
                        <c:v>29.238492620000002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F9E-487C-AF61-A5D8F62FADC4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4"/>
          <c:order val="4"/>
          <c:tx>
            <c:strRef>
              <c:f>GRAPHYQUES!$N$98:$O$98</c:f>
              <c:strCache>
                <c:ptCount val="2"/>
                <c:pt idx="0">
                  <c:v>ACHATS CONSOMMES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GRAPHYQUES!$P$98:$AA$98</c:f>
              <c:numCache>
                <c:formatCode>#,##0</c:formatCode>
                <c:ptCount val="12"/>
                <c:pt idx="0">
                  <c:v>83.324416900000003</c:v>
                </c:pt>
                <c:pt idx="1">
                  <c:v>79.303120419999999</c:v>
                </c:pt>
                <c:pt idx="2">
                  <c:v>79.825070290000014</c:v>
                </c:pt>
                <c:pt idx="3">
                  <c:v>43.933429220000001</c:v>
                </c:pt>
                <c:pt idx="4">
                  <c:v>52.125817060000003</c:v>
                </c:pt>
                <c:pt idx="5">
                  <c:v>116.09713069</c:v>
                </c:pt>
                <c:pt idx="6">
                  <c:v>58.733137509999999</c:v>
                </c:pt>
                <c:pt idx="7">
                  <c:v>88.947892609999997</c:v>
                </c:pt>
                <c:pt idx="8">
                  <c:v>92.051105540000009</c:v>
                </c:pt>
                <c:pt idx="9">
                  <c:v>133.84409331999998</c:v>
                </c:pt>
                <c:pt idx="10">
                  <c:v>92.003714959999996</c:v>
                </c:pt>
                <c:pt idx="11">
                  <c:v>114.33001573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CD8-B79F-42C8F3237F6E}"/>
            </c:ext>
          </c:extLst>
        </c:ser>
        <c:ser>
          <c:idx val="5"/>
          <c:order val="5"/>
          <c:tx>
            <c:strRef>
              <c:f>GRAPHYQUES!$N$99:$O$99</c:f>
              <c:strCache>
                <c:ptCount val="2"/>
                <c:pt idx="0">
                  <c:v>ACHATS CONSOMMES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GRAPHYQUES!$P$99:$AA$99</c:f>
              <c:numCache>
                <c:formatCode>#,##0</c:formatCode>
                <c:ptCount val="12"/>
                <c:pt idx="0">
                  <c:v>115.1433912</c:v>
                </c:pt>
                <c:pt idx="1">
                  <c:v>85.340355810000005</c:v>
                </c:pt>
                <c:pt idx="2">
                  <c:v>160.81778996</c:v>
                </c:pt>
                <c:pt idx="3">
                  <c:v>84.180428849999998</c:v>
                </c:pt>
                <c:pt idx="4">
                  <c:v>87.676561359999994</c:v>
                </c:pt>
                <c:pt idx="5">
                  <c:v>101.37603815999999</c:v>
                </c:pt>
                <c:pt idx="6">
                  <c:v>57.604893329999996</c:v>
                </c:pt>
                <c:pt idx="7">
                  <c:v>85.188913589999999</c:v>
                </c:pt>
                <c:pt idx="8">
                  <c:v>82.324132340000006</c:v>
                </c:pt>
                <c:pt idx="9">
                  <c:v>153.35974066</c:v>
                </c:pt>
                <c:pt idx="10">
                  <c:v>103.32059123000001</c:v>
                </c:pt>
                <c:pt idx="11">
                  <c:v>189.73239337999999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0-4CD8-B79F-42C8F323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GRAPHYQUES!$N$94:$O$94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GRAPHYQUES!$P$94:$AA$94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28.049688700000001</c:v>
                      </c:pt>
                      <c:pt idx="1">
                        <c:v>58.711413439999994</c:v>
                      </c:pt>
                      <c:pt idx="2">
                        <c:v>51.107887299999994</c:v>
                      </c:pt>
                      <c:pt idx="3">
                        <c:v>43.990155000000001</c:v>
                      </c:pt>
                      <c:pt idx="4">
                        <c:v>71.482070300000004</c:v>
                      </c:pt>
                      <c:pt idx="5">
                        <c:v>100.30512879999999</c:v>
                      </c:pt>
                      <c:pt idx="6">
                        <c:v>72.440591999999995</c:v>
                      </c:pt>
                      <c:pt idx="7">
                        <c:v>80.143167599999998</c:v>
                      </c:pt>
                      <c:pt idx="8">
                        <c:v>121.1460223</c:v>
                      </c:pt>
                      <c:pt idx="9">
                        <c:v>97.806413980000002</c:v>
                      </c:pt>
                      <c:pt idx="10">
                        <c:v>122.31690901</c:v>
                      </c:pt>
                      <c:pt idx="11">
                        <c:v>136.09510342000007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8A0-4CD8-B79F-42C8F3237F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GRAPHYQUES!$N$95:$O$95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GRAPHYQUES!$P$95:$AA$95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36.362607789999998</c:v>
                      </c:pt>
                      <c:pt idx="1">
                        <c:v>49.471433079999997</c:v>
                      </c:pt>
                      <c:pt idx="2">
                        <c:v>84.961264099999994</c:v>
                      </c:pt>
                      <c:pt idx="3">
                        <c:v>85.694295980000007</c:v>
                      </c:pt>
                      <c:pt idx="4">
                        <c:v>83.86220247</c:v>
                      </c:pt>
                      <c:pt idx="5">
                        <c:v>159.32885540999999</c:v>
                      </c:pt>
                      <c:pt idx="6">
                        <c:v>35.241349820000003</c:v>
                      </c:pt>
                      <c:pt idx="7">
                        <c:v>105.29668122</c:v>
                      </c:pt>
                      <c:pt idx="8">
                        <c:v>89.344148939999997</c:v>
                      </c:pt>
                      <c:pt idx="9">
                        <c:v>109.07384893999999</c:v>
                      </c:pt>
                      <c:pt idx="10">
                        <c:v>126.88435398999999</c:v>
                      </c:pt>
                      <c:pt idx="11">
                        <c:v>148.34763641999999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A0-4CD8-B79F-42C8F3237F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GRAPHYQUES!$N$96:$O$96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GRAPHYQUES!$P$96:$AA$96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89.242913610000002</c:v>
                      </c:pt>
                      <c:pt idx="1">
                        <c:v>100.02748260999999</c:v>
                      </c:pt>
                      <c:pt idx="2">
                        <c:v>98.353910729999996</c:v>
                      </c:pt>
                      <c:pt idx="3">
                        <c:v>50.777878719999997</c:v>
                      </c:pt>
                      <c:pt idx="4">
                        <c:v>76.351086259999988</c:v>
                      </c:pt>
                      <c:pt idx="5">
                        <c:v>155.69604462000001</c:v>
                      </c:pt>
                      <c:pt idx="6">
                        <c:v>78.589266530000003</c:v>
                      </c:pt>
                      <c:pt idx="7">
                        <c:v>108.67982361</c:v>
                      </c:pt>
                      <c:pt idx="8">
                        <c:v>124.64526748</c:v>
                      </c:pt>
                      <c:pt idx="9">
                        <c:v>156.41211609000001</c:v>
                      </c:pt>
                      <c:pt idx="10">
                        <c:v>137.64539563</c:v>
                      </c:pt>
                      <c:pt idx="11">
                        <c:v>150.64496970000008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A0-4CD8-B79F-42C8F3237F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GRAPHYQUES!$N$97:$O$97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GRAPHYQUES!$P$97:$AA$97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133.61922730000001</c:v>
                      </c:pt>
                      <c:pt idx="1">
                        <c:v>112.74824616999999</c:v>
                      </c:pt>
                      <c:pt idx="2">
                        <c:v>197.52268074</c:v>
                      </c:pt>
                      <c:pt idx="3">
                        <c:v>113.00107962999999</c:v>
                      </c:pt>
                      <c:pt idx="4">
                        <c:v>111.26120548</c:v>
                      </c:pt>
                      <c:pt idx="5">
                        <c:v>133.27807884000001</c:v>
                      </c:pt>
                      <c:pt idx="6">
                        <c:v>76.089192659999995</c:v>
                      </c:pt>
                      <c:pt idx="7">
                        <c:v>119.07988601</c:v>
                      </c:pt>
                      <c:pt idx="8">
                        <c:v>99.138224640000004</c:v>
                      </c:pt>
                      <c:pt idx="9">
                        <c:v>195.32947647</c:v>
                      </c:pt>
                      <c:pt idx="10">
                        <c:v>156.68151123999999</c:v>
                      </c:pt>
                      <c:pt idx="11">
                        <c:v>253.54069049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A0-4CD8-B79F-42C8F3237F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GRAPHYQUES!$N$100:$O$100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GRAPHYQUES!$P$100:$AA$100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0.16534956999999284</c:v>
                      </c:pt>
                      <c:pt idx="1">
                        <c:v>16.663471939999997</c:v>
                      </c:pt>
                      <c:pt idx="2">
                        <c:v>14.816526559999987</c:v>
                      </c:pt>
                      <c:pt idx="3">
                        <c:v>3.9824525399999993</c:v>
                      </c:pt>
                      <c:pt idx="4">
                        <c:v>20.228395889999987</c:v>
                      </c:pt>
                      <c:pt idx="5">
                        <c:v>34.207335110000017</c:v>
                      </c:pt>
                      <c:pt idx="6">
                        <c:v>13.295689970000007</c:v>
                      </c:pt>
                      <c:pt idx="7">
                        <c:v>12.537717239999994</c:v>
                      </c:pt>
                      <c:pt idx="8">
                        <c:v>25.517627140000002</c:v>
                      </c:pt>
                      <c:pt idx="9">
                        <c:v>14.602167350000023</c:v>
                      </c:pt>
                      <c:pt idx="10">
                        <c:v>40.080451159999996</c:v>
                      </c:pt>
                      <c:pt idx="11">
                        <c:v>27.805468520000069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A0-4CD8-B79F-42C8F3237F6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GRAPHYQUES!$N$101:$O$101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GRAPHYQUES!$P$101:$AA$101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13.037403729999989</c:v>
                      </c:pt>
                      <c:pt idx="1">
                        <c:v>21.874853489999978</c:v>
                      </c:pt>
                      <c:pt idx="2">
                        <c:v>31.438501349999996</c:v>
                      </c:pt>
                      <c:pt idx="3">
                        <c:v>25.087929670000001</c:v>
                      </c:pt>
                      <c:pt idx="4">
                        <c:v>18.136356460000009</c:v>
                      </c:pt>
                      <c:pt idx="5">
                        <c:v>25.858425540000006</c:v>
                      </c:pt>
                      <c:pt idx="6">
                        <c:v>14.513310439999998</c:v>
                      </c:pt>
                      <c:pt idx="7">
                        <c:v>26.991475269999981</c:v>
                      </c:pt>
                      <c:pt idx="8">
                        <c:v>10.446175999999999</c:v>
                      </c:pt>
                      <c:pt idx="9">
                        <c:v>36.687366830000016</c:v>
                      </c:pt>
                      <c:pt idx="10">
                        <c:v>48.018095119999977</c:v>
                      </c:pt>
                      <c:pt idx="11">
                        <c:v>57.714027190000024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A0-4CD8-B79F-42C8F3237F6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GRAPHYQUES!$N$102:$O$102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GRAPHYQUES!$P$102:$AA$102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24.530168539999998</c:v>
                      </c:pt>
                      <c:pt idx="1">
                        <c:v>24.716853559999997</c:v>
                      </c:pt>
                      <c:pt idx="2">
                        <c:v>25.35135678</c:v>
                      </c:pt>
                      <c:pt idx="3">
                        <c:v>26.275869910000001</c:v>
                      </c:pt>
                      <c:pt idx="4">
                        <c:v>25.033281070000001</c:v>
                      </c:pt>
                      <c:pt idx="5">
                        <c:v>25.30459428</c:v>
                      </c:pt>
                      <c:pt idx="6">
                        <c:v>34.327042759999998</c:v>
                      </c:pt>
                      <c:pt idx="7">
                        <c:v>30.498273409999999</c:v>
                      </c:pt>
                      <c:pt idx="8">
                        <c:v>29.603671730000002</c:v>
                      </c:pt>
                      <c:pt idx="9">
                        <c:v>30.555508739999997</c:v>
                      </c:pt>
                      <c:pt idx="10">
                        <c:v>30.827675829999997</c:v>
                      </c:pt>
                      <c:pt idx="11">
                        <c:v>13.651820650000001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A0-4CD8-B79F-42C8F3237F6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GRAPHYQUES!$N$103:$O$103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GRAPHYQUES!$P$103:$AA$103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28.960107699999998</c:v>
                      </c:pt>
                      <c:pt idx="1">
                        <c:v>30.178071329999998</c:v>
                      </c:pt>
                      <c:pt idx="2">
                        <c:v>29.04488701</c:v>
                      </c:pt>
                      <c:pt idx="3">
                        <c:v>27.44536986</c:v>
                      </c:pt>
                      <c:pt idx="4">
                        <c:v>28.28567095</c:v>
                      </c:pt>
                      <c:pt idx="5">
                        <c:v>26.93320958</c:v>
                      </c:pt>
                      <c:pt idx="6">
                        <c:v>40.381946360000001</c:v>
                      </c:pt>
                      <c:pt idx="7">
                        <c:v>33.961358740000001</c:v>
                      </c:pt>
                      <c:pt idx="8">
                        <c:v>25.593083</c:v>
                      </c:pt>
                      <c:pt idx="9">
                        <c:v>27.56289636</c:v>
                      </c:pt>
                      <c:pt idx="10">
                        <c:v>27.309523579999997</c:v>
                      </c:pt>
                      <c:pt idx="11">
                        <c:v>29.238492620000002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A0-4CD8-B79F-42C8F3237F6E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8"/>
          <c:order val="8"/>
          <c:tx>
            <c:strRef>
              <c:f>GRAPHYQUES!$N$102:$O$102</c:f>
              <c:strCache>
                <c:ptCount val="2"/>
                <c:pt idx="0">
                  <c:v>CHARGES DE PERSONNEL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GRAPHYQUES!$P$102:$AA$102</c:f>
              <c:numCache>
                <c:formatCode>#,##0</c:formatCode>
                <c:ptCount val="12"/>
                <c:pt idx="0">
                  <c:v>24.530168539999998</c:v>
                </c:pt>
                <c:pt idx="1">
                  <c:v>24.716853559999997</c:v>
                </c:pt>
                <c:pt idx="2">
                  <c:v>25.35135678</c:v>
                </c:pt>
                <c:pt idx="3">
                  <c:v>26.275869910000001</c:v>
                </c:pt>
                <c:pt idx="4">
                  <c:v>25.033281070000001</c:v>
                </c:pt>
                <c:pt idx="5">
                  <c:v>25.30459428</c:v>
                </c:pt>
                <c:pt idx="6">
                  <c:v>34.327042759999998</c:v>
                </c:pt>
                <c:pt idx="7">
                  <c:v>30.498273409999999</c:v>
                </c:pt>
                <c:pt idx="8">
                  <c:v>29.603671730000002</c:v>
                </c:pt>
                <c:pt idx="9">
                  <c:v>30.555508739999997</c:v>
                </c:pt>
                <c:pt idx="10">
                  <c:v>30.827675829999997</c:v>
                </c:pt>
                <c:pt idx="11">
                  <c:v>13.651820650000001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3-4B85-B158-E969A08A76BB}"/>
            </c:ext>
          </c:extLst>
        </c:ser>
        <c:ser>
          <c:idx val="9"/>
          <c:order val="9"/>
          <c:tx>
            <c:strRef>
              <c:f>GRAPHYQUES!$N$103:$O$103</c:f>
              <c:strCache>
                <c:ptCount val="2"/>
                <c:pt idx="0">
                  <c:v>CHARGES DE PERSONNEL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GRAPHYQUES!$P$103:$AA$103</c:f>
              <c:numCache>
                <c:formatCode>#,##0</c:formatCode>
                <c:ptCount val="12"/>
                <c:pt idx="0">
                  <c:v>28.960107699999998</c:v>
                </c:pt>
                <c:pt idx="1">
                  <c:v>30.178071329999998</c:v>
                </c:pt>
                <c:pt idx="2">
                  <c:v>29.04488701</c:v>
                </c:pt>
                <c:pt idx="3">
                  <c:v>27.44536986</c:v>
                </c:pt>
                <c:pt idx="4">
                  <c:v>28.28567095</c:v>
                </c:pt>
                <c:pt idx="5">
                  <c:v>26.93320958</c:v>
                </c:pt>
                <c:pt idx="6">
                  <c:v>40.381946360000001</c:v>
                </c:pt>
                <c:pt idx="7">
                  <c:v>33.961358740000001</c:v>
                </c:pt>
                <c:pt idx="8">
                  <c:v>25.593083</c:v>
                </c:pt>
                <c:pt idx="9">
                  <c:v>27.56289636</c:v>
                </c:pt>
                <c:pt idx="10">
                  <c:v>27.309523579999997</c:v>
                </c:pt>
                <c:pt idx="11">
                  <c:v>29.238492620000002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3-4B85-B158-E969A08A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GRAPHYQUES!$N$94:$O$94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GRAPHYQUES!$P$94:$AA$94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28.049688700000001</c:v>
                      </c:pt>
                      <c:pt idx="1">
                        <c:v>58.711413439999994</c:v>
                      </c:pt>
                      <c:pt idx="2">
                        <c:v>51.107887299999994</c:v>
                      </c:pt>
                      <c:pt idx="3">
                        <c:v>43.990155000000001</c:v>
                      </c:pt>
                      <c:pt idx="4">
                        <c:v>71.482070300000004</c:v>
                      </c:pt>
                      <c:pt idx="5">
                        <c:v>100.30512879999999</c:v>
                      </c:pt>
                      <c:pt idx="6">
                        <c:v>72.440591999999995</c:v>
                      </c:pt>
                      <c:pt idx="7">
                        <c:v>80.143167599999998</c:v>
                      </c:pt>
                      <c:pt idx="8">
                        <c:v>121.1460223</c:v>
                      </c:pt>
                      <c:pt idx="9">
                        <c:v>97.806413980000002</c:v>
                      </c:pt>
                      <c:pt idx="10">
                        <c:v>122.31690901</c:v>
                      </c:pt>
                      <c:pt idx="11">
                        <c:v>136.09510342000007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33-4B85-B158-E969A08A76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GRAPHYQUES!$N$95:$O$95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GRAPHYQUES!$P$95:$AA$95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36.362607789999998</c:v>
                      </c:pt>
                      <c:pt idx="1">
                        <c:v>49.471433079999997</c:v>
                      </c:pt>
                      <c:pt idx="2">
                        <c:v>84.961264099999994</c:v>
                      </c:pt>
                      <c:pt idx="3">
                        <c:v>85.694295980000007</c:v>
                      </c:pt>
                      <c:pt idx="4">
                        <c:v>83.86220247</c:v>
                      </c:pt>
                      <c:pt idx="5">
                        <c:v>159.32885540999999</c:v>
                      </c:pt>
                      <c:pt idx="6">
                        <c:v>35.241349820000003</c:v>
                      </c:pt>
                      <c:pt idx="7">
                        <c:v>105.29668122</c:v>
                      </c:pt>
                      <c:pt idx="8">
                        <c:v>89.344148939999997</c:v>
                      </c:pt>
                      <c:pt idx="9">
                        <c:v>109.07384893999999</c:v>
                      </c:pt>
                      <c:pt idx="10">
                        <c:v>126.88435398999999</c:v>
                      </c:pt>
                      <c:pt idx="11">
                        <c:v>148.34763641999999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33-4B85-B158-E969A08A76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GRAPHYQUES!$N$96:$O$96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GRAPHYQUES!$P$96:$AA$96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89.242913610000002</c:v>
                      </c:pt>
                      <c:pt idx="1">
                        <c:v>100.02748260999999</c:v>
                      </c:pt>
                      <c:pt idx="2">
                        <c:v>98.353910729999996</c:v>
                      </c:pt>
                      <c:pt idx="3">
                        <c:v>50.777878719999997</c:v>
                      </c:pt>
                      <c:pt idx="4">
                        <c:v>76.351086259999988</c:v>
                      </c:pt>
                      <c:pt idx="5">
                        <c:v>155.69604462000001</c:v>
                      </c:pt>
                      <c:pt idx="6">
                        <c:v>78.589266530000003</c:v>
                      </c:pt>
                      <c:pt idx="7">
                        <c:v>108.67982361</c:v>
                      </c:pt>
                      <c:pt idx="8">
                        <c:v>124.64526748</c:v>
                      </c:pt>
                      <c:pt idx="9">
                        <c:v>156.41211609000001</c:v>
                      </c:pt>
                      <c:pt idx="10">
                        <c:v>137.64539563</c:v>
                      </c:pt>
                      <c:pt idx="11">
                        <c:v>150.64496970000008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33-4B85-B158-E969A08A76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GRAPHYQUES!$N$97:$O$97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GRAPHYQUES!$P$97:$AA$97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133.61922730000001</c:v>
                      </c:pt>
                      <c:pt idx="1">
                        <c:v>112.74824616999999</c:v>
                      </c:pt>
                      <c:pt idx="2">
                        <c:v>197.52268074</c:v>
                      </c:pt>
                      <c:pt idx="3">
                        <c:v>113.00107962999999</c:v>
                      </c:pt>
                      <c:pt idx="4">
                        <c:v>111.26120548</c:v>
                      </c:pt>
                      <c:pt idx="5">
                        <c:v>133.27807884000001</c:v>
                      </c:pt>
                      <c:pt idx="6">
                        <c:v>76.089192659999995</c:v>
                      </c:pt>
                      <c:pt idx="7">
                        <c:v>119.07988601</c:v>
                      </c:pt>
                      <c:pt idx="8">
                        <c:v>99.138224640000004</c:v>
                      </c:pt>
                      <c:pt idx="9">
                        <c:v>195.32947647</c:v>
                      </c:pt>
                      <c:pt idx="10">
                        <c:v>156.68151123999999</c:v>
                      </c:pt>
                      <c:pt idx="11">
                        <c:v>253.54069049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33-4B85-B158-E969A08A76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GRAPHYQUES!$N$98:$O$98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GRAPHYQUES!$P$98:$AA$98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83.324416900000003</c:v>
                      </c:pt>
                      <c:pt idx="1">
                        <c:v>79.303120419999999</c:v>
                      </c:pt>
                      <c:pt idx="2">
                        <c:v>79.825070290000014</c:v>
                      </c:pt>
                      <c:pt idx="3">
                        <c:v>43.933429220000001</c:v>
                      </c:pt>
                      <c:pt idx="4">
                        <c:v>52.125817060000003</c:v>
                      </c:pt>
                      <c:pt idx="5">
                        <c:v>116.09713069</c:v>
                      </c:pt>
                      <c:pt idx="6">
                        <c:v>58.733137509999999</c:v>
                      </c:pt>
                      <c:pt idx="7">
                        <c:v>88.947892609999997</c:v>
                      </c:pt>
                      <c:pt idx="8">
                        <c:v>92.051105540000009</c:v>
                      </c:pt>
                      <c:pt idx="9">
                        <c:v>133.84409331999998</c:v>
                      </c:pt>
                      <c:pt idx="10">
                        <c:v>92.003714959999996</c:v>
                      </c:pt>
                      <c:pt idx="11">
                        <c:v>114.33001573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33-4B85-B158-E969A08A76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GRAPHYQUES!$N$99:$O$99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GRAPHYQUES!$P$99:$AA$99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115.1433912</c:v>
                      </c:pt>
                      <c:pt idx="1">
                        <c:v>85.340355810000005</c:v>
                      </c:pt>
                      <c:pt idx="2">
                        <c:v>160.81778996</c:v>
                      </c:pt>
                      <c:pt idx="3">
                        <c:v>84.180428849999998</c:v>
                      </c:pt>
                      <c:pt idx="4">
                        <c:v>87.676561359999994</c:v>
                      </c:pt>
                      <c:pt idx="5">
                        <c:v>101.37603815999999</c:v>
                      </c:pt>
                      <c:pt idx="6">
                        <c:v>57.604893329999996</c:v>
                      </c:pt>
                      <c:pt idx="7">
                        <c:v>85.188913589999999</c:v>
                      </c:pt>
                      <c:pt idx="8">
                        <c:v>82.324132340000006</c:v>
                      </c:pt>
                      <c:pt idx="9">
                        <c:v>153.35974066</c:v>
                      </c:pt>
                      <c:pt idx="10">
                        <c:v>103.32059123000001</c:v>
                      </c:pt>
                      <c:pt idx="11">
                        <c:v>189.73239337999999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33-4B85-B158-E969A08A76B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GRAPHYQUES!$N$100:$O$100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GRAPHYQUES!$P$100:$AA$100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0.16534956999999284</c:v>
                      </c:pt>
                      <c:pt idx="1">
                        <c:v>16.663471939999997</c:v>
                      </c:pt>
                      <c:pt idx="2">
                        <c:v>14.816526559999987</c:v>
                      </c:pt>
                      <c:pt idx="3">
                        <c:v>3.9824525399999993</c:v>
                      </c:pt>
                      <c:pt idx="4">
                        <c:v>20.228395889999987</c:v>
                      </c:pt>
                      <c:pt idx="5">
                        <c:v>34.207335110000017</c:v>
                      </c:pt>
                      <c:pt idx="6">
                        <c:v>13.295689970000007</c:v>
                      </c:pt>
                      <c:pt idx="7">
                        <c:v>12.537717239999994</c:v>
                      </c:pt>
                      <c:pt idx="8">
                        <c:v>25.517627140000002</c:v>
                      </c:pt>
                      <c:pt idx="9">
                        <c:v>14.602167350000023</c:v>
                      </c:pt>
                      <c:pt idx="10">
                        <c:v>40.080451159999996</c:v>
                      </c:pt>
                      <c:pt idx="11">
                        <c:v>27.805468520000069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33-4B85-B158-E969A08A76B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GRAPHYQUES!$N$101:$O$101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GRAPHYQUES!$P$101:$AA$101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13.037403729999989</c:v>
                      </c:pt>
                      <c:pt idx="1">
                        <c:v>21.874853489999978</c:v>
                      </c:pt>
                      <c:pt idx="2">
                        <c:v>31.438501349999996</c:v>
                      </c:pt>
                      <c:pt idx="3">
                        <c:v>25.087929670000001</c:v>
                      </c:pt>
                      <c:pt idx="4">
                        <c:v>18.136356460000009</c:v>
                      </c:pt>
                      <c:pt idx="5">
                        <c:v>25.858425540000006</c:v>
                      </c:pt>
                      <c:pt idx="6">
                        <c:v>14.513310439999998</c:v>
                      </c:pt>
                      <c:pt idx="7">
                        <c:v>26.991475269999981</c:v>
                      </c:pt>
                      <c:pt idx="8">
                        <c:v>10.446175999999999</c:v>
                      </c:pt>
                      <c:pt idx="9">
                        <c:v>36.687366830000016</c:v>
                      </c:pt>
                      <c:pt idx="10">
                        <c:v>48.018095119999977</c:v>
                      </c:pt>
                      <c:pt idx="11">
                        <c:v>57.714027190000024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633-4B85-B158-E969A08A76BB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10"/>
          <c:order val="10"/>
          <c:tx>
            <c:strRef>
              <c:f>GRAPHYQUES!$N$104:$O$104</c:f>
              <c:strCache>
                <c:ptCount val="2"/>
                <c:pt idx="0">
                  <c:v>RESULTAT NET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GRAPHYQUES!$P$104:$AA$104</c:f>
              <c:numCache>
                <c:formatCode>#,##0</c:formatCode>
                <c:ptCount val="12"/>
                <c:pt idx="0">
                  <c:v>-30.339903660000008</c:v>
                </c:pt>
                <c:pt idx="1">
                  <c:v>-14.311550940000002</c:v>
                </c:pt>
                <c:pt idx="2">
                  <c:v>-16.775032370000012</c:v>
                </c:pt>
                <c:pt idx="3">
                  <c:v>-28.54374323</c:v>
                </c:pt>
                <c:pt idx="4">
                  <c:v>-11.403718290000016</c:v>
                </c:pt>
                <c:pt idx="5">
                  <c:v>2.2862850000000119</c:v>
                </c:pt>
                <c:pt idx="6">
                  <c:v>-27.648206179999992</c:v>
                </c:pt>
                <c:pt idx="7">
                  <c:v>-24.743087310000003</c:v>
                </c:pt>
                <c:pt idx="8">
                  <c:v>-10.81424442</c:v>
                </c:pt>
                <c:pt idx="9">
                  <c:v>-22.794552319999976</c:v>
                </c:pt>
                <c:pt idx="10">
                  <c:v>2.218395549999999</c:v>
                </c:pt>
                <c:pt idx="11">
                  <c:v>97.45961371000007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8-4B85-A351-CDC0477B8853}"/>
            </c:ext>
          </c:extLst>
        </c:ser>
        <c:ser>
          <c:idx val="11"/>
          <c:order val="11"/>
          <c:tx>
            <c:strRef>
              <c:f>GRAPHYQUES!$N$105:$O$105</c:f>
              <c:strCache>
                <c:ptCount val="2"/>
                <c:pt idx="0">
                  <c:v>RESULTAT NET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GRAPHYQUES!$P$93:$AA$93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GRAPHYQUES!$P$105:$AA$105</c:f>
              <c:numCache>
                <c:formatCode>#,##0</c:formatCode>
                <c:ptCount val="12"/>
                <c:pt idx="0">
                  <c:v>-22.872735250000002</c:v>
                </c:pt>
                <c:pt idx="1">
                  <c:v>-13.751546880000024</c:v>
                </c:pt>
                <c:pt idx="2">
                  <c:v>-3.8834887000000178</c:v>
                </c:pt>
                <c:pt idx="3">
                  <c:v>-6.2443747599999906</c:v>
                </c:pt>
                <c:pt idx="4">
                  <c:v>-15.654573450000019</c:v>
                </c:pt>
                <c:pt idx="5">
                  <c:v>-7.6555023800000255</c:v>
                </c:pt>
                <c:pt idx="6">
                  <c:v>-31.840796939999983</c:v>
                </c:pt>
                <c:pt idx="7">
                  <c:v>-12.594345210000023</c:v>
                </c:pt>
                <c:pt idx="8">
                  <c:v>-21.035560719999985</c:v>
                </c:pt>
                <c:pt idx="9">
                  <c:v>2.3336513700000046</c:v>
                </c:pt>
                <c:pt idx="10">
                  <c:v>13.607609919999987</c:v>
                </c:pt>
                <c:pt idx="11">
                  <c:v>21.123236630000026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8-4B85-A351-CDC0477B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GRAPHYQUES!$N$94:$O$94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GRAPHYQUES!$P$94:$AA$94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28.049688700000001</c:v>
                      </c:pt>
                      <c:pt idx="1">
                        <c:v>58.711413439999994</c:v>
                      </c:pt>
                      <c:pt idx="2">
                        <c:v>51.107887299999994</c:v>
                      </c:pt>
                      <c:pt idx="3">
                        <c:v>43.990155000000001</c:v>
                      </c:pt>
                      <c:pt idx="4">
                        <c:v>71.482070300000004</c:v>
                      </c:pt>
                      <c:pt idx="5">
                        <c:v>100.30512879999999</c:v>
                      </c:pt>
                      <c:pt idx="6">
                        <c:v>72.440591999999995</c:v>
                      </c:pt>
                      <c:pt idx="7">
                        <c:v>80.143167599999998</c:v>
                      </c:pt>
                      <c:pt idx="8">
                        <c:v>121.1460223</c:v>
                      </c:pt>
                      <c:pt idx="9">
                        <c:v>97.806413980000002</c:v>
                      </c:pt>
                      <c:pt idx="10">
                        <c:v>122.31690901</c:v>
                      </c:pt>
                      <c:pt idx="11">
                        <c:v>136.09510342000007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68-4B85-A351-CDC0477B88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GRAPHYQUES!$N$95:$O$95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GRAPHYQUES!$P$95:$AA$95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36.362607789999998</c:v>
                      </c:pt>
                      <c:pt idx="1">
                        <c:v>49.471433079999997</c:v>
                      </c:pt>
                      <c:pt idx="2">
                        <c:v>84.961264099999994</c:v>
                      </c:pt>
                      <c:pt idx="3">
                        <c:v>85.694295980000007</c:v>
                      </c:pt>
                      <c:pt idx="4">
                        <c:v>83.86220247</c:v>
                      </c:pt>
                      <c:pt idx="5">
                        <c:v>159.32885540999999</c:v>
                      </c:pt>
                      <c:pt idx="6">
                        <c:v>35.241349820000003</c:v>
                      </c:pt>
                      <c:pt idx="7">
                        <c:v>105.29668122</c:v>
                      </c:pt>
                      <c:pt idx="8">
                        <c:v>89.344148939999997</c:v>
                      </c:pt>
                      <c:pt idx="9">
                        <c:v>109.07384893999999</c:v>
                      </c:pt>
                      <c:pt idx="10">
                        <c:v>126.88435398999999</c:v>
                      </c:pt>
                      <c:pt idx="11">
                        <c:v>148.34763641999999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68-4B85-A351-CDC0477B88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GRAPHYQUES!$N$96:$O$96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GRAPHYQUES!$P$96:$AA$96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89.242913610000002</c:v>
                      </c:pt>
                      <c:pt idx="1">
                        <c:v>100.02748260999999</c:v>
                      </c:pt>
                      <c:pt idx="2">
                        <c:v>98.353910729999996</c:v>
                      </c:pt>
                      <c:pt idx="3">
                        <c:v>50.777878719999997</c:v>
                      </c:pt>
                      <c:pt idx="4">
                        <c:v>76.351086259999988</c:v>
                      </c:pt>
                      <c:pt idx="5">
                        <c:v>155.69604462000001</c:v>
                      </c:pt>
                      <c:pt idx="6">
                        <c:v>78.589266530000003</c:v>
                      </c:pt>
                      <c:pt idx="7">
                        <c:v>108.67982361</c:v>
                      </c:pt>
                      <c:pt idx="8">
                        <c:v>124.64526748</c:v>
                      </c:pt>
                      <c:pt idx="9">
                        <c:v>156.41211609000001</c:v>
                      </c:pt>
                      <c:pt idx="10">
                        <c:v>137.64539563</c:v>
                      </c:pt>
                      <c:pt idx="11">
                        <c:v>150.64496970000008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68-4B85-A351-CDC0477B88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GRAPHYQUES!$N$97:$O$97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GRAPHYQUES!$P$97:$AA$97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133.61922730000001</c:v>
                      </c:pt>
                      <c:pt idx="1">
                        <c:v>112.74824616999999</c:v>
                      </c:pt>
                      <c:pt idx="2">
                        <c:v>197.52268074</c:v>
                      </c:pt>
                      <c:pt idx="3">
                        <c:v>113.00107962999999</c:v>
                      </c:pt>
                      <c:pt idx="4">
                        <c:v>111.26120548</c:v>
                      </c:pt>
                      <c:pt idx="5">
                        <c:v>133.27807884000001</c:v>
                      </c:pt>
                      <c:pt idx="6">
                        <c:v>76.089192659999995</c:v>
                      </c:pt>
                      <c:pt idx="7">
                        <c:v>119.07988601</c:v>
                      </c:pt>
                      <c:pt idx="8">
                        <c:v>99.138224640000004</c:v>
                      </c:pt>
                      <c:pt idx="9">
                        <c:v>195.32947647</c:v>
                      </c:pt>
                      <c:pt idx="10">
                        <c:v>156.68151123999999</c:v>
                      </c:pt>
                      <c:pt idx="11">
                        <c:v>253.54069049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68-4B85-A351-CDC0477B88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GRAPHYQUES!$N$98:$O$98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GRAPHYQUES!$P$98:$AA$98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83.324416900000003</c:v>
                      </c:pt>
                      <c:pt idx="1">
                        <c:v>79.303120419999999</c:v>
                      </c:pt>
                      <c:pt idx="2">
                        <c:v>79.825070290000014</c:v>
                      </c:pt>
                      <c:pt idx="3">
                        <c:v>43.933429220000001</c:v>
                      </c:pt>
                      <c:pt idx="4">
                        <c:v>52.125817060000003</c:v>
                      </c:pt>
                      <c:pt idx="5">
                        <c:v>116.09713069</c:v>
                      </c:pt>
                      <c:pt idx="6">
                        <c:v>58.733137509999999</c:v>
                      </c:pt>
                      <c:pt idx="7">
                        <c:v>88.947892609999997</c:v>
                      </c:pt>
                      <c:pt idx="8">
                        <c:v>92.051105540000009</c:v>
                      </c:pt>
                      <c:pt idx="9">
                        <c:v>133.84409331999998</c:v>
                      </c:pt>
                      <c:pt idx="10">
                        <c:v>92.003714959999996</c:v>
                      </c:pt>
                      <c:pt idx="11">
                        <c:v>114.33001573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68-4B85-A351-CDC0477B88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GRAPHYQUES!$N$99:$O$99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GRAPHYQUES!$P$99:$AA$99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115.1433912</c:v>
                      </c:pt>
                      <c:pt idx="1">
                        <c:v>85.340355810000005</c:v>
                      </c:pt>
                      <c:pt idx="2">
                        <c:v>160.81778996</c:v>
                      </c:pt>
                      <c:pt idx="3">
                        <c:v>84.180428849999998</c:v>
                      </c:pt>
                      <c:pt idx="4">
                        <c:v>87.676561359999994</c:v>
                      </c:pt>
                      <c:pt idx="5">
                        <c:v>101.37603815999999</c:v>
                      </c:pt>
                      <c:pt idx="6">
                        <c:v>57.604893329999996</c:v>
                      </c:pt>
                      <c:pt idx="7">
                        <c:v>85.188913589999999</c:v>
                      </c:pt>
                      <c:pt idx="8">
                        <c:v>82.324132340000006</c:v>
                      </c:pt>
                      <c:pt idx="9">
                        <c:v>153.35974066</c:v>
                      </c:pt>
                      <c:pt idx="10">
                        <c:v>103.32059123000001</c:v>
                      </c:pt>
                      <c:pt idx="11">
                        <c:v>189.73239337999999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68-4B85-A351-CDC0477B88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GRAPHYQUES!$N$100:$O$100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GRAPHYQUES!$P$100:$AA$100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0.16534956999999284</c:v>
                      </c:pt>
                      <c:pt idx="1">
                        <c:v>16.663471939999997</c:v>
                      </c:pt>
                      <c:pt idx="2">
                        <c:v>14.816526559999987</c:v>
                      </c:pt>
                      <c:pt idx="3">
                        <c:v>3.9824525399999993</c:v>
                      </c:pt>
                      <c:pt idx="4">
                        <c:v>20.228395889999987</c:v>
                      </c:pt>
                      <c:pt idx="5">
                        <c:v>34.207335110000017</c:v>
                      </c:pt>
                      <c:pt idx="6">
                        <c:v>13.295689970000007</c:v>
                      </c:pt>
                      <c:pt idx="7">
                        <c:v>12.537717239999994</c:v>
                      </c:pt>
                      <c:pt idx="8">
                        <c:v>25.517627140000002</c:v>
                      </c:pt>
                      <c:pt idx="9">
                        <c:v>14.602167350000023</c:v>
                      </c:pt>
                      <c:pt idx="10">
                        <c:v>40.080451159999996</c:v>
                      </c:pt>
                      <c:pt idx="11">
                        <c:v>27.805468520000069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68-4B85-A351-CDC0477B88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GRAPHYQUES!$N$101:$O$101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GRAPHYQUES!$P$101:$AA$101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13.037403729999989</c:v>
                      </c:pt>
                      <c:pt idx="1">
                        <c:v>21.874853489999978</c:v>
                      </c:pt>
                      <c:pt idx="2">
                        <c:v>31.438501349999996</c:v>
                      </c:pt>
                      <c:pt idx="3">
                        <c:v>25.087929670000001</c:v>
                      </c:pt>
                      <c:pt idx="4">
                        <c:v>18.136356460000009</c:v>
                      </c:pt>
                      <c:pt idx="5">
                        <c:v>25.858425540000006</c:v>
                      </c:pt>
                      <c:pt idx="6">
                        <c:v>14.513310439999998</c:v>
                      </c:pt>
                      <c:pt idx="7">
                        <c:v>26.991475269999981</c:v>
                      </c:pt>
                      <c:pt idx="8">
                        <c:v>10.446175999999999</c:v>
                      </c:pt>
                      <c:pt idx="9">
                        <c:v>36.687366830000016</c:v>
                      </c:pt>
                      <c:pt idx="10">
                        <c:v>48.018095119999977</c:v>
                      </c:pt>
                      <c:pt idx="11">
                        <c:v>57.714027190000024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68-4B85-A351-CDC0477B88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GRAPHYQUES!$N$102:$O$102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GRAPHYQUES!$P$102:$AA$102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24.530168539999998</c:v>
                      </c:pt>
                      <c:pt idx="1">
                        <c:v>24.716853559999997</c:v>
                      </c:pt>
                      <c:pt idx="2">
                        <c:v>25.35135678</c:v>
                      </c:pt>
                      <c:pt idx="3">
                        <c:v>26.275869910000001</c:v>
                      </c:pt>
                      <c:pt idx="4">
                        <c:v>25.033281070000001</c:v>
                      </c:pt>
                      <c:pt idx="5">
                        <c:v>25.30459428</c:v>
                      </c:pt>
                      <c:pt idx="6">
                        <c:v>34.327042759999998</c:v>
                      </c:pt>
                      <c:pt idx="7">
                        <c:v>30.498273409999999</c:v>
                      </c:pt>
                      <c:pt idx="8">
                        <c:v>29.603671730000002</c:v>
                      </c:pt>
                      <c:pt idx="9">
                        <c:v>30.555508739999997</c:v>
                      </c:pt>
                      <c:pt idx="10">
                        <c:v>30.827675829999997</c:v>
                      </c:pt>
                      <c:pt idx="11">
                        <c:v>13.651820650000001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68-4B85-A351-CDC0477B88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GRAPHYQUES!$N$103:$O$103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4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GRAPHYQUES!$P$93:$AA$93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GRAPHYQUES!$P$103:$AA$103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28.960107699999998</c:v>
                      </c:pt>
                      <c:pt idx="1">
                        <c:v>30.178071329999998</c:v>
                      </c:pt>
                      <c:pt idx="2">
                        <c:v>29.04488701</c:v>
                      </c:pt>
                      <c:pt idx="3">
                        <c:v>27.44536986</c:v>
                      </c:pt>
                      <c:pt idx="4">
                        <c:v>28.28567095</c:v>
                      </c:pt>
                      <c:pt idx="5">
                        <c:v>26.93320958</c:v>
                      </c:pt>
                      <c:pt idx="6">
                        <c:v>40.381946360000001</c:v>
                      </c:pt>
                      <c:pt idx="7">
                        <c:v>33.961358740000001</c:v>
                      </c:pt>
                      <c:pt idx="8">
                        <c:v>25.593083</c:v>
                      </c:pt>
                      <c:pt idx="9">
                        <c:v>27.56289636</c:v>
                      </c:pt>
                      <c:pt idx="10">
                        <c:v>27.309523579999997</c:v>
                      </c:pt>
                      <c:pt idx="11">
                        <c:v>29.238492620000002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68-4B85-A351-CDC0477B8853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0"/>
          <c:order val="0"/>
          <c:tx>
            <c:strRef>
              <c:f>GRAPHYQUES!$N$129:$O$129</c:f>
              <c:strCache>
                <c:ptCount val="2"/>
                <c:pt idx="0">
                  <c:v>CHIFFRE D'AFFAIRES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GRAPHYQUES!$P$129:$AA$129</c:f>
              <c:numCache>
                <c:formatCode>#,##0</c:formatCode>
                <c:ptCount val="12"/>
                <c:pt idx="0">
                  <c:v>33.521247000000002</c:v>
                </c:pt>
                <c:pt idx="1">
                  <c:v>26.321838</c:v>
                </c:pt>
                <c:pt idx="2">
                  <c:v>31.35053804</c:v>
                </c:pt>
                <c:pt idx="3">
                  <c:v>25.000449399999997</c:v>
                </c:pt>
                <c:pt idx="4">
                  <c:v>43.803422600000005</c:v>
                </c:pt>
                <c:pt idx="5">
                  <c:v>52.4705668</c:v>
                </c:pt>
                <c:pt idx="6">
                  <c:v>34.898000200000006</c:v>
                </c:pt>
                <c:pt idx="7">
                  <c:v>50.619039000000001</c:v>
                </c:pt>
                <c:pt idx="8">
                  <c:v>53.09148184</c:v>
                </c:pt>
                <c:pt idx="9">
                  <c:v>60.9380752</c:v>
                </c:pt>
                <c:pt idx="10">
                  <c:v>63.315339159999994</c:v>
                </c:pt>
                <c:pt idx="11">
                  <c:v>100.78095489999997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B-4665-B1D2-B9F1519F9A82}"/>
            </c:ext>
          </c:extLst>
        </c:ser>
        <c:ser>
          <c:idx val="1"/>
          <c:order val="1"/>
          <c:tx>
            <c:strRef>
              <c:f>GRAPHYQUES!$N$130:$O$130</c:f>
              <c:strCache>
                <c:ptCount val="2"/>
                <c:pt idx="0">
                  <c:v>CHIFFRE D'AFFAIRES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GRAPHYQUES!$P$130:$AA$130</c:f>
              <c:numCache>
                <c:formatCode>#,##0</c:formatCode>
                <c:ptCount val="12"/>
                <c:pt idx="0">
                  <c:v>23.460707800000002</c:v>
                </c:pt>
                <c:pt idx="1">
                  <c:v>30.616077860000001</c:v>
                </c:pt>
                <c:pt idx="2">
                  <c:v>54.755497800000001</c:v>
                </c:pt>
                <c:pt idx="3">
                  <c:v>40.951519619999999</c:v>
                </c:pt>
                <c:pt idx="4">
                  <c:v>111.16438315000001</c:v>
                </c:pt>
                <c:pt idx="5">
                  <c:v>59.212911990000002</c:v>
                </c:pt>
                <c:pt idx="6">
                  <c:v>37.633035</c:v>
                </c:pt>
                <c:pt idx="7">
                  <c:v>31.518268640000002</c:v>
                </c:pt>
                <c:pt idx="8">
                  <c:v>54.354414720000001</c:v>
                </c:pt>
                <c:pt idx="9">
                  <c:v>91.070764439999991</c:v>
                </c:pt>
                <c:pt idx="10">
                  <c:v>78.890960180000008</c:v>
                </c:pt>
                <c:pt idx="11">
                  <c:v>103.35287760999999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B-4665-B1D2-B9F1519F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GRAPHYQUES!$N$131:$O$131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GRAPHYQUES!$P$131:$AA$131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20.417144390000001</c:v>
                      </c:pt>
                      <c:pt idx="1">
                        <c:v>19.700745359999999</c:v>
                      </c:pt>
                      <c:pt idx="2">
                        <c:v>18.708029420000003</c:v>
                      </c:pt>
                      <c:pt idx="3">
                        <c:v>11.849877189999997</c:v>
                      </c:pt>
                      <c:pt idx="4">
                        <c:v>18.466925400000001</c:v>
                      </c:pt>
                      <c:pt idx="5">
                        <c:v>27.349988339999996</c:v>
                      </c:pt>
                      <c:pt idx="6">
                        <c:v>21.679183660000003</c:v>
                      </c:pt>
                      <c:pt idx="7">
                        <c:v>31.762441989999999</c:v>
                      </c:pt>
                      <c:pt idx="8">
                        <c:v>39.402867260000008</c:v>
                      </c:pt>
                      <c:pt idx="9">
                        <c:v>35.903772290000006</c:v>
                      </c:pt>
                      <c:pt idx="10">
                        <c:v>31.090193539999994</c:v>
                      </c:pt>
                      <c:pt idx="11">
                        <c:v>47.140808159999978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8B-4665-B1D2-B9F1519F9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GRAPHYQUES!$N$132:$O$132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GRAPHYQUES!$P$132:$AA$132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31.693589979999999</c:v>
                      </c:pt>
                      <c:pt idx="1">
                        <c:v>35.076715649999997</c:v>
                      </c:pt>
                      <c:pt idx="2">
                        <c:v>29.644018919999997</c:v>
                      </c:pt>
                      <c:pt idx="3">
                        <c:v>23.668817619999999</c:v>
                      </c:pt>
                      <c:pt idx="4">
                        <c:v>47.853499860000007</c:v>
                      </c:pt>
                      <c:pt idx="5">
                        <c:v>27.867187910000006</c:v>
                      </c:pt>
                      <c:pt idx="6">
                        <c:v>18.157939300000002</c:v>
                      </c:pt>
                      <c:pt idx="7">
                        <c:v>19.869276360000001</c:v>
                      </c:pt>
                      <c:pt idx="8">
                        <c:v>40.447650029999998</c:v>
                      </c:pt>
                      <c:pt idx="9">
                        <c:v>58.67804915</c:v>
                      </c:pt>
                      <c:pt idx="10">
                        <c:v>56.623053660000011</c:v>
                      </c:pt>
                      <c:pt idx="11">
                        <c:v>75.001011169999998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8B-4665-B1D2-B9F1519F9A8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GRAPHYQUES!$N$133:$O$133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GRAPHYQUES!$P$133:$AA$133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10.092533449999999</c:v>
                      </c:pt>
                      <c:pt idx="1">
                        <c:v>12.77091285</c:v>
                      </c:pt>
                      <c:pt idx="2">
                        <c:v>11.812582239999999</c:v>
                      </c:pt>
                      <c:pt idx="3">
                        <c:v>7.5635804999999996</c:v>
                      </c:pt>
                      <c:pt idx="4">
                        <c:v>6.58085729</c:v>
                      </c:pt>
                      <c:pt idx="5">
                        <c:v>14.033583009999999</c:v>
                      </c:pt>
                      <c:pt idx="6">
                        <c:v>13.54413907</c:v>
                      </c:pt>
                      <c:pt idx="7">
                        <c:v>18.437855670000001</c:v>
                      </c:pt>
                      <c:pt idx="8">
                        <c:v>22.28054139</c:v>
                      </c:pt>
                      <c:pt idx="9">
                        <c:v>18.089272680000001</c:v>
                      </c:pt>
                      <c:pt idx="10">
                        <c:v>16.517132140000001</c:v>
                      </c:pt>
                      <c:pt idx="11">
                        <c:v>23.16480928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8B-4665-B1D2-B9F1519F9A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GRAPHYQUES!$N$134:$O$134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GRAPHYQUES!$P$134:$AA$134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19.132746190000002</c:v>
                      </c:pt>
                      <c:pt idx="1">
                        <c:v>19.222554890000001</c:v>
                      </c:pt>
                      <c:pt idx="2">
                        <c:v>15.808313609999999</c:v>
                      </c:pt>
                      <c:pt idx="3">
                        <c:v>12.37509133</c:v>
                      </c:pt>
                      <c:pt idx="4">
                        <c:v>13.51424059</c:v>
                      </c:pt>
                      <c:pt idx="5">
                        <c:v>10.5816666</c:v>
                      </c:pt>
                      <c:pt idx="6">
                        <c:v>7.0564336299999999</c:v>
                      </c:pt>
                      <c:pt idx="7">
                        <c:v>13.048746339999999</c:v>
                      </c:pt>
                      <c:pt idx="8">
                        <c:v>12.959217449999999</c:v>
                      </c:pt>
                      <c:pt idx="9">
                        <c:v>16.708490510000001</c:v>
                      </c:pt>
                      <c:pt idx="10">
                        <c:v>21.47897051</c:v>
                      </c:pt>
                      <c:pt idx="11">
                        <c:v>31.529071940000001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8B-4665-B1D2-B9F1519F9A8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GRAPHYQUES!$N$135:$O$135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GRAPHYQUES!$P$135:$AA$135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8.7772757200000004</c:v>
                      </c:pt>
                      <c:pt idx="1">
                        <c:v>5.6316704499999997</c:v>
                      </c:pt>
                      <c:pt idx="2">
                        <c:v>5.3471947900000005</c:v>
                      </c:pt>
                      <c:pt idx="3">
                        <c:v>2.6750463599999974</c:v>
                      </c:pt>
                      <c:pt idx="4">
                        <c:v>9.7570143200000015</c:v>
                      </c:pt>
                      <c:pt idx="5">
                        <c:v>11.477033509999996</c:v>
                      </c:pt>
                      <c:pt idx="6">
                        <c:v>6.9103010800000035</c:v>
                      </c:pt>
                      <c:pt idx="7">
                        <c:v>11.848320669999998</c:v>
                      </c:pt>
                      <c:pt idx="8">
                        <c:v>15.054623480000004</c:v>
                      </c:pt>
                      <c:pt idx="9">
                        <c:v>15.271094810000006</c:v>
                      </c:pt>
                      <c:pt idx="10">
                        <c:v>8.8175317199999945</c:v>
                      </c:pt>
                      <c:pt idx="11">
                        <c:v>18.689581879999974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8B-4665-B1D2-B9F1519F9A8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GRAPHYQUES!$N$136:$O$136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GRAPHYQUES!$P$136:$AA$136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10.352412579999998</c:v>
                      </c:pt>
                      <c:pt idx="1">
                        <c:v>13.910677079999997</c:v>
                      </c:pt>
                      <c:pt idx="2">
                        <c:v>11.321362069999996</c:v>
                      </c:pt>
                      <c:pt idx="3">
                        <c:v>10.758584349999998</c:v>
                      </c:pt>
                      <c:pt idx="4">
                        <c:v>31.630185770000008</c:v>
                      </c:pt>
                      <c:pt idx="5">
                        <c:v>14.390461740000005</c:v>
                      </c:pt>
                      <c:pt idx="6">
                        <c:v>7.8419865200000016</c:v>
                      </c:pt>
                      <c:pt idx="7">
                        <c:v>3.7274650599999988</c:v>
                      </c:pt>
                      <c:pt idx="8">
                        <c:v>22.463914450000004</c:v>
                      </c:pt>
                      <c:pt idx="9">
                        <c:v>38.57618815</c:v>
                      </c:pt>
                      <c:pt idx="10">
                        <c:v>31.374123610000012</c:v>
                      </c:pt>
                      <c:pt idx="11">
                        <c:v>39.801485469999996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8B-4665-B1D2-B9F1519F9A8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GRAPHYQUES!$N$137:$O$137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GRAPHYQUES!$P$137:$AA$137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8.36750726</c:v>
                      </c:pt>
                      <c:pt idx="1">
                        <c:v>8.7312100899999994</c:v>
                      </c:pt>
                      <c:pt idx="2">
                        <c:v>8.7403556999999985</c:v>
                      </c:pt>
                      <c:pt idx="3">
                        <c:v>8.2559178400000004</c:v>
                      </c:pt>
                      <c:pt idx="4">
                        <c:v>8.0638518999999995</c:v>
                      </c:pt>
                      <c:pt idx="5">
                        <c:v>8.0124746699999996</c:v>
                      </c:pt>
                      <c:pt idx="6">
                        <c:v>10.8257642</c:v>
                      </c:pt>
                      <c:pt idx="7">
                        <c:v>9.7226948599999989</c:v>
                      </c:pt>
                      <c:pt idx="8">
                        <c:v>9.7909817899999982</c:v>
                      </c:pt>
                      <c:pt idx="9">
                        <c:v>10.346519199999999</c:v>
                      </c:pt>
                      <c:pt idx="10">
                        <c:v>11.827444009999999</c:v>
                      </c:pt>
                      <c:pt idx="11">
                        <c:v>9.9002681599999995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8B-4665-B1D2-B9F1519F9A8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GRAPHYQUES!$N$138:$O$138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GRAPHYQUES!$P$138:$AA$138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10.783219189999999</c:v>
                      </c:pt>
                      <c:pt idx="1">
                        <c:v>12.372266439999999</c:v>
                      </c:pt>
                      <c:pt idx="2">
                        <c:v>11.79977021</c:v>
                      </c:pt>
                      <c:pt idx="3">
                        <c:v>11.68585929</c:v>
                      </c:pt>
                      <c:pt idx="4">
                        <c:v>11.31154581</c:v>
                      </c:pt>
                      <c:pt idx="5">
                        <c:v>10.98382608</c:v>
                      </c:pt>
                      <c:pt idx="6">
                        <c:v>11.221899689999999</c:v>
                      </c:pt>
                      <c:pt idx="7">
                        <c:v>15.54841815</c:v>
                      </c:pt>
                      <c:pt idx="8">
                        <c:v>10.018925699999999</c:v>
                      </c:pt>
                      <c:pt idx="9">
                        <c:v>11.02240705</c:v>
                      </c:pt>
                      <c:pt idx="10">
                        <c:v>11.392522939999999</c:v>
                      </c:pt>
                      <c:pt idx="11">
                        <c:v>11.072428349999999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8B-4665-B1D2-B9F1519F9A82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6"/>
          <c:order val="6"/>
          <c:tx>
            <c:strRef>
              <c:f>GRAPHYQUES!$N$30:$O$30</c:f>
              <c:strCache>
                <c:ptCount val="2"/>
                <c:pt idx="0">
                  <c:v>VALEUR AJOUTEE </c:v>
                </c:pt>
                <c:pt idx="1">
                  <c:v>2020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  <c:extLst xmlns:c15="http://schemas.microsoft.com/office/drawing/2012/chart"/>
            </c:strRef>
          </c:cat>
          <c:val>
            <c:numRef>
              <c:f>GRAPHYQUES!$P$30:$AA$30</c:f>
              <c:numCache>
                <c:formatCode>#,##0</c:formatCode>
                <c:ptCount val="12"/>
                <c:pt idx="0">
                  <c:v>7.0997781899999932</c:v>
                </c:pt>
                <c:pt idx="1">
                  <c:v>23.411253420000001</c:v>
                </c:pt>
                <c:pt idx="2">
                  <c:v>23.481179669999989</c:v>
                </c:pt>
                <c:pt idx="3">
                  <c:v>5.6236285199999987</c:v>
                </c:pt>
                <c:pt idx="4">
                  <c:v>31.658686349999989</c:v>
                </c:pt>
                <c:pt idx="5">
                  <c:v>46.742336650000013</c:v>
                </c:pt>
                <c:pt idx="6">
                  <c:v>10.798667260000011</c:v>
                </c:pt>
                <c:pt idx="7">
                  <c:v>17.343832919999997</c:v>
                </c:pt>
                <c:pt idx="8">
                  <c:v>39.75473324</c:v>
                </c:pt>
                <c:pt idx="9">
                  <c:v>28.465406550000033</c:v>
                </c:pt>
                <c:pt idx="10">
                  <c:v>46.099559849999999</c:v>
                </c:pt>
                <c:pt idx="11">
                  <c:v>130.49365509000006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D56B-4BF5-A6D1-1F5605009914}"/>
            </c:ext>
          </c:extLst>
        </c:ser>
        <c:ser>
          <c:idx val="7"/>
          <c:order val="7"/>
          <c:tx>
            <c:strRef>
              <c:f>GRAPHYQUES!$N$31:$O$31</c:f>
              <c:strCache>
                <c:ptCount val="2"/>
                <c:pt idx="0">
                  <c:v>VALEUR AJOUTEE </c:v>
                </c:pt>
                <c:pt idx="1">
                  <c:v>2021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  <c:extLst xmlns:c15="http://schemas.microsoft.com/office/drawing/2012/chart"/>
            </c:strRef>
          </c:cat>
          <c:val>
            <c:numRef>
              <c:f>GRAPHYQUES!$P$31:$AA$31</c:f>
              <c:numCache>
                <c:formatCode>#,##0</c:formatCode>
                <c:ptCount val="12"/>
                <c:pt idx="0">
                  <c:v>38.320009699999986</c:v>
                </c:pt>
                <c:pt idx="1">
                  <c:v>34.792105439999972</c:v>
                </c:pt>
                <c:pt idx="2">
                  <c:v>53.791898949999982</c:v>
                </c:pt>
                <c:pt idx="3">
                  <c:v>45.37193597000001</c:v>
                </c:pt>
                <c:pt idx="4">
                  <c:v>57.696208250000012</c:v>
                </c:pt>
                <c:pt idx="5">
                  <c:v>63.612681760000015</c:v>
                </c:pt>
                <c:pt idx="6">
                  <c:v>33.000821430000002</c:v>
                </c:pt>
                <c:pt idx="7">
                  <c:v>41.68997195999998</c:v>
                </c:pt>
                <c:pt idx="8">
                  <c:v>46.182551330000003</c:v>
                </c:pt>
                <c:pt idx="9">
                  <c:v>86.853810940000017</c:v>
                </c:pt>
                <c:pt idx="10">
                  <c:v>95.393098619999989</c:v>
                </c:pt>
                <c:pt idx="11">
                  <c:v>107.95500660000002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D56B-4BF5-A6D1-1F5605009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GRAPHYQUES!$N$24:$O$24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GRAPHYQUES!$P$24:$AA$24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72.594616900000005</c:v>
                      </c:pt>
                      <c:pt idx="1">
                        <c:v>94.859717139999987</c:v>
                      </c:pt>
                      <c:pt idx="2">
                        <c:v>93.211833339999998</c:v>
                      </c:pt>
                      <c:pt idx="3">
                        <c:v>96.2204464</c:v>
                      </c:pt>
                      <c:pt idx="4">
                        <c:v>152.15987580000001</c:v>
                      </c:pt>
                      <c:pt idx="5">
                        <c:v>169.56078120000001</c:v>
                      </c:pt>
                      <c:pt idx="6">
                        <c:v>126.70165040000001</c:v>
                      </c:pt>
                      <c:pt idx="7">
                        <c:v>156.0586892</c:v>
                      </c:pt>
                      <c:pt idx="8">
                        <c:v>207.67180429000001</c:v>
                      </c:pt>
                      <c:pt idx="9">
                        <c:v>217.80896014000001</c:v>
                      </c:pt>
                      <c:pt idx="10">
                        <c:v>235.14587037000001</c:v>
                      </c:pt>
                      <c:pt idx="11">
                        <c:v>486.57359730000007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6B-4BF5-A6D1-1F56050099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GRAPHYQUES!$N$25:$O$25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GRAPHYQUES!$P$25:$AA$25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92.184710269999997</c:v>
                      </c:pt>
                      <c:pt idx="1">
                        <c:v>98.325431250000008</c:v>
                      </c:pt>
                      <c:pt idx="2">
                        <c:v>192.75221775999998</c:v>
                      </c:pt>
                      <c:pt idx="3">
                        <c:v>197.58164563000003</c:v>
                      </c:pt>
                      <c:pt idx="4">
                        <c:v>248.02460159999998</c:v>
                      </c:pt>
                      <c:pt idx="5">
                        <c:v>345.35723625999998</c:v>
                      </c:pt>
                      <c:pt idx="6">
                        <c:v>147.34745900999999</c:v>
                      </c:pt>
                      <c:pt idx="7">
                        <c:v>197.25824418000002</c:v>
                      </c:pt>
                      <c:pt idx="8">
                        <c:v>220.36779822</c:v>
                      </c:pt>
                      <c:pt idx="9">
                        <c:v>266.37292930000001</c:v>
                      </c:pt>
                      <c:pt idx="10">
                        <c:v>294.23575901000004</c:v>
                      </c:pt>
                      <c:pt idx="11">
                        <c:v>334.56219385999998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6B-4BF5-A6D1-1F560500991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GRAPHYQUES!$N$26:$O$26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GRAPHYQUES!$P$26:$AA$26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120.98144435</c:v>
                      </c:pt>
                      <c:pt idx="1">
                        <c:v>132.78218099999998</c:v>
                      </c:pt>
                      <c:pt idx="2">
                        <c:v>130.87319431</c:v>
                      </c:pt>
                      <c:pt idx="3">
                        <c:v>72.057038959999986</c:v>
                      </c:pt>
                      <c:pt idx="4">
                        <c:v>106.01176556999999</c:v>
                      </c:pt>
                      <c:pt idx="5">
                        <c:v>204.11082909999999</c:v>
                      </c:pt>
                      <c:pt idx="6">
                        <c:v>109.31915982000001</c:v>
                      </c:pt>
                      <c:pt idx="7">
                        <c:v>151.17009121999999</c:v>
                      </c:pt>
                      <c:pt idx="8">
                        <c:v>185.38558771000004</c:v>
                      </c:pt>
                      <c:pt idx="9">
                        <c:v>216.24811851000001</c:v>
                      </c:pt>
                      <c:pt idx="10">
                        <c:v>193.57986073000001</c:v>
                      </c:pt>
                      <c:pt idx="11">
                        <c:v>384.64935160000005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6B-4BF5-A6D1-1F56050099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GRAPHYQUES!$N$27:$O$27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GRAPHYQUES!$P$27:$AA$27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213.49584070999998</c:v>
                      </c:pt>
                      <c:pt idx="1">
                        <c:v>172.19152550999999</c:v>
                      </c:pt>
                      <c:pt idx="2">
                        <c:v>281.07496621000001</c:v>
                      </c:pt>
                      <c:pt idx="3">
                        <c:v>185.04600934000001</c:v>
                      </c:pt>
                      <c:pt idx="4">
                        <c:v>204.53502576</c:v>
                      </c:pt>
                      <c:pt idx="5">
                        <c:v>228.14084779000001</c:v>
                      </c:pt>
                      <c:pt idx="6">
                        <c:v>137.21407348</c:v>
                      </c:pt>
                      <c:pt idx="7">
                        <c:v>173.21041891000002</c:v>
                      </c:pt>
                      <c:pt idx="8">
                        <c:v>184.74831594</c:v>
                      </c:pt>
                      <c:pt idx="9">
                        <c:v>306.76374673000004</c:v>
                      </c:pt>
                      <c:pt idx="10">
                        <c:v>273.27079308999998</c:v>
                      </c:pt>
                      <c:pt idx="11">
                        <c:v>389.44742737999997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6B-4BF5-A6D1-1F560500991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GRAPHYQUES!$N$28:$O$28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GRAPHYQUES!$P$28:$AA$28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104.06932908000002</c:v>
                      </c:pt>
                      <c:pt idx="1">
                        <c:v>101.10086497</c:v>
                      </c:pt>
                      <c:pt idx="2">
                        <c:v>99.773181240000014</c:v>
                      </c:pt>
                      <c:pt idx="3">
                        <c:v>60.573071120000002</c:v>
                      </c:pt>
                      <c:pt idx="4">
                        <c:v>66.085679040000002</c:v>
                      </c:pt>
                      <c:pt idx="5">
                        <c:v>140.41066816</c:v>
                      </c:pt>
                      <c:pt idx="6">
                        <c:v>83.361222760000004</c:v>
                      </c:pt>
                      <c:pt idx="7">
                        <c:v>122.16785022000001</c:v>
                      </c:pt>
                      <c:pt idx="8">
                        <c:v>131.82940602000002</c:v>
                      </c:pt>
                      <c:pt idx="9">
                        <c:v>173.18429282999998</c:v>
                      </c:pt>
                      <c:pt idx="10">
                        <c:v>128.4683775</c:v>
                      </c:pt>
                      <c:pt idx="11">
                        <c:v>222.11881713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6B-4BF5-A6D1-1F56050099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GRAPHYQUES!$N$29:$O$29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GRAPHYQUES!$P$29:$AA$29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162.49593348999997</c:v>
                      </c:pt>
                      <c:pt idx="1">
                        <c:v>126.88893487</c:v>
                      </c:pt>
                      <c:pt idx="2">
                        <c:v>214.45810731</c:v>
                      </c:pt>
                      <c:pt idx="3">
                        <c:v>129.19147074</c:v>
                      </c:pt>
                      <c:pt idx="4">
                        <c:v>133.63691832000001</c:v>
                      </c:pt>
                      <c:pt idx="5">
                        <c:v>150.17935711999999</c:v>
                      </c:pt>
                      <c:pt idx="6">
                        <c:v>85.600110349999994</c:v>
                      </c:pt>
                      <c:pt idx="7">
                        <c:v>118.37223598999999</c:v>
                      </c:pt>
                      <c:pt idx="8">
                        <c:v>121.96870238000001</c:v>
                      </c:pt>
                      <c:pt idx="9">
                        <c:v>204.20791288999999</c:v>
                      </c:pt>
                      <c:pt idx="10">
                        <c:v>161.21316583999999</c:v>
                      </c:pt>
                      <c:pt idx="11">
                        <c:v>260.56986866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6B-4BF5-A6D1-1F560500991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GRAPHYQUES!$N$32:$O$32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GRAPHYQUES!$P$32:$AA$32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49.642073340000003</c:v>
                      </c:pt>
                      <c:pt idx="1">
                        <c:v>50.243161449999988</c:v>
                      </c:pt>
                      <c:pt idx="2">
                        <c:v>52.732671489999994</c:v>
                      </c:pt>
                      <c:pt idx="3">
                        <c:v>52.246820140000004</c:v>
                      </c:pt>
                      <c:pt idx="4">
                        <c:v>50.447913080000006</c:v>
                      </c:pt>
                      <c:pt idx="5">
                        <c:v>50.249244259999998</c:v>
                      </c:pt>
                      <c:pt idx="6">
                        <c:v>64.91682496</c:v>
                      </c:pt>
                      <c:pt idx="7">
                        <c:v>60.684875789999992</c:v>
                      </c:pt>
                      <c:pt idx="8">
                        <c:v>62.232289309999999</c:v>
                      </c:pt>
                      <c:pt idx="9">
                        <c:v>61.798060169999999</c:v>
                      </c:pt>
                      <c:pt idx="10">
                        <c:v>63.62710946</c:v>
                      </c:pt>
                      <c:pt idx="11">
                        <c:v>67.616969470000001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6B-4BF5-A6D1-1F560500991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GRAPHYQUES!$N$33:$O$33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GRAPHYQUES!$P$33:$AA$33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60.995273739999995</c:v>
                      </c:pt>
                      <c:pt idx="1">
                        <c:v>64.411506930000002</c:v>
                      </c:pt>
                      <c:pt idx="2">
                        <c:v>62.324420439999997</c:v>
                      </c:pt>
                      <c:pt idx="3">
                        <c:v>63.77517757999999</c:v>
                      </c:pt>
                      <c:pt idx="4">
                        <c:v>64.635168899999996</c:v>
                      </c:pt>
                      <c:pt idx="5">
                        <c:v>58.399031139999998</c:v>
                      </c:pt>
                      <c:pt idx="6">
                        <c:v>74.437410469999989</c:v>
                      </c:pt>
                      <c:pt idx="7">
                        <c:v>79.271876539999994</c:v>
                      </c:pt>
                      <c:pt idx="8">
                        <c:v>62.338564840000004</c:v>
                      </c:pt>
                      <c:pt idx="9">
                        <c:v>62.126336339999995</c:v>
                      </c:pt>
                      <c:pt idx="10">
                        <c:v>66.072581009999993</c:v>
                      </c:pt>
                      <c:pt idx="11">
                        <c:v>65.343683830000003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6B-4BF5-A6D1-1F5605009914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6"/>
          <c:order val="6"/>
          <c:tx>
            <c:strRef>
              <c:f>GRAPHYQUES!$N$135:$O$135</c:f>
              <c:strCache>
                <c:ptCount val="2"/>
                <c:pt idx="0">
                  <c:v>VALEUR AJOUTEE 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GRAPHYQUES!$P$135:$AA$135</c:f>
              <c:numCache>
                <c:formatCode>#,##0</c:formatCode>
                <c:ptCount val="12"/>
                <c:pt idx="0">
                  <c:v>8.7772757200000004</c:v>
                </c:pt>
                <c:pt idx="1">
                  <c:v>5.6316704499999997</c:v>
                </c:pt>
                <c:pt idx="2">
                  <c:v>5.3471947900000005</c:v>
                </c:pt>
                <c:pt idx="3">
                  <c:v>2.6750463599999974</c:v>
                </c:pt>
                <c:pt idx="4">
                  <c:v>9.7570143200000015</c:v>
                </c:pt>
                <c:pt idx="5">
                  <c:v>11.477033509999996</c:v>
                </c:pt>
                <c:pt idx="6">
                  <c:v>6.9103010800000035</c:v>
                </c:pt>
                <c:pt idx="7">
                  <c:v>11.848320669999998</c:v>
                </c:pt>
                <c:pt idx="8">
                  <c:v>15.054623480000004</c:v>
                </c:pt>
                <c:pt idx="9">
                  <c:v>15.271094810000006</c:v>
                </c:pt>
                <c:pt idx="10">
                  <c:v>8.8175317199999945</c:v>
                </c:pt>
                <c:pt idx="11">
                  <c:v>18.689581879999974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B-438B-B0F3-06B0E5009292}"/>
            </c:ext>
          </c:extLst>
        </c:ser>
        <c:ser>
          <c:idx val="7"/>
          <c:order val="7"/>
          <c:tx>
            <c:strRef>
              <c:f>GRAPHYQUES!$N$136:$O$136</c:f>
              <c:strCache>
                <c:ptCount val="2"/>
                <c:pt idx="0">
                  <c:v>VALEUR AJOUTEE 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GRAPHYQUES!$P$136:$AA$136</c:f>
              <c:numCache>
                <c:formatCode>#,##0</c:formatCode>
                <c:ptCount val="12"/>
                <c:pt idx="0">
                  <c:v>10.352412579999998</c:v>
                </c:pt>
                <c:pt idx="1">
                  <c:v>13.910677079999997</c:v>
                </c:pt>
                <c:pt idx="2">
                  <c:v>11.321362069999996</c:v>
                </c:pt>
                <c:pt idx="3">
                  <c:v>10.758584349999998</c:v>
                </c:pt>
                <c:pt idx="4">
                  <c:v>31.630185770000008</c:v>
                </c:pt>
                <c:pt idx="5">
                  <c:v>14.390461740000005</c:v>
                </c:pt>
                <c:pt idx="6">
                  <c:v>7.8419865200000016</c:v>
                </c:pt>
                <c:pt idx="7">
                  <c:v>3.7274650599999988</c:v>
                </c:pt>
                <c:pt idx="8">
                  <c:v>22.463914450000004</c:v>
                </c:pt>
                <c:pt idx="9">
                  <c:v>38.57618815</c:v>
                </c:pt>
                <c:pt idx="10">
                  <c:v>31.374123610000012</c:v>
                </c:pt>
                <c:pt idx="11">
                  <c:v>39.801485469999996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B-438B-B0F3-06B0E500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GRAPHYQUES!$N$129:$O$129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GRAPHYQUES!$P$129:$AA$129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33.521247000000002</c:v>
                      </c:pt>
                      <c:pt idx="1">
                        <c:v>26.321838</c:v>
                      </c:pt>
                      <c:pt idx="2">
                        <c:v>31.35053804</c:v>
                      </c:pt>
                      <c:pt idx="3">
                        <c:v>25.000449399999997</c:v>
                      </c:pt>
                      <c:pt idx="4">
                        <c:v>43.803422600000005</c:v>
                      </c:pt>
                      <c:pt idx="5">
                        <c:v>52.4705668</c:v>
                      </c:pt>
                      <c:pt idx="6">
                        <c:v>34.898000200000006</c:v>
                      </c:pt>
                      <c:pt idx="7">
                        <c:v>50.619039000000001</c:v>
                      </c:pt>
                      <c:pt idx="8">
                        <c:v>53.09148184</c:v>
                      </c:pt>
                      <c:pt idx="9">
                        <c:v>60.9380752</c:v>
                      </c:pt>
                      <c:pt idx="10">
                        <c:v>63.315339159999994</c:v>
                      </c:pt>
                      <c:pt idx="11">
                        <c:v>100.78095489999997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EEB-438B-B0F3-06B0E50092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GRAPHYQUES!$N$130:$O$130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GRAPHYQUES!$P$130:$AA$130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23.460707800000002</c:v>
                      </c:pt>
                      <c:pt idx="1">
                        <c:v>30.616077860000001</c:v>
                      </c:pt>
                      <c:pt idx="2">
                        <c:v>54.755497800000001</c:v>
                      </c:pt>
                      <c:pt idx="3">
                        <c:v>40.951519619999999</c:v>
                      </c:pt>
                      <c:pt idx="4">
                        <c:v>111.16438315000001</c:v>
                      </c:pt>
                      <c:pt idx="5">
                        <c:v>59.212911990000002</c:v>
                      </c:pt>
                      <c:pt idx="6">
                        <c:v>37.633035</c:v>
                      </c:pt>
                      <c:pt idx="7">
                        <c:v>31.518268640000002</c:v>
                      </c:pt>
                      <c:pt idx="8">
                        <c:v>54.354414720000001</c:v>
                      </c:pt>
                      <c:pt idx="9">
                        <c:v>91.070764439999991</c:v>
                      </c:pt>
                      <c:pt idx="10">
                        <c:v>78.890960180000008</c:v>
                      </c:pt>
                      <c:pt idx="11">
                        <c:v>103.35287760999999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EB-438B-B0F3-06B0E50092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GRAPHYQUES!$N$131:$O$131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GRAPHYQUES!$P$131:$AA$131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20.417144390000001</c:v>
                      </c:pt>
                      <c:pt idx="1">
                        <c:v>19.700745359999999</c:v>
                      </c:pt>
                      <c:pt idx="2">
                        <c:v>18.708029420000003</c:v>
                      </c:pt>
                      <c:pt idx="3">
                        <c:v>11.849877189999997</c:v>
                      </c:pt>
                      <c:pt idx="4">
                        <c:v>18.466925400000001</c:v>
                      </c:pt>
                      <c:pt idx="5">
                        <c:v>27.349988339999996</c:v>
                      </c:pt>
                      <c:pt idx="6">
                        <c:v>21.679183660000003</c:v>
                      </c:pt>
                      <c:pt idx="7">
                        <c:v>31.762441989999999</c:v>
                      </c:pt>
                      <c:pt idx="8">
                        <c:v>39.402867260000008</c:v>
                      </c:pt>
                      <c:pt idx="9">
                        <c:v>35.903772290000006</c:v>
                      </c:pt>
                      <c:pt idx="10">
                        <c:v>31.090193539999994</c:v>
                      </c:pt>
                      <c:pt idx="11">
                        <c:v>47.140808159999978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EB-438B-B0F3-06B0E50092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GRAPHYQUES!$N$132:$O$132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GRAPHYQUES!$P$132:$AA$132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31.693589979999999</c:v>
                      </c:pt>
                      <c:pt idx="1">
                        <c:v>35.076715649999997</c:v>
                      </c:pt>
                      <c:pt idx="2">
                        <c:v>29.644018919999997</c:v>
                      </c:pt>
                      <c:pt idx="3">
                        <c:v>23.668817619999999</c:v>
                      </c:pt>
                      <c:pt idx="4">
                        <c:v>47.853499860000007</c:v>
                      </c:pt>
                      <c:pt idx="5">
                        <c:v>27.867187910000006</c:v>
                      </c:pt>
                      <c:pt idx="6">
                        <c:v>18.157939300000002</c:v>
                      </c:pt>
                      <c:pt idx="7">
                        <c:v>19.869276360000001</c:v>
                      </c:pt>
                      <c:pt idx="8">
                        <c:v>40.447650029999998</c:v>
                      </c:pt>
                      <c:pt idx="9">
                        <c:v>58.67804915</c:v>
                      </c:pt>
                      <c:pt idx="10">
                        <c:v>56.623053660000011</c:v>
                      </c:pt>
                      <c:pt idx="11">
                        <c:v>75.001011169999998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EB-438B-B0F3-06B0E500929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GRAPHYQUES!$N$133:$O$133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GRAPHYQUES!$P$133:$AA$133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10.092533449999999</c:v>
                      </c:pt>
                      <c:pt idx="1">
                        <c:v>12.77091285</c:v>
                      </c:pt>
                      <c:pt idx="2">
                        <c:v>11.812582239999999</c:v>
                      </c:pt>
                      <c:pt idx="3">
                        <c:v>7.5635804999999996</c:v>
                      </c:pt>
                      <c:pt idx="4">
                        <c:v>6.58085729</c:v>
                      </c:pt>
                      <c:pt idx="5">
                        <c:v>14.033583009999999</c:v>
                      </c:pt>
                      <c:pt idx="6">
                        <c:v>13.54413907</c:v>
                      </c:pt>
                      <c:pt idx="7">
                        <c:v>18.437855670000001</c:v>
                      </c:pt>
                      <c:pt idx="8">
                        <c:v>22.28054139</c:v>
                      </c:pt>
                      <c:pt idx="9">
                        <c:v>18.089272680000001</c:v>
                      </c:pt>
                      <c:pt idx="10">
                        <c:v>16.517132140000001</c:v>
                      </c:pt>
                      <c:pt idx="11">
                        <c:v>23.16480928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EB-438B-B0F3-06B0E500929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GRAPHYQUES!$N$134:$O$134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GRAPHYQUES!$P$134:$AA$134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19.132746190000002</c:v>
                      </c:pt>
                      <c:pt idx="1">
                        <c:v>19.222554890000001</c:v>
                      </c:pt>
                      <c:pt idx="2">
                        <c:v>15.808313609999999</c:v>
                      </c:pt>
                      <c:pt idx="3">
                        <c:v>12.37509133</c:v>
                      </c:pt>
                      <c:pt idx="4">
                        <c:v>13.51424059</c:v>
                      </c:pt>
                      <c:pt idx="5">
                        <c:v>10.5816666</c:v>
                      </c:pt>
                      <c:pt idx="6">
                        <c:v>7.0564336299999999</c:v>
                      </c:pt>
                      <c:pt idx="7">
                        <c:v>13.048746339999999</c:v>
                      </c:pt>
                      <c:pt idx="8">
                        <c:v>12.959217449999999</c:v>
                      </c:pt>
                      <c:pt idx="9">
                        <c:v>16.708490510000001</c:v>
                      </c:pt>
                      <c:pt idx="10">
                        <c:v>21.47897051</c:v>
                      </c:pt>
                      <c:pt idx="11">
                        <c:v>31.529071940000001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EB-438B-B0F3-06B0E500929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GRAPHYQUES!$N$137:$O$137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GRAPHYQUES!$P$137:$AA$137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8.36750726</c:v>
                      </c:pt>
                      <c:pt idx="1">
                        <c:v>8.7312100899999994</c:v>
                      </c:pt>
                      <c:pt idx="2">
                        <c:v>8.7403556999999985</c:v>
                      </c:pt>
                      <c:pt idx="3">
                        <c:v>8.2559178400000004</c:v>
                      </c:pt>
                      <c:pt idx="4">
                        <c:v>8.0638518999999995</c:v>
                      </c:pt>
                      <c:pt idx="5">
                        <c:v>8.0124746699999996</c:v>
                      </c:pt>
                      <c:pt idx="6">
                        <c:v>10.8257642</c:v>
                      </c:pt>
                      <c:pt idx="7">
                        <c:v>9.7226948599999989</c:v>
                      </c:pt>
                      <c:pt idx="8">
                        <c:v>9.7909817899999982</c:v>
                      </c:pt>
                      <c:pt idx="9">
                        <c:v>10.346519199999999</c:v>
                      </c:pt>
                      <c:pt idx="10">
                        <c:v>11.827444009999999</c:v>
                      </c:pt>
                      <c:pt idx="11">
                        <c:v>9.9002681599999995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EB-438B-B0F3-06B0E500929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GRAPHYQUES!$N$138:$O$138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GRAPHYQUES!$P$138:$AA$138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10.783219189999999</c:v>
                      </c:pt>
                      <c:pt idx="1">
                        <c:v>12.372266439999999</c:v>
                      </c:pt>
                      <c:pt idx="2">
                        <c:v>11.79977021</c:v>
                      </c:pt>
                      <c:pt idx="3">
                        <c:v>11.68585929</c:v>
                      </c:pt>
                      <c:pt idx="4">
                        <c:v>11.31154581</c:v>
                      </c:pt>
                      <c:pt idx="5">
                        <c:v>10.98382608</c:v>
                      </c:pt>
                      <c:pt idx="6">
                        <c:v>11.221899689999999</c:v>
                      </c:pt>
                      <c:pt idx="7">
                        <c:v>15.54841815</c:v>
                      </c:pt>
                      <c:pt idx="8">
                        <c:v>10.018925699999999</c:v>
                      </c:pt>
                      <c:pt idx="9">
                        <c:v>11.02240705</c:v>
                      </c:pt>
                      <c:pt idx="10">
                        <c:v>11.392522939999999</c:v>
                      </c:pt>
                      <c:pt idx="11">
                        <c:v>11.072428349999999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EB-438B-B0F3-06B0E5009292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2"/>
          <c:order val="2"/>
          <c:tx>
            <c:strRef>
              <c:f>GRAPHYQUES!$N$131:$O$131</c:f>
              <c:strCache>
                <c:ptCount val="2"/>
                <c:pt idx="0">
                  <c:v>PRODUCTION DE L'EXERCICE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GRAPHYQUES!$P$131:$AA$131</c:f>
              <c:numCache>
                <c:formatCode>#,##0</c:formatCode>
                <c:ptCount val="12"/>
                <c:pt idx="0">
                  <c:v>20.417144390000001</c:v>
                </c:pt>
                <c:pt idx="1">
                  <c:v>19.700745359999999</c:v>
                </c:pt>
                <c:pt idx="2">
                  <c:v>18.708029420000003</c:v>
                </c:pt>
                <c:pt idx="3">
                  <c:v>11.849877189999997</c:v>
                </c:pt>
                <c:pt idx="4">
                  <c:v>18.466925400000001</c:v>
                </c:pt>
                <c:pt idx="5">
                  <c:v>27.349988339999996</c:v>
                </c:pt>
                <c:pt idx="6">
                  <c:v>21.679183660000003</c:v>
                </c:pt>
                <c:pt idx="7">
                  <c:v>31.762441989999999</c:v>
                </c:pt>
                <c:pt idx="8">
                  <c:v>39.402867260000008</c:v>
                </c:pt>
                <c:pt idx="9">
                  <c:v>35.903772290000006</c:v>
                </c:pt>
                <c:pt idx="10">
                  <c:v>31.090193539999994</c:v>
                </c:pt>
                <c:pt idx="11">
                  <c:v>47.140808159999978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F4D-929E-48A09C6C3A2F}"/>
            </c:ext>
          </c:extLst>
        </c:ser>
        <c:ser>
          <c:idx val="3"/>
          <c:order val="3"/>
          <c:tx>
            <c:strRef>
              <c:f>GRAPHYQUES!$N$132:$O$132</c:f>
              <c:strCache>
                <c:ptCount val="2"/>
                <c:pt idx="0">
                  <c:v>PRODUCTION DE L'EXERCICE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GRAPHYQUES!$P$132:$AA$132</c:f>
              <c:numCache>
                <c:formatCode>#,##0</c:formatCode>
                <c:ptCount val="12"/>
                <c:pt idx="0">
                  <c:v>31.693589979999999</c:v>
                </c:pt>
                <c:pt idx="1">
                  <c:v>35.076715649999997</c:v>
                </c:pt>
                <c:pt idx="2">
                  <c:v>29.644018919999997</c:v>
                </c:pt>
                <c:pt idx="3">
                  <c:v>23.668817619999999</c:v>
                </c:pt>
                <c:pt idx="4">
                  <c:v>47.853499860000007</c:v>
                </c:pt>
                <c:pt idx="5">
                  <c:v>27.867187910000006</c:v>
                </c:pt>
                <c:pt idx="6">
                  <c:v>18.157939300000002</c:v>
                </c:pt>
                <c:pt idx="7">
                  <c:v>19.869276360000001</c:v>
                </c:pt>
                <c:pt idx="8">
                  <c:v>40.447650029999998</c:v>
                </c:pt>
                <c:pt idx="9">
                  <c:v>58.67804915</c:v>
                </c:pt>
                <c:pt idx="10">
                  <c:v>56.623053660000011</c:v>
                </c:pt>
                <c:pt idx="11">
                  <c:v>75.001011169999998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7-4F4D-929E-48A09C6C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GRAPHYQUES!$N$129:$O$129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GRAPHYQUES!$P$129:$AA$129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33.521247000000002</c:v>
                      </c:pt>
                      <c:pt idx="1">
                        <c:v>26.321838</c:v>
                      </c:pt>
                      <c:pt idx="2">
                        <c:v>31.35053804</c:v>
                      </c:pt>
                      <c:pt idx="3">
                        <c:v>25.000449399999997</c:v>
                      </c:pt>
                      <c:pt idx="4">
                        <c:v>43.803422600000005</c:v>
                      </c:pt>
                      <c:pt idx="5">
                        <c:v>52.4705668</c:v>
                      </c:pt>
                      <c:pt idx="6">
                        <c:v>34.898000200000006</c:v>
                      </c:pt>
                      <c:pt idx="7">
                        <c:v>50.619039000000001</c:v>
                      </c:pt>
                      <c:pt idx="8">
                        <c:v>53.09148184</c:v>
                      </c:pt>
                      <c:pt idx="9">
                        <c:v>60.9380752</c:v>
                      </c:pt>
                      <c:pt idx="10">
                        <c:v>63.315339159999994</c:v>
                      </c:pt>
                      <c:pt idx="11">
                        <c:v>100.78095489999997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B7-4F4D-929E-48A09C6C3A2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GRAPHYQUES!$N$130:$O$130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GRAPHYQUES!$P$130:$AA$130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23.460707800000002</c:v>
                      </c:pt>
                      <c:pt idx="1">
                        <c:v>30.616077860000001</c:v>
                      </c:pt>
                      <c:pt idx="2">
                        <c:v>54.755497800000001</c:v>
                      </c:pt>
                      <c:pt idx="3">
                        <c:v>40.951519619999999</c:v>
                      </c:pt>
                      <c:pt idx="4">
                        <c:v>111.16438315000001</c:v>
                      </c:pt>
                      <c:pt idx="5">
                        <c:v>59.212911990000002</c:v>
                      </c:pt>
                      <c:pt idx="6">
                        <c:v>37.633035</c:v>
                      </c:pt>
                      <c:pt idx="7">
                        <c:v>31.518268640000002</c:v>
                      </c:pt>
                      <c:pt idx="8">
                        <c:v>54.354414720000001</c:v>
                      </c:pt>
                      <c:pt idx="9">
                        <c:v>91.070764439999991</c:v>
                      </c:pt>
                      <c:pt idx="10">
                        <c:v>78.890960180000008</c:v>
                      </c:pt>
                      <c:pt idx="11">
                        <c:v>103.35287760999999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B7-4F4D-929E-48A09C6C3A2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GRAPHYQUES!$N$133:$O$133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GRAPHYQUES!$P$133:$AA$133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10.092533449999999</c:v>
                      </c:pt>
                      <c:pt idx="1">
                        <c:v>12.77091285</c:v>
                      </c:pt>
                      <c:pt idx="2">
                        <c:v>11.812582239999999</c:v>
                      </c:pt>
                      <c:pt idx="3">
                        <c:v>7.5635804999999996</c:v>
                      </c:pt>
                      <c:pt idx="4">
                        <c:v>6.58085729</c:v>
                      </c:pt>
                      <c:pt idx="5">
                        <c:v>14.033583009999999</c:v>
                      </c:pt>
                      <c:pt idx="6">
                        <c:v>13.54413907</c:v>
                      </c:pt>
                      <c:pt idx="7">
                        <c:v>18.437855670000001</c:v>
                      </c:pt>
                      <c:pt idx="8">
                        <c:v>22.28054139</c:v>
                      </c:pt>
                      <c:pt idx="9">
                        <c:v>18.089272680000001</c:v>
                      </c:pt>
                      <c:pt idx="10">
                        <c:v>16.517132140000001</c:v>
                      </c:pt>
                      <c:pt idx="11">
                        <c:v>23.16480928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B7-4F4D-929E-48A09C6C3A2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GRAPHYQUES!$N$134:$O$134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GRAPHYQUES!$P$134:$AA$134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19.132746190000002</c:v>
                      </c:pt>
                      <c:pt idx="1">
                        <c:v>19.222554890000001</c:v>
                      </c:pt>
                      <c:pt idx="2">
                        <c:v>15.808313609999999</c:v>
                      </c:pt>
                      <c:pt idx="3">
                        <c:v>12.37509133</c:v>
                      </c:pt>
                      <c:pt idx="4">
                        <c:v>13.51424059</c:v>
                      </c:pt>
                      <c:pt idx="5">
                        <c:v>10.5816666</c:v>
                      </c:pt>
                      <c:pt idx="6">
                        <c:v>7.0564336299999999</c:v>
                      </c:pt>
                      <c:pt idx="7">
                        <c:v>13.048746339999999</c:v>
                      </c:pt>
                      <c:pt idx="8">
                        <c:v>12.959217449999999</c:v>
                      </c:pt>
                      <c:pt idx="9">
                        <c:v>16.708490510000001</c:v>
                      </c:pt>
                      <c:pt idx="10">
                        <c:v>21.47897051</c:v>
                      </c:pt>
                      <c:pt idx="11">
                        <c:v>31.529071940000001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B7-4F4D-929E-48A09C6C3A2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GRAPHYQUES!$N$135:$O$135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GRAPHYQUES!$P$135:$AA$135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8.7772757200000004</c:v>
                      </c:pt>
                      <c:pt idx="1">
                        <c:v>5.6316704499999997</c:v>
                      </c:pt>
                      <c:pt idx="2">
                        <c:v>5.3471947900000005</c:v>
                      </c:pt>
                      <c:pt idx="3">
                        <c:v>2.6750463599999974</c:v>
                      </c:pt>
                      <c:pt idx="4">
                        <c:v>9.7570143200000015</c:v>
                      </c:pt>
                      <c:pt idx="5">
                        <c:v>11.477033509999996</c:v>
                      </c:pt>
                      <c:pt idx="6">
                        <c:v>6.9103010800000035</c:v>
                      </c:pt>
                      <c:pt idx="7">
                        <c:v>11.848320669999998</c:v>
                      </c:pt>
                      <c:pt idx="8">
                        <c:v>15.054623480000004</c:v>
                      </c:pt>
                      <c:pt idx="9">
                        <c:v>15.271094810000006</c:v>
                      </c:pt>
                      <c:pt idx="10">
                        <c:v>8.8175317199999945</c:v>
                      </c:pt>
                      <c:pt idx="11">
                        <c:v>18.689581879999974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B7-4F4D-929E-48A09C6C3A2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GRAPHYQUES!$N$136:$O$136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GRAPHYQUES!$P$136:$AA$136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10.352412579999998</c:v>
                      </c:pt>
                      <c:pt idx="1">
                        <c:v>13.910677079999997</c:v>
                      </c:pt>
                      <c:pt idx="2">
                        <c:v>11.321362069999996</c:v>
                      </c:pt>
                      <c:pt idx="3">
                        <c:v>10.758584349999998</c:v>
                      </c:pt>
                      <c:pt idx="4">
                        <c:v>31.630185770000008</c:v>
                      </c:pt>
                      <c:pt idx="5">
                        <c:v>14.390461740000005</c:v>
                      </c:pt>
                      <c:pt idx="6">
                        <c:v>7.8419865200000016</c:v>
                      </c:pt>
                      <c:pt idx="7">
                        <c:v>3.7274650599999988</c:v>
                      </c:pt>
                      <c:pt idx="8">
                        <c:v>22.463914450000004</c:v>
                      </c:pt>
                      <c:pt idx="9">
                        <c:v>38.57618815</c:v>
                      </c:pt>
                      <c:pt idx="10">
                        <c:v>31.374123610000012</c:v>
                      </c:pt>
                      <c:pt idx="11">
                        <c:v>39.801485469999996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B7-4F4D-929E-48A09C6C3A2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GRAPHYQUES!$N$137:$O$137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GRAPHYQUES!$P$137:$AA$137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8.36750726</c:v>
                      </c:pt>
                      <c:pt idx="1">
                        <c:v>8.7312100899999994</c:v>
                      </c:pt>
                      <c:pt idx="2">
                        <c:v>8.7403556999999985</c:v>
                      </c:pt>
                      <c:pt idx="3">
                        <c:v>8.2559178400000004</c:v>
                      </c:pt>
                      <c:pt idx="4">
                        <c:v>8.0638518999999995</c:v>
                      </c:pt>
                      <c:pt idx="5">
                        <c:v>8.0124746699999996</c:v>
                      </c:pt>
                      <c:pt idx="6">
                        <c:v>10.8257642</c:v>
                      </c:pt>
                      <c:pt idx="7">
                        <c:v>9.7226948599999989</c:v>
                      </c:pt>
                      <c:pt idx="8">
                        <c:v>9.7909817899999982</c:v>
                      </c:pt>
                      <c:pt idx="9">
                        <c:v>10.346519199999999</c:v>
                      </c:pt>
                      <c:pt idx="10">
                        <c:v>11.827444009999999</c:v>
                      </c:pt>
                      <c:pt idx="11">
                        <c:v>9.9002681599999995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B7-4F4D-929E-48A09C6C3A2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GRAPHYQUES!$N$138:$O$138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GRAPHYQUES!$P$138:$AA$138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10.783219189999999</c:v>
                      </c:pt>
                      <c:pt idx="1">
                        <c:v>12.372266439999999</c:v>
                      </c:pt>
                      <c:pt idx="2">
                        <c:v>11.79977021</c:v>
                      </c:pt>
                      <c:pt idx="3">
                        <c:v>11.68585929</c:v>
                      </c:pt>
                      <c:pt idx="4">
                        <c:v>11.31154581</c:v>
                      </c:pt>
                      <c:pt idx="5">
                        <c:v>10.98382608</c:v>
                      </c:pt>
                      <c:pt idx="6">
                        <c:v>11.221899689999999</c:v>
                      </c:pt>
                      <c:pt idx="7">
                        <c:v>15.54841815</c:v>
                      </c:pt>
                      <c:pt idx="8">
                        <c:v>10.018925699999999</c:v>
                      </c:pt>
                      <c:pt idx="9">
                        <c:v>11.02240705</c:v>
                      </c:pt>
                      <c:pt idx="10">
                        <c:v>11.392522939999999</c:v>
                      </c:pt>
                      <c:pt idx="11">
                        <c:v>11.072428349999999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B7-4F4D-929E-48A09C6C3A2F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4"/>
          <c:order val="4"/>
          <c:tx>
            <c:strRef>
              <c:f>GRAPHYQUES!$N$133:$O$133</c:f>
              <c:strCache>
                <c:ptCount val="2"/>
                <c:pt idx="0">
                  <c:v>ACHATS CONSOMMES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GRAPHYQUES!$P$133:$AA$133</c:f>
              <c:numCache>
                <c:formatCode>#,##0</c:formatCode>
                <c:ptCount val="12"/>
                <c:pt idx="0">
                  <c:v>10.092533449999999</c:v>
                </c:pt>
                <c:pt idx="1">
                  <c:v>12.77091285</c:v>
                </c:pt>
                <c:pt idx="2">
                  <c:v>11.812582239999999</c:v>
                </c:pt>
                <c:pt idx="3">
                  <c:v>7.5635804999999996</c:v>
                </c:pt>
                <c:pt idx="4">
                  <c:v>6.58085729</c:v>
                </c:pt>
                <c:pt idx="5">
                  <c:v>14.033583009999999</c:v>
                </c:pt>
                <c:pt idx="6">
                  <c:v>13.54413907</c:v>
                </c:pt>
                <c:pt idx="7">
                  <c:v>18.437855670000001</c:v>
                </c:pt>
                <c:pt idx="8">
                  <c:v>22.28054139</c:v>
                </c:pt>
                <c:pt idx="9">
                  <c:v>18.089272680000001</c:v>
                </c:pt>
                <c:pt idx="10">
                  <c:v>16.517132140000001</c:v>
                </c:pt>
                <c:pt idx="11">
                  <c:v>23.16480928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6-48CA-B758-582B54C97CD1}"/>
            </c:ext>
          </c:extLst>
        </c:ser>
        <c:ser>
          <c:idx val="5"/>
          <c:order val="5"/>
          <c:tx>
            <c:strRef>
              <c:f>GRAPHYQUES!$N$134:$O$134</c:f>
              <c:strCache>
                <c:ptCount val="2"/>
                <c:pt idx="0">
                  <c:v>ACHATS CONSOMMES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GRAPHYQUES!$P$134:$AA$134</c:f>
              <c:numCache>
                <c:formatCode>#,##0</c:formatCode>
                <c:ptCount val="12"/>
                <c:pt idx="0">
                  <c:v>19.132746190000002</c:v>
                </c:pt>
                <c:pt idx="1">
                  <c:v>19.222554890000001</c:v>
                </c:pt>
                <c:pt idx="2">
                  <c:v>15.808313609999999</c:v>
                </c:pt>
                <c:pt idx="3">
                  <c:v>12.37509133</c:v>
                </c:pt>
                <c:pt idx="4">
                  <c:v>13.51424059</c:v>
                </c:pt>
                <c:pt idx="5">
                  <c:v>10.5816666</c:v>
                </c:pt>
                <c:pt idx="6">
                  <c:v>7.0564336299999999</c:v>
                </c:pt>
                <c:pt idx="7">
                  <c:v>13.048746339999999</c:v>
                </c:pt>
                <c:pt idx="8">
                  <c:v>12.959217449999999</c:v>
                </c:pt>
                <c:pt idx="9">
                  <c:v>16.708490510000001</c:v>
                </c:pt>
                <c:pt idx="10">
                  <c:v>21.47897051</c:v>
                </c:pt>
                <c:pt idx="11">
                  <c:v>31.529071940000001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6-48CA-B758-582B54C9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GRAPHYQUES!$N$129:$O$129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GRAPHYQUES!$P$129:$AA$129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33.521247000000002</c:v>
                      </c:pt>
                      <c:pt idx="1">
                        <c:v>26.321838</c:v>
                      </c:pt>
                      <c:pt idx="2">
                        <c:v>31.35053804</c:v>
                      </c:pt>
                      <c:pt idx="3">
                        <c:v>25.000449399999997</c:v>
                      </c:pt>
                      <c:pt idx="4">
                        <c:v>43.803422600000005</c:v>
                      </c:pt>
                      <c:pt idx="5">
                        <c:v>52.4705668</c:v>
                      </c:pt>
                      <c:pt idx="6">
                        <c:v>34.898000200000006</c:v>
                      </c:pt>
                      <c:pt idx="7">
                        <c:v>50.619039000000001</c:v>
                      </c:pt>
                      <c:pt idx="8">
                        <c:v>53.09148184</c:v>
                      </c:pt>
                      <c:pt idx="9">
                        <c:v>60.9380752</c:v>
                      </c:pt>
                      <c:pt idx="10">
                        <c:v>63.315339159999994</c:v>
                      </c:pt>
                      <c:pt idx="11">
                        <c:v>100.78095489999997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6-48CA-B758-582B54C97C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GRAPHYQUES!$N$130:$O$130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GRAPHYQUES!$P$130:$AA$130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23.460707800000002</c:v>
                      </c:pt>
                      <c:pt idx="1">
                        <c:v>30.616077860000001</c:v>
                      </c:pt>
                      <c:pt idx="2">
                        <c:v>54.755497800000001</c:v>
                      </c:pt>
                      <c:pt idx="3">
                        <c:v>40.951519619999999</c:v>
                      </c:pt>
                      <c:pt idx="4">
                        <c:v>111.16438315000001</c:v>
                      </c:pt>
                      <c:pt idx="5">
                        <c:v>59.212911990000002</c:v>
                      </c:pt>
                      <c:pt idx="6">
                        <c:v>37.633035</c:v>
                      </c:pt>
                      <c:pt idx="7">
                        <c:v>31.518268640000002</c:v>
                      </c:pt>
                      <c:pt idx="8">
                        <c:v>54.354414720000001</c:v>
                      </c:pt>
                      <c:pt idx="9">
                        <c:v>91.070764439999991</c:v>
                      </c:pt>
                      <c:pt idx="10">
                        <c:v>78.890960180000008</c:v>
                      </c:pt>
                      <c:pt idx="11">
                        <c:v>103.35287760999999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B6-48CA-B758-582B54C97CD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GRAPHYQUES!$N$131:$O$131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GRAPHYQUES!$P$131:$AA$131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20.417144390000001</c:v>
                      </c:pt>
                      <c:pt idx="1">
                        <c:v>19.700745359999999</c:v>
                      </c:pt>
                      <c:pt idx="2">
                        <c:v>18.708029420000003</c:v>
                      </c:pt>
                      <c:pt idx="3">
                        <c:v>11.849877189999997</c:v>
                      </c:pt>
                      <c:pt idx="4">
                        <c:v>18.466925400000001</c:v>
                      </c:pt>
                      <c:pt idx="5">
                        <c:v>27.349988339999996</c:v>
                      </c:pt>
                      <c:pt idx="6">
                        <c:v>21.679183660000003</c:v>
                      </c:pt>
                      <c:pt idx="7">
                        <c:v>31.762441989999999</c:v>
                      </c:pt>
                      <c:pt idx="8">
                        <c:v>39.402867260000008</c:v>
                      </c:pt>
                      <c:pt idx="9">
                        <c:v>35.903772290000006</c:v>
                      </c:pt>
                      <c:pt idx="10">
                        <c:v>31.090193539999994</c:v>
                      </c:pt>
                      <c:pt idx="11">
                        <c:v>47.140808159999978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B6-48CA-B758-582B54C97C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GRAPHYQUES!$N$132:$O$132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GRAPHYQUES!$P$132:$AA$132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31.693589979999999</c:v>
                      </c:pt>
                      <c:pt idx="1">
                        <c:v>35.076715649999997</c:v>
                      </c:pt>
                      <c:pt idx="2">
                        <c:v>29.644018919999997</c:v>
                      </c:pt>
                      <c:pt idx="3">
                        <c:v>23.668817619999999</c:v>
                      </c:pt>
                      <c:pt idx="4">
                        <c:v>47.853499860000007</c:v>
                      </c:pt>
                      <c:pt idx="5">
                        <c:v>27.867187910000006</c:v>
                      </c:pt>
                      <c:pt idx="6">
                        <c:v>18.157939300000002</c:v>
                      </c:pt>
                      <c:pt idx="7">
                        <c:v>19.869276360000001</c:v>
                      </c:pt>
                      <c:pt idx="8">
                        <c:v>40.447650029999998</c:v>
                      </c:pt>
                      <c:pt idx="9">
                        <c:v>58.67804915</c:v>
                      </c:pt>
                      <c:pt idx="10">
                        <c:v>56.623053660000011</c:v>
                      </c:pt>
                      <c:pt idx="11">
                        <c:v>75.001011169999998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B6-48CA-B758-582B54C97CD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GRAPHYQUES!$N$135:$O$135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GRAPHYQUES!$P$135:$AA$135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8.7772757200000004</c:v>
                      </c:pt>
                      <c:pt idx="1">
                        <c:v>5.6316704499999997</c:v>
                      </c:pt>
                      <c:pt idx="2">
                        <c:v>5.3471947900000005</c:v>
                      </c:pt>
                      <c:pt idx="3">
                        <c:v>2.6750463599999974</c:v>
                      </c:pt>
                      <c:pt idx="4">
                        <c:v>9.7570143200000015</c:v>
                      </c:pt>
                      <c:pt idx="5">
                        <c:v>11.477033509999996</c:v>
                      </c:pt>
                      <c:pt idx="6">
                        <c:v>6.9103010800000035</c:v>
                      </c:pt>
                      <c:pt idx="7">
                        <c:v>11.848320669999998</c:v>
                      </c:pt>
                      <c:pt idx="8">
                        <c:v>15.054623480000004</c:v>
                      </c:pt>
                      <c:pt idx="9">
                        <c:v>15.271094810000006</c:v>
                      </c:pt>
                      <c:pt idx="10">
                        <c:v>8.8175317199999945</c:v>
                      </c:pt>
                      <c:pt idx="11">
                        <c:v>18.689581879999974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B6-48CA-B758-582B54C97CD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GRAPHYQUES!$N$136:$O$136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GRAPHYQUES!$P$136:$AA$136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10.352412579999998</c:v>
                      </c:pt>
                      <c:pt idx="1">
                        <c:v>13.910677079999997</c:v>
                      </c:pt>
                      <c:pt idx="2">
                        <c:v>11.321362069999996</c:v>
                      </c:pt>
                      <c:pt idx="3">
                        <c:v>10.758584349999998</c:v>
                      </c:pt>
                      <c:pt idx="4">
                        <c:v>31.630185770000008</c:v>
                      </c:pt>
                      <c:pt idx="5">
                        <c:v>14.390461740000005</c:v>
                      </c:pt>
                      <c:pt idx="6">
                        <c:v>7.8419865200000016</c:v>
                      </c:pt>
                      <c:pt idx="7">
                        <c:v>3.7274650599999988</c:v>
                      </c:pt>
                      <c:pt idx="8">
                        <c:v>22.463914450000004</c:v>
                      </c:pt>
                      <c:pt idx="9">
                        <c:v>38.57618815</c:v>
                      </c:pt>
                      <c:pt idx="10">
                        <c:v>31.374123610000012</c:v>
                      </c:pt>
                      <c:pt idx="11">
                        <c:v>39.801485469999996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B6-48CA-B758-582B54C97CD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GRAPHYQUES!$N$137:$O$137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GRAPHYQUES!$P$137:$AA$137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8.36750726</c:v>
                      </c:pt>
                      <c:pt idx="1">
                        <c:v>8.7312100899999994</c:v>
                      </c:pt>
                      <c:pt idx="2">
                        <c:v>8.7403556999999985</c:v>
                      </c:pt>
                      <c:pt idx="3">
                        <c:v>8.2559178400000004</c:v>
                      </c:pt>
                      <c:pt idx="4">
                        <c:v>8.0638518999999995</c:v>
                      </c:pt>
                      <c:pt idx="5">
                        <c:v>8.0124746699999996</c:v>
                      </c:pt>
                      <c:pt idx="6">
                        <c:v>10.8257642</c:v>
                      </c:pt>
                      <c:pt idx="7">
                        <c:v>9.7226948599999989</c:v>
                      </c:pt>
                      <c:pt idx="8">
                        <c:v>9.7909817899999982</c:v>
                      </c:pt>
                      <c:pt idx="9">
                        <c:v>10.346519199999999</c:v>
                      </c:pt>
                      <c:pt idx="10">
                        <c:v>11.827444009999999</c:v>
                      </c:pt>
                      <c:pt idx="11">
                        <c:v>9.9002681599999995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B6-48CA-B758-582B54C97CD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GRAPHYQUES!$N$138:$O$138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GRAPHYQUES!$P$138:$AA$138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10.783219189999999</c:v>
                      </c:pt>
                      <c:pt idx="1">
                        <c:v>12.372266439999999</c:v>
                      </c:pt>
                      <c:pt idx="2">
                        <c:v>11.79977021</c:v>
                      </c:pt>
                      <c:pt idx="3">
                        <c:v>11.68585929</c:v>
                      </c:pt>
                      <c:pt idx="4">
                        <c:v>11.31154581</c:v>
                      </c:pt>
                      <c:pt idx="5">
                        <c:v>10.98382608</c:v>
                      </c:pt>
                      <c:pt idx="6">
                        <c:v>11.221899689999999</c:v>
                      </c:pt>
                      <c:pt idx="7">
                        <c:v>15.54841815</c:v>
                      </c:pt>
                      <c:pt idx="8">
                        <c:v>10.018925699999999</c:v>
                      </c:pt>
                      <c:pt idx="9">
                        <c:v>11.02240705</c:v>
                      </c:pt>
                      <c:pt idx="10">
                        <c:v>11.392522939999999</c:v>
                      </c:pt>
                      <c:pt idx="11">
                        <c:v>11.072428349999999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B6-48CA-B758-582B54C97CD1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8"/>
          <c:order val="8"/>
          <c:tx>
            <c:strRef>
              <c:f>GRAPHYQUES!$N$137:$O$137</c:f>
              <c:strCache>
                <c:ptCount val="2"/>
                <c:pt idx="0">
                  <c:v>CHARGES DE PERSONNEL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GRAPHYQUES!$P$137:$AA$137</c:f>
              <c:numCache>
                <c:formatCode>#,##0</c:formatCode>
                <c:ptCount val="12"/>
                <c:pt idx="0">
                  <c:v>8.36750726</c:v>
                </c:pt>
                <c:pt idx="1">
                  <c:v>8.7312100899999994</c:v>
                </c:pt>
                <c:pt idx="2">
                  <c:v>8.7403556999999985</c:v>
                </c:pt>
                <c:pt idx="3">
                  <c:v>8.2559178400000004</c:v>
                </c:pt>
                <c:pt idx="4">
                  <c:v>8.0638518999999995</c:v>
                </c:pt>
                <c:pt idx="5">
                  <c:v>8.0124746699999996</c:v>
                </c:pt>
                <c:pt idx="6">
                  <c:v>10.8257642</c:v>
                </c:pt>
                <c:pt idx="7">
                  <c:v>9.7226948599999989</c:v>
                </c:pt>
                <c:pt idx="8">
                  <c:v>9.7909817899999982</c:v>
                </c:pt>
                <c:pt idx="9">
                  <c:v>10.346519199999999</c:v>
                </c:pt>
                <c:pt idx="10">
                  <c:v>11.827444009999999</c:v>
                </c:pt>
                <c:pt idx="11">
                  <c:v>9.9002681599999995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6-4EC7-90E7-4B1E19CB9D60}"/>
            </c:ext>
          </c:extLst>
        </c:ser>
        <c:ser>
          <c:idx val="9"/>
          <c:order val="9"/>
          <c:tx>
            <c:strRef>
              <c:f>GRAPHYQUES!$N$138:$O$138</c:f>
              <c:strCache>
                <c:ptCount val="2"/>
                <c:pt idx="0">
                  <c:v>CHARGES DE PERSONNEL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GRAPHYQUES!$P$138:$AA$138</c:f>
              <c:numCache>
                <c:formatCode>#,##0</c:formatCode>
                <c:ptCount val="12"/>
                <c:pt idx="0">
                  <c:v>10.783219189999999</c:v>
                </c:pt>
                <c:pt idx="1">
                  <c:v>12.372266439999999</c:v>
                </c:pt>
                <c:pt idx="2">
                  <c:v>11.79977021</c:v>
                </c:pt>
                <c:pt idx="3">
                  <c:v>11.68585929</c:v>
                </c:pt>
                <c:pt idx="4">
                  <c:v>11.31154581</c:v>
                </c:pt>
                <c:pt idx="5">
                  <c:v>10.98382608</c:v>
                </c:pt>
                <c:pt idx="6">
                  <c:v>11.221899689999999</c:v>
                </c:pt>
                <c:pt idx="7">
                  <c:v>15.54841815</c:v>
                </c:pt>
                <c:pt idx="8">
                  <c:v>10.018925699999999</c:v>
                </c:pt>
                <c:pt idx="9">
                  <c:v>11.02240705</c:v>
                </c:pt>
                <c:pt idx="10">
                  <c:v>11.392522939999999</c:v>
                </c:pt>
                <c:pt idx="11">
                  <c:v>11.072428349999999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6-4EC7-90E7-4B1E19CB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GRAPHYQUES!$N$129:$O$129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GRAPHYQUES!$P$129:$AA$129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33.521247000000002</c:v>
                      </c:pt>
                      <c:pt idx="1">
                        <c:v>26.321838</c:v>
                      </c:pt>
                      <c:pt idx="2">
                        <c:v>31.35053804</c:v>
                      </c:pt>
                      <c:pt idx="3">
                        <c:v>25.000449399999997</c:v>
                      </c:pt>
                      <c:pt idx="4">
                        <c:v>43.803422600000005</c:v>
                      </c:pt>
                      <c:pt idx="5">
                        <c:v>52.4705668</c:v>
                      </c:pt>
                      <c:pt idx="6">
                        <c:v>34.898000200000006</c:v>
                      </c:pt>
                      <c:pt idx="7">
                        <c:v>50.619039000000001</c:v>
                      </c:pt>
                      <c:pt idx="8">
                        <c:v>53.09148184</c:v>
                      </c:pt>
                      <c:pt idx="9">
                        <c:v>60.9380752</c:v>
                      </c:pt>
                      <c:pt idx="10">
                        <c:v>63.315339159999994</c:v>
                      </c:pt>
                      <c:pt idx="11">
                        <c:v>100.78095489999997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986-4EC7-90E7-4B1E19CB9D6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GRAPHYQUES!$N$130:$O$130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GRAPHYQUES!$P$130:$AA$130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23.460707800000002</c:v>
                      </c:pt>
                      <c:pt idx="1">
                        <c:v>30.616077860000001</c:v>
                      </c:pt>
                      <c:pt idx="2">
                        <c:v>54.755497800000001</c:v>
                      </c:pt>
                      <c:pt idx="3">
                        <c:v>40.951519619999999</c:v>
                      </c:pt>
                      <c:pt idx="4">
                        <c:v>111.16438315000001</c:v>
                      </c:pt>
                      <c:pt idx="5">
                        <c:v>59.212911990000002</c:v>
                      </c:pt>
                      <c:pt idx="6">
                        <c:v>37.633035</c:v>
                      </c:pt>
                      <c:pt idx="7">
                        <c:v>31.518268640000002</c:v>
                      </c:pt>
                      <c:pt idx="8">
                        <c:v>54.354414720000001</c:v>
                      </c:pt>
                      <c:pt idx="9">
                        <c:v>91.070764439999991</c:v>
                      </c:pt>
                      <c:pt idx="10">
                        <c:v>78.890960180000008</c:v>
                      </c:pt>
                      <c:pt idx="11">
                        <c:v>103.35287760999999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86-4EC7-90E7-4B1E19CB9D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GRAPHYQUES!$N$131:$O$131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GRAPHYQUES!$P$131:$AA$131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20.417144390000001</c:v>
                      </c:pt>
                      <c:pt idx="1">
                        <c:v>19.700745359999999</c:v>
                      </c:pt>
                      <c:pt idx="2">
                        <c:v>18.708029420000003</c:v>
                      </c:pt>
                      <c:pt idx="3">
                        <c:v>11.849877189999997</c:v>
                      </c:pt>
                      <c:pt idx="4">
                        <c:v>18.466925400000001</c:v>
                      </c:pt>
                      <c:pt idx="5">
                        <c:v>27.349988339999996</c:v>
                      </c:pt>
                      <c:pt idx="6">
                        <c:v>21.679183660000003</c:v>
                      </c:pt>
                      <c:pt idx="7">
                        <c:v>31.762441989999999</c:v>
                      </c:pt>
                      <c:pt idx="8">
                        <c:v>39.402867260000008</c:v>
                      </c:pt>
                      <c:pt idx="9">
                        <c:v>35.903772290000006</c:v>
                      </c:pt>
                      <c:pt idx="10">
                        <c:v>31.090193539999994</c:v>
                      </c:pt>
                      <c:pt idx="11">
                        <c:v>47.140808159999978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86-4EC7-90E7-4B1E19CB9D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GRAPHYQUES!$N$132:$O$132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GRAPHYQUES!$P$132:$AA$132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31.693589979999999</c:v>
                      </c:pt>
                      <c:pt idx="1">
                        <c:v>35.076715649999997</c:v>
                      </c:pt>
                      <c:pt idx="2">
                        <c:v>29.644018919999997</c:v>
                      </c:pt>
                      <c:pt idx="3">
                        <c:v>23.668817619999999</c:v>
                      </c:pt>
                      <c:pt idx="4">
                        <c:v>47.853499860000007</c:v>
                      </c:pt>
                      <c:pt idx="5">
                        <c:v>27.867187910000006</c:v>
                      </c:pt>
                      <c:pt idx="6">
                        <c:v>18.157939300000002</c:v>
                      </c:pt>
                      <c:pt idx="7">
                        <c:v>19.869276360000001</c:v>
                      </c:pt>
                      <c:pt idx="8">
                        <c:v>40.447650029999998</c:v>
                      </c:pt>
                      <c:pt idx="9">
                        <c:v>58.67804915</c:v>
                      </c:pt>
                      <c:pt idx="10">
                        <c:v>56.623053660000011</c:v>
                      </c:pt>
                      <c:pt idx="11">
                        <c:v>75.001011169999998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86-4EC7-90E7-4B1E19CB9D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GRAPHYQUES!$N$133:$O$133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GRAPHYQUES!$P$133:$AA$133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10.092533449999999</c:v>
                      </c:pt>
                      <c:pt idx="1">
                        <c:v>12.77091285</c:v>
                      </c:pt>
                      <c:pt idx="2">
                        <c:v>11.812582239999999</c:v>
                      </c:pt>
                      <c:pt idx="3">
                        <c:v>7.5635804999999996</c:v>
                      </c:pt>
                      <c:pt idx="4">
                        <c:v>6.58085729</c:v>
                      </c:pt>
                      <c:pt idx="5">
                        <c:v>14.033583009999999</c:v>
                      </c:pt>
                      <c:pt idx="6">
                        <c:v>13.54413907</c:v>
                      </c:pt>
                      <c:pt idx="7">
                        <c:v>18.437855670000001</c:v>
                      </c:pt>
                      <c:pt idx="8">
                        <c:v>22.28054139</c:v>
                      </c:pt>
                      <c:pt idx="9">
                        <c:v>18.089272680000001</c:v>
                      </c:pt>
                      <c:pt idx="10">
                        <c:v>16.517132140000001</c:v>
                      </c:pt>
                      <c:pt idx="11">
                        <c:v>23.16480928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86-4EC7-90E7-4B1E19CB9D6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GRAPHYQUES!$N$134:$O$134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GRAPHYQUES!$P$134:$AA$134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19.132746190000002</c:v>
                      </c:pt>
                      <c:pt idx="1">
                        <c:v>19.222554890000001</c:v>
                      </c:pt>
                      <c:pt idx="2">
                        <c:v>15.808313609999999</c:v>
                      </c:pt>
                      <c:pt idx="3">
                        <c:v>12.37509133</c:v>
                      </c:pt>
                      <c:pt idx="4">
                        <c:v>13.51424059</c:v>
                      </c:pt>
                      <c:pt idx="5">
                        <c:v>10.5816666</c:v>
                      </c:pt>
                      <c:pt idx="6">
                        <c:v>7.0564336299999999</c:v>
                      </c:pt>
                      <c:pt idx="7">
                        <c:v>13.048746339999999</c:v>
                      </c:pt>
                      <c:pt idx="8">
                        <c:v>12.959217449999999</c:v>
                      </c:pt>
                      <c:pt idx="9">
                        <c:v>16.708490510000001</c:v>
                      </c:pt>
                      <c:pt idx="10">
                        <c:v>21.47897051</c:v>
                      </c:pt>
                      <c:pt idx="11">
                        <c:v>31.529071940000001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86-4EC7-90E7-4B1E19CB9D6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GRAPHYQUES!$N$135:$O$135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GRAPHYQUES!$P$135:$AA$135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8.7772757200000004</c:v>
                      </c:pt>
                      <c:pt idx="1">
                        <c:v>5.6316704499999997</c:v>
                      </c:pt>
                      <c:pt idx="2">
                        <c:v>5.3471947900000005</c:v>
                      </c:pt>
                      <c:pt idx="3">
                        <c:v>2.6750463599999974</c:v>
                      </c:pt>
                      <c:pt idx="4">
                        <c:v>9.7570143200000015</c:v>
                      </c:pt>
                      <c:pt idx="5">
                        <c:v>11.477033509999996</c:v>
                      </c:pt>
                      <c:pt idx="6">
                        <c:v>6.9103010800000035</c:v>
                      </c:pt>
                      <c:pt idx="7">
                        <c:v>11.848320669999998</c:v>
                      </c:pt>
                      <c:pt idx="8">
                        <c:v>15.054623480000004</c:v>
                      </c:pt>
                      <c:pt idx="9">
                        <c:v>15.271094810000006</c:v>
                      </c:pt>
                      <c:pt idx="10">
                        <c:v>8.8175317199999945</c:v>
                      </c:pt>
                      <c:pt idx="11">
                        <c:v>18.689581879999974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86-4EC7-90E7-4B1E19CB9D6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GRAPHYQUES!$N$136:$O$136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GRAPHYQUES!$P$136:$AA$136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10.352412579999998</c:v>
                      </c:pt>
                      <c:pt idx="1">
                        <c:v>13.910677079999997</c:v>
                      </c:pt>
                      <c:pt idx="2">
                        <c:v>11.321362069999996</c:v>
                      </c:pt>
                      <c:pt idx="3">
                        <c:v>10.758584349999998</c:v>
                      </c:pt>
                      <c:pt idx="4">
                        <c:v>31.630185770000008</c:v>
                      </c:pt>
                      <c:pt idx="5">
                        <c:v>14.390461740000005</c:v>
                      </c:pt>
                      <c:pt idx="6">
                        <c:v>7.8419865200000016</c:v>
                      </c:pt>
                      <c:pt idx="7">
                        <c:v>3.7274650599999988</c:v>
                      </c:pt>
                      <c:pt idx="8">
                        <c:v>22.463914450000004</c:v>
                      </c:pt>
                      <c:pt idx="9">
                        <c:v>38.57618815</c:v>
                      </c:pt>
                      <c:pt idx="10">
                        <c:v>31.374123610000012</c:v>
                      </c:pt>
                      <c:pt idx="11">
                        <c:v>39.801485469999996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86-4EC7-90E7-4B1E19CB9D60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10"/>
          <c:order val="10"/>
          <c:tx>
            <c:strRef>
              <c:f>GRAPHYQUES!$N$139:$O$139</c:f>
              <c:strCache>
                <c:ptCount val="2"/>
                <c:pt idx="0">
                  <c:v>RESULTAT NET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GRAPHYQUES!$P$139:$AA$139</c:f>
              <c:numCache>
                <c:formatCode>#,##0</c:formatCode>
                <c:ptCount val="12"/>
                <c:pt idx="0">
                  <c:v>-0.28950263999999909</c:v>
                </c:pt>
                <c:pt idx="1">
                  <c:v>-3.7230906600000004</c:v>
                </c:pt>
                <c:pt idx="2">
                  <c:v>-4.0299329299999984</c:v>
                </c:pt>
                <c:pt idx="3">
                  <c:v>-6.2382580000000019</c:v>
                </c:pt>
                <c:pt idx="4">
                  <c:v>0.67664974000000178</c:v>
                </c:pt>
                <c:pt idx="5">
                  <c:v>2.3093380399999961</c:v>
                </c:pt>
                <c:pt idx="6">
                  <c:v>-5.9491386899999954</c:v>
                </c:pt>
                <c:pt idx="7">
                  <c:v>1.0451235699999986</c:v>
                </c:pt>
                <c:pt idx="8">
                  <c:v>4.2385100800000055</c:v>
                </c:pt>
                <c:pt idx="9">
                  <c:v>3.733715540000007</c:v>
                </c:pt>
                <c:pt idx="10">
                  <c:v>-4.2093729100000052</c:v>
                </c:pt>
                <c:pt idx="11">
                  <c:v>10.026054759999976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6-44CD-B4B3-F4264E3E7AD4}"/>
            </c:ext>
          </c:extLst>
        </c:ser>
        <c:ser>
          <c:idx val="11"/>
          <c:order val="11"/>
          <c:tx>
            <c:strRef>
              <c:f>GRAPHYQUES!$N$140:$O$140</c:f>
              <c:strCache>
                <c:ptCount val="2"/>
                <c:pt idx="0">
                  <c:v>RESULTAT NET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GRAPHYQUES!$P$128:$AA$128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GRAPHYQUES!$P$140:$AA$140</c:f>
              <c:numCache>
                <c:formatCode>#,##0</c:formatCode>
                <c:ptCount val="12"/>
                <c:pt idx="0">
                  <c:v>-1.3629019100000039</c:v>
                </c:pt>
                <c:pt idx="1">
                  <c:v>0.68789892999999969</c:v>
                </c:pt>
                <c:pt idx="2">
                  <c:v>-1.5829767200000062</c:v>
                </c:pt>
                <c:pt idx="3">
                  <c:v>-1.9048113000000007</c:v>
                </c:pt>
                <c:pt idx="4">
                  <c:v>18.647077650000011</c:v>
                </c:pt>
                <c:pt idx="5">
                  <c:v>2.0000142400000023</c:v>
                </c:pt>
                <c:pt idx="6">
                  <c:v>-4.312390179999996</c:v>
                </c:pt>
                <c:pt idx="7">
                  <c:v>-12.697923880000003</c:v>
                </c:pt>
                <c:pt idx="8">
                  <c:v>11.335552870000001</c:v>
                </c:pt>
                <c:pt idx="9">
                  <c:v>25.964056759999998</c:v>
                </c:pt>
                <c:pt idx="10">
                  <c:v>17.954680720000006</c:v>
                </c:pt>
                <c:pt idx="11">
                  <c:v>27.012702609999991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6-44CD-B4B3-F4264E3E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GRAPHYQUES!$N$129:$O$129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GRAPHYQUES!$P$129:$AA$129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33.521247000000002</c:v>
                      </c:pt>
                      <c:pt idx="1">
                        <c:v>26.321838</c:v>
                      </c:pt>
                      <c:pt idx="2">
                        <c:v>31.35053804</c:v>
                      </c:pt>
                      <c:pt idx="3">
                        <c:v>25.000449399999997</c:v>
                      </c:pt>
                      <c:pt idx="4">
                        <c:v>43.803422600000005</c:v>
                      </c:pt>
                      <c:pt idx="5">
                        <c:v>52.4705668</c:v>
                      </c:pt>
                      <c:pt idx="6">
                        <c:v>34.898000200000006</c:v>
                      </c:pt>
                      <c:pt idx="7">
                        <c:v>50.619039000000001</c:v>
                      </c:pt>
                      <c:pt idx="8">
                        <c:v>53.09148184</c:v>
                      </c:pt>
                      <c:pt idx="9">
                        <c:v>60.9380752</c:v>
                      </c:pt>
                      <c:pt idx="10">
                        <c:v>63.315339159999994</c:v>
                      </c:pt>
                      <c:pt idx="11">
                        <c:v>100.78095489999997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16-44CD-B4B3-F4264E3E7A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GRAPHYQUES!$N$130:$O$130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GRAPHYQUES!$P$130:$AA$130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23.460707800000002</c:v>
                      </c:pt>
                      <c:pt idx="1">
                        <c:v>30.616077860000001</c:v>
                      </c:pt>
                      <c:pt idx="2">
                        <c:v>54.755497800000001</c:v>
                      </c:pt>
                      <c:pt idx="3">
                        <c:v>40.951519619999999</c:v>
                      </c:pt>
                      <c:pt idx="4">
                        <c:v>111.16438315000001</c:v>
                      </c:pt>
                      <c:pt idx="5">
                        <c:v>59.212911990000002</c:v>
                      </c:pt>
                      <c:pt idx="6">
                        <c:v>37.633035</c:v>
                      </c:pt>
                      <c:pt idx="7">
                        <c:v>31.518268640000002</c:v>
                      </c:pt>
                      <c:pt idx="8">
                        <c:v>54.354414720000001</c:v>
                      </c:pt>
                      <c:pt idx="9">
                        <c:v>91.070764439999991</c:v>
                      </c:pt>
                      <c:pt idx="10">
                        <c:v>78.890960180000008</c:v>
                      </c:pt>
                      <c:pt idx="11">
                        <c:v>103.35287760999999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16-44CD-B4B3-F4264E3E7A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GRAPHYQUES!$N$131:$O$131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GRAPHYQUES!$P$131:$AA$131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20.417144390000001</c:v>
                      </c:pt>
                      <c:pt idx="1">
                        <c:v>19.700745359999999</c:v>
                      </c:pt>
                      <c:pt idx="2">
                        <c:v>18.708029420000003</c:v>
                      </c:pt>
                      <c:pt idx="3">
                        <c:v>11.849877189999997</c:v>
                      </c:pt>
                      <c:pt idx="4">
                        <c:v>18.466925400000001</c:v>
                      </c:pt>
                      <c:pt idx="5">
                        <c:v>27.349988339999996</c:v>
                      </c:pt>
                      <c:pt idx="6">
                        <c:v>21.679183660000003</c:v>
                      </c:pt>
                      <c:pt idx="7">
                        <c:v>31.762441989999999</c:v>
                      </c:pt>
                      <c:pt idx="8">
                        <c:v>39.402867260000008</c:v>
                      </c:pt>
                      <c:pt idx="9">
                        <c:v>35.903772290000006</c:v>
                      </c:pt>
                      <c:pt idx="10">
                        <c:v>31.090193539999994</c:v>
                      </c:pt>
                      <c:pt idx="11">
                        <c:v>47.140808159999978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16-44CD-B4B3-F4264E3E7A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GRAPHYQUES!$N$132:$O$132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GRAPHYQUES!$P$132:$AA$132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31.693589979999999</c:v>
                      </c:pt>
                      <c:pt idx="1">
                        <c:v>35.076715649999997</c:v>
                      </c:pt>
                      <c:pt idx="2">
                        <c:v>29.644018919999997</c:v>
                      </c:pt>
                      <c:pt idx="3">
                        <c:v>23.668817619999999</c:v>
                      </c:pt>
                      <c:pt idx="4">
                        <c:v>47.853499860000007</c:v>
                      </c:pt>
                      <c:pt idx="5">
                        <c:v>27.867187910000006</c:v>
                      </c:pt>
                      <c:pt idx="6">
                        <c:v>18.157939300000002</c:v>
                      </c:pt>
                      <c:pt idx="7">
                        <c:v>19.869276360000001</c:v>
                      </c:pt>
                      <c:pt idx="8">
                        <c:v>40.447650029999998</c:v>
                      </c:pt>
                      <c:pt idx="9">
                        <c:v>58.67804915</c:v>
                      </c:pt>
                      <c:pt idx="10">
                        <c:v>56.623053660000011</c:v>
                      </c:pt>
                      <c:pt idx="11">
                        <c:v>75.001011169999998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16-44CD-B4B3-F4264E3E7A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GRAPHYQUES!$N$133:$O$133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GRAPHYQUES!$P$133:$AA$133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10.092533449999999</c:v>
                      </c:pt>
                      <c:pt idx="1">
                        <c:v>12.77091285</c:v>
                      </c:pt>
                      <c:pt idx="2">
                        <c:v>11.812582239999999</c:v>
                      </c:pt>
                      <c:pt idx="3">
                        <c:v>7.5635804999999996</c:v>
                      </c:pt>
                      <c:pt idx="4">
                        <c:v>6.58085729</c:v>
                      </c:pt>
                      <c:pt idx="5">
                        <c:v>14.033583009999999</c:v>
                      </c:pt>
                      <c:pt idx="6">
                        <c:v>13.54413907</c:v>
                      </c:pt>
                      <c:pt idx="7">
                        <c:v>18.437855670000001</c:v>
                      </c:pt>
                      <c:pt idx="8">
                        <c:v>22.28054139</c:v>
                      </c:pt>
                      <c:pt idx="9">
                        <c:v>18.089272680000001</c:v>
                      </c:pt>
                      <c:pt idx="10">
                        <c:v>16.517132140000001</c:v>
                      </c:pt>
                      <c:pt idx="11">
                        <c:v>23.16480928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16-44CD-B4B3-F4264E3E7A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GRAPHYQUES!$N$134:$O$134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GRAPHYQUES!$P$134:$AA$134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19.132746190000002</c:v>
                      </c:pt>
                      <c:pt idx="1">
                        <c:v>19.222554890000001</c:v>
                      </c:pt>
                      <c:pt idx="2">
                        <c:v>15.808313609999999</c:v>
                      </c:pt>
                      <c:pt idx="3">
                        <c:v>12.37509133</c:v>
                      </c:pt>
                      <c:pt idx="4">
                        <c:v>13.51424059</c:v>
                      </c:pt>
                      <c:pt idx="5">
                        <c:v>10.5816666</c:v>
                      </c:pt>
                      <c:pt idx="6">
                        <c:v>7.0564336299999999</c:v>
                      </c:pt>
                      <c:pt idx="7">
                        <c:v>13.048746339999999</c:v>
                      </c:pt>
                      <c:pt idx="8">
                        <c:v>12.959217449999999</c:v>
                      </c:pt>
                      <c:pt idx="9">
                        <c:v>16.708490510000001</c:v>
                      </c:pt>
                      <c:pt idx="10">
                        <c:v>21.47897051</c:v>
                      </c:pt>
                      <c:pt idx="11">
                        <c:v>31.529071940000001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16-44CD-B4B3-F4264E3E7A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GRAPHYQUES!$N$135:$O$135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GRAPHYQUES!$P$135:$AA$135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8.7772757200000004</c:v>
                      </c:pt>
                      <c:pt idx="1">
                        <c:v>5.6316704499999997</c:v>
                      </c:pt>
                      <c:pt idx="2">
                        <c:v>5.3471947900000005</c:v>
                      </c:pt>
                      <c:pt idx="3">
                        <c:v>2.6750463599999974</c:v>
                      </c:pt>
                      <c:pt idx="4">
                        <c:v>9.7570143200000015</c:v>
                      </c:pt>
                      <c:pt idx="5">
                        <c:v>11.477033509999996</c:v>
                      </c:pt>
                      <c:pt idx="6">
                        <c:v>6.9103010800000035</c:v>
                      </c:pt>
                      <c:pt idx="7">
                        <c:v>11.848320669999998</c:v>
                      </c:pt>
                      <c:pt idx="8">
                        <c:v>15.054623480000004</c:v>
                      </c:pt>
                      <c:pt idx="9">
                        <c:v>15.271094810000006</c:v>
                      </c:pt>
                      <c:pt idx="10">
                        <c:v>8.8175317199999945</c:v>
                      </c:pt>
                      <c:pt idx="11">
                        <c:v>18.689581879999974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16-44CD-B4B3-F4264E3E7A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GRAPHYQUES!$N$136:$O$136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GRAPHYQUES!$P$136:$AA$136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10.352412579999998</c:v>
                      </c:pt>
                      <c:pt idx="1">
                        <c:v>13.910677079999997</c:v>
                      </c:pt>
                      <c:pt idx="2">
                        <c:v>11.321362069999996</c:v>
                      </c:pt>
                      <c:pt idx="3">
                        <c:v>10.758584349999998</c:v>
                      </c:pt>
                      <c:pt idx="4">
                        <c:v>31.630185770000008</c:v>
                      </c:pt>
                      <c:pt idx="5">
                        <c:v>14.390461740000005</c:v>
                      </c:pt>
                      <c:pt idx="6">
                        <c:v>7.8419865200000016</c:v>
                      </c:pt>
                      <c:pt idx="7">
                        <c:v>3.7274650599999988</c:v>
                      </c:pt>
                      <c:pt idx="8">
                        <c:v>22.463914450000004</c:v>
                      </c:pt>
                      <c:pt idx="9">
                        <c:v>38.57618815</c:v>
                      </c:pt>
                      <c:pt idx="10">
                        <c:v>31.374123610000012</c:v>
                      </c:pt>
                      <c:pt idx="11">
                        <c:v>39.801485469999996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516-44CD-B4B3-F4264E3E7AD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GRAPHYQUES!$N$137:$O$137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GRAPHYQUES!$P$137:$AA$137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8.36750726</c:v>
                      </c:pt>
                      <c:pt idx="1">
                        <c:v>8.7312100899999994</c:v>
                      </c:pt>
                      <c:pt idx="2">
                        <c:v>8.7403556999999985</c:v>
                      </c:pt>
                      <c:pt idx="3">
                        <c:v>8.2559178400000004</c:v>
                      </c:pt>
                      <c:pt idx="4">
                        <c:v>8.0638518999999995</c:v>
                      </c:pt>
                      <c:pt idx="5">
                        <c:v>8.0124746699999996</c:v>
                      </c:pt>
                      <c:pt idx="6">
                        <c:v>10.8257642</c:v>
                      </c:pt>
                      <c:pt idx="7">
                        <c:v>9.7226948599999989</c:v>
                      </c:pt>
                      <c:pt idx="8">
                        <c:v>9.7909817899999982</c:v>
                      </c:pt>
                      <c:pt idx="9">
                        <c:v>10.346519199999999</c:v>
                      </c:pt>
                      <c:pt idx="10">
                        <c:v>11.827444009999999</c:v>
                      </c:pt>
                      <c:pt idx="11">
                        <c:v>9.9002681599999995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516-44CD-B4B3-F4264E3E7AD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GRAPHYQUES!$N$138:$O$138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4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GRAPHYQUES!$P$128:$AA$128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GRAPHYQUES!$P$138:$AA$138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10.783219189999999</c:v>
                      </c:pt>
                      <c:pt idx="1">
                        <c:v>12.372266439999999</c:v>
                      </c:pt>
                      <c:pt idx="2">
                        <c:v>11.79977021</c:v>
                      </c:pt>
                      <c:pt idx="3">
                        <c:v>11.68585929</c:v>
                      </c:pt>
                      <c:pt idx="4">
                        <c:v>11.31154581</c:v>
                      </c:pt>
                      <c:pt idx="5">
                        <c:v>10.98382608</c:v>
                      </c:pt>
                      <c:pt idx="6">
                        <c:v>11.221899689999999</c:v>
                      </c:pt>
                      <c:pt idx="7">
                        <c:v>15.54841815</c:v>
                      </c:pt>
                      <c:pt idx="8">
                        <c:v>10.018925699999999</c:v>
                      </c:pt>
                      <c:pt idx="9">
                        <c:v>11.02240705</c:v>
                      </c:pt>
                      <c:pt idx="10">
                        <c:v>11.392522939999999</c:v>
                      </c:pt>
                      <c:pt idx="11">
                        <c:v>11.072428349999999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16-44CD-B4B3-F4264E3E7AD4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0"/>
          <c:order val="0"/>
          <c:tx>
            <c:strRef>
              <c:f>GRAPHYQUES!$N$164:$O$164</c:f>
              <c:strCache>
                <c:ptCount val="2"/>
                <c:pt idx="0">
                  <c:v>CHIFFRE D'AFFAIRES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GRAPHYQUES!$P$164:$AA$164</c:f>
              <c:numCache>
                <c:formatCode>#,##0</c:formatCode>
                <c:ptCount val="12"/>
                <c:pt idx="0">
                  <c:v>8.5236811999999986</c:v>
                </c:pt>
                <c:pt idx="1">
                  <c:v>7.3264657</c:v>
                </c:pt>
                <c:pt idx="2">
                  <c:v>2.5534080000000001</c:v>
                </c:pt>
                <c:pt idx="3">
                  <c:v>24.729842000000001</c:v>
                </c:pt>
                <c:pt idx="4">
                  <c:v>34.374382900000001</c:v>
                </c:pt>
                <c:pt idx="5">
                  <c:v>8.5850855999999993</c:v>
                </c:pt>
                <c:pt idx="6">
                  <c:v>16.5630582</c:v>
                </c:pt>
                <c:pt idx="7">
                  <c:v>22.796482600000001</c:v>
                </c:pt>
                <c:pt idx="8">
                  <c:v>29.134300149999998</c:v>
                </c:pt>
                <c:pt idx="9">
                  <c:v>56.564470960000001</c:v>
                </c:pt>
                <c:pt idx="10">
                  <c:v>47.0136222</c:v>
                </c:pt>
                <c:pt idx="11">
                  <c:v>151.10371544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A-4556-922E-318BED804FAD}"/>
            </c:ext>
          </c:extLst>
        </c:ser>
        <c:ser>
          <c:idx val="1"/>
          <c:order val="1"/>
          <c:tx>
            <c:strRef>
              <c:f>GRAPHYQUES!$N$165:$O$165</c:f>
              <c:strCache>
                <c:ptCount val="2"/>
                <c:pt idx="0">
                  <c:v>CHIFFRE D'AFFAIRES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GRAPHYQUES!$P$165:$AA$165</c:f>
              <c:numCache>
                <c:formatCode>#,##0</c:formatCode>
                <c:ptCount val="12"/>
                <c:pt idx="0">
                  <c:v>14.36139468</c:v>
                </c:pt>
                <c:pt idx="1">
                  <c:v>18.23792031</c:v>
                </c:pt>
                <c:pt idx="2">
                  <c:v>51.685455859999998</c:v>
                </c:pt>
                <c:pt idx="3">
                  <c:v>70.935830030000005</c:v>
                </c:pt>
                <c:pt idx="4">
                  <c:v>52.998015979999998</c:v>
                </c:pt>
                <c:pt idx="5">
                  <c:v>125.46546886</c:v>
                </c:pt>
                <c:pt idx="6">
                  <c:v>71.473074189999991</c:v>
                </c:pt>
                <c:pt idx="7">
                  <c:v>57.44329432</c:v>
                </c:pt>
                <c:pt idx="8">
                  <c:v>72.319234559999998</c:v>
                </c:pt>
                <c:pt idx="9">
                  <c:v>63.22831592</c:v>
                </c:pt>
                <c:pt idx="10">
                  <c:v>85.460444840000008</c:v>
                </c:pt>
                <c:pt idx="11">
                  <c:v>78.511679829999991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A-4556-922E-318BED80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GRAPHYQUES!$N$166:$O$166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GRAPHYQUES!$P$166:$AA$166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8.8213863499999992</c:v>
                      </c:pt>
                      <c:pt idx="1">
                        <c:v>10.553953030000001</c:v>
                      </c:pt>
                      <c:pt idx="2">
                        <c:v>5.6112541600000005</c:v>
                      </c:pt>
                      <c:pt idx="3">
                        <c:v>6.9292830500000004</c:v>
                      </c:pt>
                      <c:pt idx="4">
                        <c:v>8.6937539099999999</c:v>
                      </c:pt>
                      <c:pt idx="5">
                        <c:v>12.864796140000001</c:v>
                      </c:pt>
                      <c:pt idx="6">
                        <c:v>6.2507096299999994</c:v>
                      </c:pt>
                      <c:pt idx="7">
                        <c:v>8.2278256200000008</c:v>
                      </c:pt>
                      <c:pt idx="8">
                        <c:v>17.03745297</c:v>
                      </c:pt>
                      <c:pt idx="9">
                        <c:v>21.432230130000004</c:v>
                      </c:pt>
                      <c:pt idx="10">
                        <c:v>22.344271560000003</c:v>
                      </c:pt>
                      <c:pt idx="11">
                        <c:v>88.26975019999999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0A-4556-922E-318BED804F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GRAPHYQUES!$N$167:$O$167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GRAPHYQUES!$P$167:$AA$167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30.183023429999999</c:v>
                      </c:pt>
                      <c:pt idx="1">
                        <c:v>24.366563689999996</c:v>
                      </c:pt>
                      <c:pt idx="2">
                        <c:v>52.558266549999999</c:v>
                      </c:pt>
                      <c:pt idx="3">
                        <c:v>48.376112090000007</c:v>
                      </c:pt>
                      <c:pt idx="4">
                        <c:v>45.420320419999996</c:v>
                      </c:pt>
                      <c:pt idx="5">
                        <c:v>65.645581039999996</c:v>
                      </c:pt>
                      <c:pt idx="6">
                        <c:v>39.966941519999999</c:v>
                      </c:pt>
                      <c:pt idx="7">
                        <c:v>31.261256539999998</c:v>
                      </c:pt>
                      <c:pt idx="8">
                        <c:v>40.812441270000001</c:v>
                      </c:pt>
                      <c:pt idx="9">
                        <c:v>49.756221109999998</c:v>
                      </c:pt>
                      <c:pt idx="10">
                        <c:v>56.966228190000002</c:v>
                      </c:pt>
                      <c:pt idx="11">
                        <c:v>56.555725719999998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0A-4556-922E-318BED804FA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GRAPHYQUES!$N$168:$O$168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GRAPHYQUES!$P$168:$AA$168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10.717019279999999</c:v>
                      </c:pt>
                      <c:pt idx="1">
                        <c:v>8.9164474299999998</c:v>
                      </c:pt>
                      <c:pt idx="2">
                        <c:v>7.92720512</c:v>
                      </c:pt>
                      <c:pt idx="3">
                        <c:v>8.7665559200000001</c:v>
                      </c:pt>
                      <c:pt idx="4">
                        <c:v>7.1525286299999999</c:v>
                      </c:pt>
                      <c:pt idx="5">
                        <c:v>10.007923640000001</c:v>
                      </c:pt>
                      <c:pt idx="6">
                        <c:v>10.61352754</c:v>
                      </c:pt>
                      <c:pt idx="7">
                        <c:v>14.408748539999999</c:v>
                      </c:pt>
                      <c:pt idx="8">
                        <c:v>17.153611609999999</c:v>
                      </c:pt>
                      <c:pt idx="9">
                        <c:v>20.570214589999999</c:v>
                      </c:pt>
                      <c:pt idx="10">
                        <c:v>18.216417879999998</c:v>
                      </c:pt>
                      <c:pt idx="11">
                        <c:v>45.832103880000005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0A-4556-922E-318BED804F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GRAPHYQUES!$N$169:$O$169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GRAPHYQUES!$P$169:$AA$169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27.754299979999999</c:v>
                      </c:pt>
                      <c:pt idx="1">
                        <c:v>21.40361068</c:v>
                      </c:pt>
                      <c:pt idx="2">
                        <c:v>37.180441109999997</c:v>
                      </c:pt>
                      <c:pt idx="3">
                        <c:v>31.69535183</c:v>
                      </c:pt>
                      <c:pt idx="4">
                        <c:v>31.998336420000001</c:v>
                      </c:pt>
                      <c:pt idx="5">
                        <c:v>37.95684962</c:v>
                      </c:pt>
                      <c:pt idx="6">
                        <c:v>20.73934083</c:v>
                      </c:pt>
                      <c:pt idx="7">
                        <c:v>19.538009930000001</c:v>
                      </c:pt>
                      <c:pt idx="8">
                        <c:v>27.236941089999998</c:v>
                      </c:pt>
                      <c:pt idx="9">
                        <c:v>33.834704810000005</c:v>
                      </c:pt>
                      <c:pt idx="10">
                        <c:v>35.947143629999999</c:v>
                      </c:pt>
                      <c:pt idx="11">
                        <c:v>38.185816810000006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0A-4556-922E-318BED804F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GRAPHYQUES!$N$170:$O$170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GRAPHYQUES!$P$170:$AA$170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-3.2067991500000002</c:v>
                      </c:pt>
                      <c:pt idx="1">
                        <c:v>0.44264993000000158</c:v>
                      </c:pt>
                      <c:pt idx="2">
                        <c:v>-3.7467593599999995</c:v>
                      </c:pt>
                      <c:pt idx="3">
                        <c:v>-2.6665066499999983</c:v>
                      </c:pt>
                      <c:pt idx="4">
                        <c:v>0.70712785000000056</c:v>
                      </c:pt>
                      <c:pt idx="5">
                        <c:v>-1.5307169900000002</c:v>
                      </c:pt>
                      <c:pt idx="6">
                        <c:v>-7.4424004700000008</c:v>
                      </c:pt>
                      <c:pt idx="7">
                        <c:v>-7.2482544299999976</c:v>
                      </c:pt>
                      <c:pt idx="8">
                        <c:v>-3.1372027100000008</c:v>
                      </c:pt>
                      <c:pt idx="9">
                        <c:v>-1.058831419999998</c:v>
                      </c:pt>
                      <c:pt idx="10">
                        <c:v>8.4576930000003422E-2</c:v>
                      </c:pt>
                      <c:pt idx="11">
                        <c:v>32.225249819999988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0A-4556-922E-318BED804FA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GRAPHYQUES!$N$171:$O$171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GRAPHYQUES!$P$171:$AA$171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-0.50432053000000121</c:v>
                      </c:pt>
                      <c:pt idx="1">
                        <c:v>2.0002533099999988</c:v>
                      </c:pt>
                      <c:pt idx="2">
                        <c:v>13.138537629999995</c:v>
                      </c:pt>
                      <c:pt idx="3">
                        <c:v>15.063985330000005</c:v>
                      </c:pt>
                      <c:pt idx="4">
                        <c:v>11.002121319999993</c:v>
                      </c:pt>
                      <c:pt idx="5">
                        <c:v>25.720826010000007</c:v>
                      </c:pt>
                      <c:pt idx="6">
                        <c:v>16.166651979999997</c:v>
                      </c:pt>
                      <c:pt idx="7">
                        <c:v>9.9005444399999973</c:v>
                      </c:pt>
                      <c:pt idx="8">
                        <c:v>11.592446330000001</c:v>
                      </c:pt>
                      <c:pt idx="9">
                        <c:v>12.136803479999998</c:v>
                      </c:pt>
                      <c:pt idx="10">
                        <c:v>16.723275190000006</c:v>
                      </c:pt>
                      <c:pt idx="11">
                        <c:v>12.798695589999996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0A-4556-922E-318BED804FA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GRAPHYQUES!$N$172:$O$172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GRAPHYQUES!$P$172:$AA$172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9.0535402100000013</c:v>
                      </c:pt>
                      <c:pt idx="1">
                        <c:v>8.6326025000000008</c:v>
                      </c:pt>
                      <c:pt idx="2">
                        <c:v>10.456033199999998</c:v>
                      </c:pt>
                      <c:pt idx="3">
                        <c:v>9.10264411</c:v>
                      </c:pt>
                      <c:pt idx="4">
                        <c:v>8.7375176000000003</c:v>
                      </c:pt>
                      <c:pt idx="5">
                        <c:v>8.4767845199999989</c:v>
                      </c:pt>
                      <c:pt idx="6">
                        <c:v>10.97774051</c:v>
                      </c:pt>
                      <c:pt idx="7">
                        <c:v>10.47874648</c:v>
                      </c:pt>
                      <c:pt idx="8">
                        <c:v>9.3861235099999991</c:v>
                      </c:pt>
                      <c:pt idx="9">
                        <c:v>10.638240699999999</c:v>
                      </c:pt>
                      <c:pt idx="10">
                        <c:v>10.971405650000001</c:v>
                      </c:pt>
                      <c:pt idx="11">
                        <c:v>7.1845508200000001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B0A-4556-922E-318BED804FA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GRAPHYQUES!$N$173:$O$173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GRAPHYQUES!$P$173:$AA$173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10.69275861</c:v>
                      </c:pt>
                      <c:pt idx="1">
                        <c:v>11.011773130000002</c:v>
                      </c:pt>
                      <c:pt idx="2">
                        <c:v>9.9528626300000003</c:v>
                      </c:pt>
                      <c:pt idx="3">
                        <c:v>10.923466509999999</c:v>
                      </c:pt>
                      <c:pt idx="4">
                        <c:v>10.666080259999999</c:v>
                      </c:pt>
                      <c:pt idx="5">
                        <c:v>9.8943938199999995</c:v>
                      </c:pt>
                      <c:pt idx="6">
                        <c:v>9.8505428500000001</c:v>
                      </c:pt>
                      <c:pt idx="7">
                        <c:v>15.11239235</c:v>
                      </c:pt>
                      <c:pt idx="8">
                        <c:v>9.469872800000001</c:v>
                      </c:pt>
                      <c:pt idx="9">
                        <c:v>12.221637210000001</c:v>
                      </c:pt>
                      <c:pt idx="10">
                        <c:v>10.947747039999999</c:v>
                      </c:pt>
                      <c:pt idx="11">
                        <c:v>10.59256031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B0A-4556-922E-318BED804FAD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6"/>
          <c:order val="6"/>
          <c:tx>
            <c:strRef>
              <c:f>GRAPHYQUES!$N$170:$O$170</c:f>
              <c:strCache>
                <c:ptCount val="2"/>
                <c:pt idx="0">
                  <c:v>VALEUR AJOUTEE 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GRAPHYQUES!$P$170:$AA$170</c:f>
              <c:numCache>
                <c:formatCode>#,##0</c:formatCode>
                <c:ptCount val="12"/>
                <c:pt idx="0">
                  <c:v>-3.2067991500000002</c:v>
                </c:pt>
                <c:pt idx="1">
                  <c:v>0.44264993000000158</c:v>
                </c:pt>
                <c:pt idx="2">
                  <c:v>-3.7467593599999995</c:v>
                </c:pt>
                <c:pt idx="3">
                  <c:v>-2.6665066499999983</c:v>
                </c:pt>
                <c:pt idx="4">
                  <c:v>0.70712785000000056</c:v>
                </c:pt>
                <c:pt idx="5">
                  <c:v>-1.5307169900000002</c:v>
                </c:pt>
                <c:pt idx="6">
                  <c:v>-7.4424004700000008</c:v>
                </c:pt>
                <c:pt idx="7">
                  <c:v>-7.2482544299999976</c:v>
                </c:pt>
                <c:pt idx="8">
                  <c:v>-3.1372027100000008</c:v>
                </c:pt>
                <c:pt idx="9">
                  <c:v>-1.058831419999998</c:v>
                </c:pt>
                <c:pt idx="10">
                  <c:v>8.4576930000003422E-2</c:v>
                </c:pt>
                <c:pt idx="11">
                  <c:v>32.225249819999988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4-4A9D-B585-B078947193EC}"/>
            </c:ext>
          </c:extLst>
        </c:ser>
        <c:ser>
          <c:idx val="7"/>
          <c:order val="7"/>
          <c:tx>
            <c:strRef>
              <c:f>GRAPHYQUES!$N$171:$O$171</c:f>
              <c:strCache>
                <c:ptCount val="2"/>
                <c:pt idx="0">
                  <c:v>VALEUR AJOUTEE 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GRAPHYQUES!$P$171:$AA$171</c:f>
              <c:numCache>
                <c:formatCode>#,##0</c:formatCode>
                <c:ptCount val="12"/>
                <c:pt idx="0">
                  <c:v>-0.50432053000000121</c:v>
                </c:pt>
                <c:pt idx="1">
                  <c:v>2.0002533099999988</c:v>
                </c:pt>
                <c:pt idx="2">
                  <c:v>13.138537629999995</c:v>
                </c:pt>
                <c:pt idx="3">
                  <c:v>15.063985330000005</c:v>
                </c:pt>
                <c:pt idx="4">
                  <c:v>11.002121319999993</c:v>
                </c:pt>
                <c:pt idx="5">
                  <c:v>25.720826010000007</c:v>
                </c:pt>
                <c:pt idx="6">
                  <c:v>16.166651979999997</c:v>
                </c:pt>
                <c:pt idx="7">
                  <c:v>9.9005444399999973</c:v>
                </c:pt>
                <c:pt idx="8">
                  <c:v>11.592446330000001</c:v>
                </c:pt>
                <c:pt idx="9">
                  <c:v>12.136803479999998</c:v>
                </c:pt>
                <c:pt idx="10">
                  <c:v>16.723275190000006</c:v>
                </c:pt>
                <c:pt idx="11">
                  <c:v>12.798695589999996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4-4A9D-B585-B07894719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GRAPHYQUES!$N$164:$O$164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GRAPHYQUES!$P$164:$AA$164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8.5236811999999986</c:v>
                      </c:pt>
                      <c:pt idx="1">
                        <c:v>7.3264657</c:v>
                      </c:pt>
                      <c:pt idx="2">
                        <c:v>2.5534080000000001</c:v>
                      </c:pt>
                      <c:pt idx="3">
                        <c:v>24.729842000000001</c:v>
                      </c:pt>
                      <c:pt idx="4">
                        <c:v>34.374382900000001</c:v>
                      </c:pt>
                      <c:pt idx="5">
                        <c:v>8.5850855999999993</c:v>
                      </c:pt>
                      <c:pt idx="6">
                        <c:v>16.5630582</c:v>
                      </c:pt>
                      <c:pt idx="7">
                        <c:v>22.796482600000001</c:v>
                      </c:pt>
                      <c:pt idx="8">
                        <c:v>29.134300149999998</c:v>
                      </c:pt>
                      <c:pt idx="9">
                        <c:v>56.564470960000001</c:v>
                      </c:pt>
                      <c:pt idx="10">
                        <c:v>47.0136222</c:v>
                      </c:pt>
                      <c:pt idx="11">
                        <c:v>151.10371544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94-4A9D-B585-B078947193E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GRAPHYQUES!$N$165:$O$165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GRAPHYQUES!$P$165:$AA$165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14.36139468</c:v>
                      </c:pt>
                      <c:pt idx="1">
                        <c:v>18.23792031</c:v>
                      </c:pt>
                      <c:pt idx="2">
                        <c:v>51.685455859999998</c:v>
                      </c:pt>
                      <c:pt idx="3">
                        <c:v>70.935830030000005</c:v>
                      </c:pt>
                      <c:pt idx="4">
                        <c:v>52.998015979999998</c:v>
                      </c:pt>
                      <c:pt idx="5">
                        <c:v>125.46546886</c:v>
                      </c:pt>
                      <c:pt idx="6">
                        <c:v>71.473074189999991</c:v>
                      </c:pt>
                      <c:pt idx="7">
                        <c:v>57.44329432</c:v>
                      </c:pt>
                      <c:pt idx="8">
                        <c:v>72.319234559999998</c:v>
                      </c:pt>
                      <c:pt idx="9">
                        <c:v>63.22831592</c:v>
                      </c:pt>
                      <c:pt idx="10">
                        <c:v>85.460444840000008</c:v>
                      </c:pt>
                      <c:pt idx="11">
                        <c:v>78.511679829999991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94-4A9D-B585-B078947193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GRAPHYQUES!$N$166:$O$166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GRAPHYQUES!$P$166:$AA$166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8.8213863499999992</c:v>
                      </c:pt>
                      <c:pt idx="1">
                        <c:v>10.553953030000001</c:v>
                      </c:pt>
                      <c:pt idx="2">
                        <c:v>5.6112541600000005</c:v>
                      </c:pt>
                      <c:pt idx="3">
                        <c:v>6.9292830500000004</c:v>
                      </c:pt>
                      <c:pt idx="4">
                        <c:v>8.6937539099999999</c:v>
                      </c:pt>
                      <c:pt idx="5">
                        <c:v>12.864796140000001</c:v>
                      </c:pt>
                      <c:pt idx="6">
                        <c:v>6.2507096299999994</c:v>
                      </c:pt>
                      <c:pt idx="7">
                        <c:v>8.2278256200000008</c:v>
                      </c:pt>
                      <c:pt idx="8">
                        <c:v>17.03745297</c:v>
                      </c:pt>
                      <c:pt idx="9">
                        <c:v>21.432230130000004</c:v>
                      </c:pt>
                      <c:pt idx="10">
                        <c:v>22.344271560000003</c:v>
                      </c:pt>
                      <c:pt idx="11">
                        <c:v>88.26975019999999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94-4A9D-B585-B078947193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GRAPHYQUES!$N$167:$O$167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GRAPHYQUES!$P$167:$AA$167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30.183023429999999</c:v>
                      </c:pt>
                      <c:pt idx="1">
                        <c:v>24.366563689999996</c:v>
                      </c:pt>
                      <c:pt idx="2">
                        <c:v>52.558266549999999</c:v>
                      </c:pt>
                      <c:pt idx="3">
                        <c:v>48.376112090000007</c:v>
                      </c:pt>
                      <c:pt idx="4">
                        <c:v>45.420320419999996</c:v>
                      </c:pt>
                      <c:pt idx="5">
                        <c:v>65.645581039999996</c:v>
                      </c:pt>
                      <c:pt idx="6">
                        <c:v>39.966941519999999</c:v>
                      </c:pt>
                      <c:pt idx="7">
                        <c:v>31.261256539999998</c:v>
                      </c:pt>
                      <c:pt idx="8">
                        <c:v>40.812441270000001</c:v>
                      </c:pt>
                      <c:pt idx="9">
                        <c:v>49.756221109999998</c:v>
                      </c:pt>
                      <c:pt idx="10">
                        <c:v>56.966228190000002</c:v>
                      </c:pt>
                      <c:pt idx="11">
                        <c:v>56.555725719999998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94-4A9D-B585-B078947193E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GRAPHYQUES!$N$168:$O$168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GRAPHYQUES!$P$168:$AA$168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10.717019279999999</c:v>
                      </c:pt>
                      <c:pt idx="1">
                        <c:v>8.9164474299999998</c:v>
                      </c:pt>
                      <c:pt idx="2">
                        <c:v>7.92720512</c:v>
                      </c:pt>
                      <c:pt idx="3">
                        <c:v>8.7665559200000001</c:v>
                      </c:pt>
                      <c:pt idx="4">
                        <c:v>7.1525286299999999</c:v>
                      </c:pt>
                      <c:pt idx="5">
                        <c:v>10.007923640000001</c:v>
                      </c:pt>
                      <c:pt idx="6">
                        <c:v>10.61352754</c:v>
                      </c:pt>
                      <c:pt idx="7">
                        <c:v>14.408748539999999</c:v>
                      </c:pt>
                      <c:pt idx="8">
                        <c:v>17.153611609999999</c:v>
                      </c:pt>
                      <c:pt idx="9">
                        <c:v>20.570214589999999</c:v>
                      </c:pt>
                      <c:pt idx="10">
                        <c:v>18.216417879999998</c:v>
                      </c:pt>
                      <c:pt idx="11">
                        <c:v>45.832103880000005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94-4A9D-B585-B078947193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GRAPHYQUES!$N$169:$O$169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GRAPHYQUES!$P$169:$AA$169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27.754299979999999</c:v>
                      </c:pt>
                      <c:pt idx="1">
                        <c:v>21.40361068</c:v>
                      </c:pt>
                      <c:pt idx="2">
                        <c:v>37.180441109999997</c:v>
                      </c:pt>
                      <c:pt idx="3">
                        <c:v>31.69535183</c:v>
                      </c:pt>
                      <c:pt idx="4">
                        <c:v>31.998336420000001</c:v>
                      </c:pt>
                      <c:pt idx="5">
                        <c:v>37.95684962</c:v>
                      </c:pt>
                      <c:pt idx="6">
                        <c:v>20.73934083</c:v>
                      </c:pt>
                      <c:pt idx="7">
                        <c:v>19.538009930000001</c:v>
                      </c:pt>
                      <c:pt idx="8">
                        <c:v>27.236941089999998</c:v>
                      </c:pt>
                      <c:pt idx="9">
                        <c:v>33.834704810000005</c:v>
                      </c:pt>
                      <c:pt idx="10">
                        <c:v>35.947143629999999</c:v>
                      </c:pt>
                      <c:pt idx="11">
                        <c:v>38.185816810000006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94-4A9D-B585-B078947193E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GRAPHYQUES!$N$172:$O$172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GRAPHYQUES!$P$172:$AA$172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9.0535402100000013</c:v>
                      </c:pt>
                      <c:pt idx="1">
                        <c:v>8.6326025000000008</c:v>
                      </c:pt>
                      <c:pt idx="2">
                        <c:v>10.456033199999998</c:v>
                      </c:pt>
                      <c:pt idx="3">
                        <c:v>9.10264411</c:v>
                      </c:pt>
                      <c:pt idx="4">
                        <c:v>8.7375176000000003</c:v>
                      </c:pt>
                      <c:pt idx="5">
                        <c:v>8.4767845199999989</c:v>
                      </c:pt>
                      <c:pt idx="6">
                        <c:v>10.97774051</c:v>
                      </c:pt>
                      <c:pt idx="7">
                        <c:v>10.47874648</c:v>
                      </c:pt>
                      <c:pt idx="8">
                        <c:v>9.3861235099999991</c:v>
                      </c:pt>
                      <c:pt idx="9">
                        <c:v>10.638240699999999</c:v>
                      </c:pt>
                      <c:pt idx="10">
                        <c:v>10.971405650000001</c:v>
                      </c:pt>
                      <c:pt idx="11">
                        <c:v>7.1845508200000001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94-4A9D-B585-B078947193E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GRAPHYQUES!$N$173:$O$173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GRAPHYQUES!$P$173:$AA$173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10.69275861</c:v>
                      </c:pt>
                      <c:pt idx="1">
                        <c:v>11.011773130000002</c:v>
                      </c:pt>
                      <c:pt idx="2">
                        <c:v>9.9528626300000003</c:v>
                      </c:pt>
                      <c:pt idx="3">
                        <c:v>10.923466509999999</c:v>
                      </c:pt>
                      <c:pt idx="4">
                        <c:v>10.666080259999999</c:v>
                      </c:pt>
                      <c:pt idx="5">
                        <c:v>9.8943938199999995</c:v>
                      </c:pt>
                      <c:pt idx="6">
                        <c:v>9.8505428500000001</c:v>
                      </c:pt>
                      <c:pt idx="7">
                        <c:v>15.11239235</c:v>
                      </c:pt>
                      <c:pt idx="8">
                        <c:v>9.469872800000001</c:v>
                      </c:pt>
                      <c:pt idx="9">
                        <c:v>12.221637210000001</c:v>
                      </c:pt>
                      <c:pt idx="10">
                        <c:v>10.947747039999999</c:v>
                      </c:pt>
                      <c:pt idx="11">
                        <c:v>10.59256031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C94-4A9D-B585-B078947193EC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2"/>
          <c:order val="2"/>
          <c:tx>
            <c:strRef>
              <c:f>GRAPHYQUES!$N$166:$O$166</c:f>
              <c:strCache>
                <c:ptCount val="2"/>
                <c:pt idx="0">
                  <c:v>PRODUCTION DE L'EXERCICE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GRAPHYQUES!$P$166:$AA$166</c:f>
              <c:numCache>
                <c:formatCode>#,##0</c:formatCode>
                <c:ptCount val="12"/>
                <c:pt idx="0">
                  <c:v>8.8213863499999992</c:v>
                </c:pt>
                <c:pt idx="1">
                  <c:v>10.553953030000001</c:v>
                </c:pt>
                <c:pt idx="2">
                  <c:v>5.6112541600000005</c:v>
                </c:pt>
                <c:pt idx="3">
                  <c:v>6.9292830500000004</c:v>
                </c:pt>
                <c:pt idx="4">
                  <c:v>8.6937539099999999</c:v>
                </c:pt>
                <c:pt idx="5">
                  <c:v>12.864796140000001</c:v>
                </c:pt>
                <c:pt idx="6">
                  <c:v>6.2507096299999994</c:v>
                </c:pt>
                <c:pt idx="7">
                  <c:v>8.2278256200000008</c:v>
                </c:pt>
                <c:pt idx="8">
                  <c:v>17.03745297</c:v>
                </c:pt>
                <c:pt idx="9">
                  <c:v>21.432230130000004</c:v>
                </c:pt>
                <c:pt idx="10">
                  <c:v>22.344271560000003</c:v>
                </c:pt>
                <c:pt idx="11">
                  <c:v>88.26975019999999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1-4AFB-9975-A3A6121E835D}"/>
            </c:ext>
          </c:extLst>
        </c:ser>
        <c:ser>
          <c:idx val="3"/>
          <c:order val="3"/>
          <c:tx>
            <c:strRef>
              <c:f>GRAPHYQUES!$N$167:$O$167</c:f>
              <c:strCache>
                <c:ptCount val="2"/>
                <c:pt idx="0">
                  <c:v>PRODUCTION DE L'EXERCICE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GRAPHYQUES!$P$167:$AA$167</c:f>
              <c:numCache>
                <c:formatCode>#,##0</c:formatCode>
                <c:ptCount val="12"/>
                <c:pt idx="0">
                  <c:v>30.183023429999999</c:v>
                </c:pt>
                <c:pt idx="1">
                  <c:v>24.366563689999996</c:v>
                </c:pt>
                <c:pt idx="2">
                  <c:v>52.558266549999999</c:v>
                </c:pt>
                <c:pt idx="3">
                  <c:v>48.376112090000007</c:v>
                </c:pt>
                <c:pt idx="4">
                  <c:v>45.420320419999996</c:v>
                </c:pt>
                <c:pt idx="5">
                  <c:v>65.645581039999996</c:v>
                </c:pt>
                <c:pt idx="6">
                  <c:v>39.966941519999999</c:v>
                </c:pt>
                <c:pt idx="7">
                  <c:v>31.261256539999998</c:v>
                </c:pt>
                <c:pt idx="8">
                  <c:v>40.812441270000001</c:v>
                </c:pt>
                <c:pt idx="9">
                  <c:v>49.756221109999998</c:v>
                </c:pt>
                <c:pt idx="10">
                  <c:v>56.966228190000002</c:v>
                </c:pt>
                <c:pt idx="11">
                  <c:v>56.555725719999998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1-4AFB-9975-A3A6121E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GRAPHYQUES!$N$164:$O$164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GRAPHYQUES!$P$164:$AA$164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8.5236811999999986</c:v>
                      </c:pt>
                      <c:pt idx="1">
                        <c:v>7.3264657</c:v>
                      </c:pt>
                      <c:pt idx="2">
                        <c:v>2.5534080000000001</c:v>
                      </c:pt>
                      <c:pt idx="3">
                        <c:v>24.729842000000001</c:v>
                      </c:pt>
                      <c:pt idx="4">
                        <c:v>34.374382900000001</c:v>
                      </c:pt>
                      <c:pt idx="5">
                        <c:v>8.5850855999999993</c:v>
                      </c:pt>
                      <c:pt idx="6">
                        <c:v>16.5630582</c:v>
                      </c:pt>
                      <c:pt idx="7">
                        <c:v>22.796482600000001</c:v>
                      </c:pt>
                      <c:pt idx="8">
                        <c:v>29.134300149999998</c:v>
                      </c:pt>
                      <c:pt idx="9">
                        <c:v>56.564470960000001</c:v>
                      </c:pt>
                      <c:pt idx="10">
                        <c:v>47.0136222</c:v>
                      </c:pt>
                      <c:pt idx="11">
                        <c:v>151.10371544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71-4AFB-9975-A3A6121E83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GRAPHYQUES!$N$165:$O$165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GRAPHYQUES!$P$165:$AA$165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14.36139468</c:v>
                      </c:pt>
                      <c:pt idx="1">
                        <c:v>18.23792031</c:v>
                      </c:pt>
                      <c:pt idx="2">
                        <c:v>51.685455859999998</c:v>
                      </c:pt>
                      <c:pt idx="3">
                        <c:v>70.935830030000005</c:v>
                      </c:pt>
                      <c:pt idx="4">
                        <c:v>52.998015979999998</c:v>
                      </c:pt>
                      <c:pt idx="5">
                        <c:v>125.46546886</c:v>
                      </c:pt>
                      <c:pt idx="6">
                        <c:v>71.473074189999991</c:v>
                      </c:pt>
                      <c:pt idx="7">
                        <c:v>57.44329432</c:v>
                      </c:pt>
                      <c:pt idx="8">
                        <c:v>72.319234559999998</c:v>
                      </c:pt>
                      <c:pt idx="9">
                        <c:v>63.22831592</c:v>
                      </c:pt>
                      <c:pt idx="10">
                        <c:v>85.460444840000008</c:v>
                      </c:pt>
                      <c:pt idx="11">
                        <c:v>78.511679829999991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71-4AFB-9975-A3A6121E83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GRAPHYQUES!$N$168:$O$168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GRAPHYQUES!$P$168:$AA$168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10.717019279999999</c:v>
                      </c:pt>
                      <c:pt idx="1">
                        <c:v>8.9164474299999998</c:v>
                      </c:pt>
                      <c:pt idx="2">
                        <c:v>7.92720512</c:v>
                      </c:pt>
                      <c:pt idx="3">
                        <c:v>8.7665559200000001</c:v>
                      </c:pt>
                      <c:pt idx="4">
                        <c:v>7.1525286299999999</c:v>
                      </c:pt>
                      <c:pt idx="5">
                        <c:v>10.007923640000001</c:v>
                      </c:pt>
                      <c:pt idx="6">
                        <c:v>10.61352754</c:v>
                      </c:pt>
                      <c:pt idx="7">
                        <c:v>14.408748539999999</c:v>
                      </c:pt>
                      <c:pt idx="8">
                        <c:v>17.153611609999999</c:v>
                      </c:pt>
                      <c:pt idx="9">
                        <c:v>20.570214589999999</c:v>
                      </c:pt>
                      <c:pt idx="10">
                        <c:v>18.216417879999998</c:v>
                      </c:pt>
                      <c:pt idx="11">
                        <c:v>45.832103880000005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71-4AFB-9975-A3A6121E83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GRAPHYQUES!$N$169:$O$169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GRAPHYQUES!$P$169:$AA$169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27.754299979999999</c:v>
                      </c:pt>
                      <c:pt idx="1">
                        <c:v>21.40361068</c:v>
                      </c:pt>
                      <c:pt idx="2">
                        <c:v>37.180441109999997</c:v>
                      </c:pt>
                      <c:pt idx="3">
                        <c:v>31.69535183</c:v>
                      </c:pt>
                      <c:pt idx="4">
                        <c:v>31.998336420000001</c:v>
                      </c:pt>
                      <c:pt idx="5">
                        <c:v>37.95684962</c:v>
                      </c:pt>
                      <c:pt idx="6">
                        <c:v>20.73934083</c:v>
                      </c:pt>
                      <c:pt idx="7">
                        <c:v>19.538009930000001</c:v>
                      </c:pt>
                      <c:pt idx="8">
                        <c:v>27.236941089999998</c:v>
                      </c:pt>
                      <c:pt idx="9">
                        <c:v>33.834704810000005</c:v>
                      </c:pt>
                      <c:pt idx="10">
                        <c:v>35.947143629999999</c:v>
                      </c:pt>
                      <c:pt idx="11">
                        <c:v>38.185816810000006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71-4AFB-9975-A3A6121E835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GRAPHYQUES!$N$170:$O$170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GRAPHYQUES!$P$170:$AA$170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-3.2067991500000002</c:v>
                      </c:pt>
                      <c:pt idx="1">
                        <c:v>0.44264993000000158</c:v>
                      </c:pt>
                      <c:pt idx="2">
                        <c:v>-3.7467593599999995</c:v>
                      </c:pt>
                      <c:pt idx="3">
                        <c:v>-2.6665066499999983</c:v>
                      </c:pt>
                      <c:pt idx="4">
                        <c:v>0.70712785000000056</c:v>
                      </c:pt>
                      <c:pt idx="5">
                        <c:v>-1.5307169900000002</c:v>
                      </c:pt>
                      <c:pt idx="6">
                        <c:v>-7.4424004700000008</c:v>
                      </c:pt>
                      <c:pt idx="7">
                        <c:v>-7.2482544299999976</c:v>
                      </c:pt>
                      <c:pt idx="8">
                        <c:v>-3.1372027100000008</c:v>
                      </c:pt>
                      <c:pt idx="9">
                        <c:v>-1.058831419999998</c:v>
                      </c:pt>
                      <c:pt idx="10">
                        <c:v>8.4576930000003422E-2</c:v>
                      </c:pt>
                      <c:pt idx="11">
                        <c:v>32.225249819999988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71-4AFB-9975-A3A6121E83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GRAPHYQUES!$N$171:$O$171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GRAPHYQUES!$P$171:$AA$171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-0.50432053000000121</c:v>
                      </c:pt>
                      <c:pt idx="1">
                        <c:v>2.0002533099999988</c:v>
                      </c:pt>
                      <c:pt idx="2">
                        <c:v>13.138537629999995</c:v>
                      </c:pt>
                      <c:pt idx="3">
                        <c:v>15.063985330000005</c:v>
                      </c:pt>
                      <c:pt idx="4">
                        <c:v>11.002121319999993</c:v>
                      </c:pt>
                      <c:pt idx="5">
                        <c:v>25.720826010000007</c:v>
                      </c:pt>
                      <c:pt idx="6">
                        <c:v>16.166651979999997</c:v>
                      </c:pt>
                      <c:pt idx="7">
                        <c:v>9.9005444399999973</c:v>
                      </c:pt>
                      <c:pt idx="8">
                        <c:v>11.592446330000001</c:v>
                      </c:pt>
                      <c:pt idx="9">
                        <c:v>12.136803479999998</c:v>
                      </c:pt>
                      <c:pt idx="10">
                        <c:v>16.723275190000006</c:v>
                      </c:pt>
                      <c:pt idx="11">
                        <c:v>12.798695589999996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971-4AFB-9975-A3A6121E83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GRAPHYQUES!$N$172:$O$172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GRAPHYQUES!$P$172:$AA$172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9.0535402100000013</c:v>
                      </c:pt>
                      <c:pt idx="1">
                        <c:v>8.6326025000000008</c:v>
                      </c:pt>
                      <c:pt idx="2">
                        <c:v>10.456033199999998</c:v>
                      </c:pt>
                      <c:pt idx="3">
                        <c:v>9.10264411</c:v>
                      </c:pt>
                      <c:pt idx="4">
                        <c:v>8.7375176000000003</c:v>
                      </c:pt>
                      <c:pt idx="5">
                        <c:v>8.4767845199999989</c:v>
                      </c:pt>
                      <c:pt idx="6">
                        <c:v>10.97774051</c:v>
                      </c:pt>
                      <c:pt idx="7">
                        <c:v>10.47874648</c:v>
                      </c:pt>
                      <c:pt idx="8">
                        <c:v>9.3861235099999991</c:v>
                      </c:pt>
                      <c:pt idx="9">
                        <c:v>10.638240699999999</c:v>
                      </c:pt>
                      <c:pt idx="10">
                        <c:v>10.971405650000001</c:v>
                      </c:pt>
                      <c:pt idx="11">
                        <c:v>7.1845508200000001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71-4AFB-9975-A3A6121E835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GRAPHYQUES!$N$173:$O$173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GRAPHYQUES!$P$173:$AA$173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10.69275861</c:v>
                      </c:pt>
                      <c:pt idx="1">
                        <c:v>11.011773130000002</c:v>
                      </c:pt>
                      <c:pt idx="2">
                        <c:v>9.9528626300000003</c:v>
                      </c:pt>
                      <c:pt idx="3">
                        <c:v>10.923466509999999</c:v>
                      </c:pt>
                      <c:pt idx="4">
                        <c:v>10.666080259999999</c:v>
                      </c:pt>
                      <c:pt idx="5">
                        <c:v>9.8943938199999995</c:v>
                      </c:pt>
                      <c:pt idx="6">
                        <c:v>9.8505428500000001</c:v>
                      </c:pt>
                      <c:pt idx="7">
                        <c:v>15.11239235</c:v>
                      </c:pt>
                      <c:pt idx="8">
                        <c:v>9.469872800000001</c:v>
                      </c:pt>
                      <c:pt idx="9">
                        <c:v>12.221637210000001</c:v>
                      </c:pt>
                      <c:pt idx="10">
                        <c:v>10.947747039999999</c:v>
                      </c:pt>
                      <c:pt idx="11">
                        <c:v>10.59256031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71-4AFB-9975-A3A6121E835D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4"/>
          <c:order val="4"/>
          <c:tx>
            <c:strRef>
              <c:f>GRAPHYQUES!$N$168:$O$168</c:f>
              <c:strCache>
                <c:ptCount val="2"/>
                <c:pt idx="0">
                  <c:v>ACHATS CONSOMMES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GRAPHYQUES!$P$168:$AA$168</c:f>
              <c:numCache>
                <c:formatCode>#,##0</c:formatCode>
                <c:ptCount val="12"/>
                <c:pt idx="0">
                  <c:v>10.717019279999999</c:v>
                </c:pt>
                <c:pt idx="1">
                  <c:v>8.9164474299999998</c:v>
                </c:pt>
                <c:pt idx="2">
                  <c:v>7.92720512</c:v>
                </c:pt>
                <c:pt idx="3">
                  <c:v>8.7665559200000001</c:v>
                </c:pt>
                <c:pt idx="4">
                  <c:v>7.1525286299999999</c:v>
                </c:pt>
                <c:pt idx="5">
                  <c:v>10.007923640000001</c:v>
                </c:pt>
                <c:pt idx="6">
                  <c:v>10.61352754</c:v>
                </c:pt>
                <c:pt idx="7">
                  <c:v>14.408748539999999</c:v>
                </c:pt>
                <c:pt idx="8">
                  <c:v>17.153611609999999</c:v>
                </c:pt>
                <c:pt idx="9">
                  <c:v>20.570214589999999</c:v>
                </c:pt>
                <c:pt idx="10">
                  <c:v>18.216417879999998</c:v>
                </c:pt>
                <c:pt idx="11">
                  <c:v>45.832103880000005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3BE-A323-5E22A9C84631}"/>
            </c:ext>
          </c:extLst>
        </c:ser>
        <c:ser>
          <c:idx val="5"/>
          <c:order val="5"/>
          <c:tx>
            <c:strRef>
              <c:f>GRAPHYQUES!$N$169:$O$169</c:f>
              <c:strCache>
                <c:ptCount val="2"/>
                <c:pt idx="0">
                  <c:v>ACHATS CONSOMMES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GRAPHYQUES!$P$169:$AA$169</c:f>
              <c:numCache>
                <c:formatCode>#,##0</c:formatCode>
                <c:ptCount val="12"/>
                <c:pt idx="0">
                  <c:v>27.754299979999999</c:v>
                </c:pt>
                <c:pt idx="1">
                  <c:v>21.40361068</c:v>
                </c:pt>
                <c:pt idx="2">
                  <c:v>37.180441109999997</c:v>
                </c:pt>
                <c:pt idx="3">
                  <c:v>31.69535183</c:v>
                </c:pt>
                <c:pt idx="4">
                  <c:v>31.998336420000001</c:v>
                </c:pt>
                <c:pt idx="5">
                  <c:v>37.95684962</c:v>
                </c:pt>
                <c:pt idx="6">
                  <c:v>20.73934083</c:v>
                </c:pt>
                <c:pt idx="7">
                  <c:v>19.538009930000001</c:v>
                </c:pt>
                <c:pt idx="8">
                  <c:v>27.236941089999998</c:v>
                </c:pt>
                <c:pt idx="9">
                  <c:v>33.834704810000005</c:v>
                </c:pt>
                <c:pt idx="10">
                  <c:v>35.947143629999999</c:v>
                </c:pt>
                <c:pt idx="11">
                  <c:v>38.185816810000006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4-43BE-A323-5E22A9C8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GRAPHYQUES!$N$164:$O$164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GRAPHYQUES!$P$164:$AA$164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8.5236811999999986</c:v>
                      </c:pt>
                      <c:pt idx="1">
                        <c:v>7.3264657</c:v>
                      </c:pt>
                      <c:pt idx="2">
                        <c:v>2.5534080000000001</c:v>
                      </c:pt>
                      <c:pt idx="3">
                        <c:v>24.729842000000001</c:v>
                      </c:pt>
                      <c:pt idx="4">
                        <c:v>34.374382900000001</c:v>
                      </c:pt>
                      <c:pt idx="5">
                        <c:v>8.5850855999999993</c:v>
                      </c:pt>
                      <c:pt idx="6">
                        <c:v>16.5630582</c:v>
                      </c:pt>
                      <c:pt idx="7">
                        <c:v>22.796482600000001</c:v>
                      </c:pt>
                      <c:pt idx="8">
                        <c:v>29.134300149999998</c:v>
                      </c:pt>
                      <c:pt idx="9">
                        <c:v>56.564470960000001</c:v>
                      </c:pt>
                      <c:pt idx="10">
                        <c:v>47.0136222</c:v>
                      </c:pt>
                      <c:pt idx="11">
                        <c:v>151.10371544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914-43BE-A323-5E22A9C846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GRAPHYQUES!$N$165:$O$165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GRAPHYQUES!$P$165:$AA$165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14.36139468</c:v>
                      </c:pt>
                      <c:pt idx="1">
                        <c:v>18.23792031</c:v>
                      </c:pt>
                      <c:pt idx="2">
                        <c:v>51.685455859999998</c:v>
                      </c:pt>
                      <c:pt idx="3">
                        <c:v>70.935830030000005</c:v>
                      </c:pt>
                      <c:pt idx="4">
                        <c:v>52.998015979999998</c:v>
                      </c:pt>
                      <c:pt idx="5">
                        <c:v>125.46546886</c:v>
                      </c:pt>
                      <c:pt idx="6">
                        <c:v>71.473074189999991</c:v>
                      </c:pt>
                      <c:pt idx="7">
                        <c:v>57.44329432</c:v>
                      </c:pt>
                      <c:pt idx="8">
                        <c:v>72.319234559999998</c:v>
                      </c:pt>
                      <c:pt idx="9">
                        <c:v>63.22831592</c:v>
                      </c:pt>
                      <c:pt idx="10">
                        <c:v>85.460444840000008</c:v>
                      </c:pt>
                      <c:pt idx="11">
                        <c:v>78.511679829999991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14-43BE-A323-5E22A9C846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GRAPHYQUES!$N$166:$O$166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GRAPHYQUES!$P$166:$AA$166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8.8213863499999992</c:v>
                      </c:pt>
                      <c:pt idx="1">
                        <c:v>10.553953030000001</c:v>
                      </c:pt>
                      <c:pt idx="2">
                        <c:v>5.6112541600000005</c:v>
                      </c:pt>
                      <c:pt idx="3">
                        <c:v>6.9292830500000004</c:v>
                      </c:pt>
                      <c:pt idx="4">
                        <c:v>8.6937539099999999</c:v>
                      </c:pt>
                      <c:pt idx="5">
                        <c:v>12.864796140000001</c:v>
                      </c:pt>
                      <c:pt idx="6">
                        <c:v>6.2507096299999994</c:v>
                      </c:pt>
                      <c:pt idx="7">
                        <c:v>8.2278256200000008</c:v>
                      </c:pt>
                      <c:pt idx="8">
                        <c:v>17.03745297</c:v>
                      </c:pt>
                      <c:pt idx="9">
                        <c:v>21.432230130000004</c:v>
                      </c:pt>
                      <c:pt idx="10">
                        <c:v>22.344271560000003</c:v>
                      </c:pt>
                      <c:pt idx="11">
                        <c:v>88.26975019999999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14-43BE-A323-5E22A9C846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GRAPHYQUES!$N$167:$O$167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GRAPHYQUES!$P$167:$AA$167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30.183023429999999</c:v>
                      </c:pt>
                      <c:pt idx="1">
                        <c:v>24.366563689999996</c:v>
                      </c:pt>
                      <c:pt idx="2">
                        <c:v>52.558266549999999</c:v>
                      </c:pt>
                      <c:pt idx="3">
                        <c:v>48.376112090000007</c:v>
                      </c:pt>
                      <c:pt idx="4">
                        <c:v>45.420320419999996</c:v>
                      </c:pt>
                      <c:pt idx="5">
                        <c:v>65.645581039999996</c:v>
                      </c:pt>
                      <c:pt idx="6">
                        <c:v>39.966941519999999</c:v>
                      </c:pt>
                      <c:pt idx="7">
                        <c:v>31.261256539999998</c:v>
                      </c:pt>
                      <c:pt idx="8">
                        <c:v>40.812441270000001</c:v>
                      </c:pt>
                      <c:pt idx="9">
                        <c:v>49.756221109999998</c:v>
                      </c:pt>
                      <c:pt idx="10">
                        <c:v>56.966228190000002</c:v>
                      </c:pt>
                      <c:pt idx="11">
                        <c:v>56.555725719999998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14-43BE-A323-5E22A9C846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GRAPHYQUES!$N$170:$O$170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GRAPHYQUES!$P$170:$AA$170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-3.2067991500000002</c:v>
                      </c:pt>
                      <c:pt idx="1">
                        <c:v>0.44264993000000158</c:v>
                      </c:pt>
                      <c:pt idx="2">
                        <c:v>-3.7467593599999995</c:v>
                      </c:pt>
                      <c:pt idx="3">
                        <c:v>-2.6665066499999983</c:v>
                      </c:pt>
                      <c:pt idx="4">
                        <c:v>0.70712785000000056</c:v>
                      </c:pt>
                      <c:pt idx="5">
                        <c:v>-1.5307169900000002</c:v>
                      </c:pt>
                      <c:pt idx="6">
                        <c:v>-7.4424004700000008</c:v>
                      </c:pt>
                      <c:pt idx="7">
                        <c:v>-7.2482544299999976</c:v>
                      </c:pt>
                      <c:pt idx="8">
                        <c:v>-3.1372027100000008</c:v>
                      </c:pt>
                      <c:pt idx="9">
                        <c:v>-1.058831419999998</c:v>
                      </c:pt>
                      <c:pt idx="10">
                        <c:v>8.4576930000003422E-2</c:v>
                      </c:pt>
                      <c:pt idx="11">
                        <c:v>32.225249819999988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14-43BE-A323-5E22A9C846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GRAPHYQUES!$N$171:$O$171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GRAPHYQUES!$P$171:$AA$171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-0.50432053000000121</c:v>
                      </c:pt>
                      <c:pt idx="1">
                        <c:v>2.0002533099999988</c:v>
                      </c:pt>
                      <c:pt idx="2">
                        <c:v>13.138537629999995</c:v>
                      </c:pt>
                      <c:pt idx="3">
                        <c:v>15.063985330000005</c:v>
                      </c:pt>
                      <c:pt idx="4">
                        <c:v>11.002121319999993</c:v>
                      </c:pt>
                      <c:pt idx="5">
                        <c:v>25.720826010000007</c:v>
                      </c:pt>
                      <c:pt idx="6">
                        <c:v>16.166651979999997</c:v>
                      </c:pt>
                      <c:pt idx="7">
                        <c:v>9.9005444399999973</c:v>
                      </c:pt>
                      <c:pt idx="8">
                        <c:v>11.592446330000001</c:v>
                      </c:pt>
                      <c:pt idx="9">
                        <c:v>12.136803479999998</c:v>
                      </c:pt>
                      <c:pt idx="10">
                        <c:v>16.723275190000006</c:v>
                      </c:pt>
                      <c:pt idx="11">
                        <c:v>12.798695589999996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14-43BE-A323-5E22A9C8463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GRAPHYQUES!$N$172:$O$172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GRAPHYQUES!$P$172:$AA$172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9.0535402100000013</c:v>
                      </c:pt>
                      <c:pt idx="1">
                        <c:v>8.6326025000000008</c:v>
                      </c:pt>
                      <c:pt idx="2">
                        <c:v>10.456033199999998</c:v>
                      </c:pt>
                      <c:pt idx="3">
                        <c:v>9.10264411</c:v>
                      </c:pt>
                      <c:pt idx="4">
                        <c:v>8.7375176000000003</c:v>
                      </c:pt>
                      <c:pt idx="5">
                        <c:v>8.4767845199999989</c:v>
                      </c:pt>
                      <c:pt idx="6">
                        <c:v>10.97774051</c:v>
                      </c:pt>
                      <c:pt idx="7">
                        <c:v>10.47874648</c:v>
                      </c:pt>
                      <c:pt idx="8">
                        <c:v>9.3861235099999991</c:v>
                      </c:pt>
                      <c:pt idx="9">
                        <c:v>10.638240699999999</c:v>
                      </c:pt>
                      <c:pt idx="10">
                        <c:v>10.971405650000001</c:v>
                      </c:pt>
                      <c:pt idx="11">
                        <c:v>7.1845508200000001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14-43BE-A323-5E22A9C8463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GRAPHYQUES!$N$173:$O$173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GRAPHYQUES!$P$173:$AA$173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10.69275861</c:v>
                      </c:pt>
                      <c:pt idx="1">
                        <c:v>11.011773130000002</c:v>
                      </c:pt>
                      <c:pt idx="2">
                        <c:v>9.9528626300000003</c:v>
                      </c:pt>
                      <c:pt idx="3">
                        <c:v>10.923466509999999</c:v>
                      </c:pt>
                      <c:pt idx="4">
                        <c:v>10.666080259999999</c:v>
                      </c:pt>
                      <c:pt idx="5">
                        <c:v>9.8943938199999995</c:v>
                      </c:pt>
                      <c:pt idx="6">
                        <c:v>9.8505428500000001</c:v>
                      </c:pt>
                      <c:pt idx="7">
                        <c:v>15.11239235</c:v>
                      </c:pt>
                      <c:pt idx="8">
                        <c:v>9.469872800000001</c:v>
                      </c:pt>
                      <c:pt idx="9">
                        <c:v>12.221637210000001</c:v>
                      </c:pt>
                      <c:pt idx="10">
                        <c:v>10.947747039999999</c:v>
                      </c:pt>
                      <c:pt idx="11">
                        <c:v>10.59256031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14-43BE-A323-5E22A9C84631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8"/>
          <c:order val="8"/>
          <c:tx>
            <c:strRef>
              <c:f>GRAPHYQUES!$N$172:$O$172</c:f>
              <c:strCache>
                <c:ptCount val="2"/>
                <c:pt idx="0">
                  <c:v>CHARGES DE PERSONNEL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GRAPHYQUES!$P$172:$AA$172</c:f>
              <c:numCache>
                <c:formatCode>#,##0</c:formatCode>
                <c:ptCount val="12"/>
                <c:pt idx="0">
                  <c:v>9.0535402100000013</c:v>
                </c:pt>
                <c:pt idx="1">
                  <c:v>8.6326025000000008</c:v>
                </c:pt>
                <c:pt idx="2">
                  <c:v>10.456033199999998</c:v>
                </c:pt>
                <c:pt idx="3">
                  <c:v>9.10264411</c:v>
                </c:pt>
                <c:pt idx="4">
                  <c:v>8.7375176000000003</c:v>
                </c:pt>
                <c:pt idx="5">
                  <c:v>8.4767845199999989</c:v>
                </c:pt>
                <c:pt idx="6">
                  <c:v>10.97774051</c:v>
                </c:pt>
                <c:pt idx="7">
                  <c:v>10.47874648</c:v>
                </c:pt>
                <c:pt idx="8">
                  <c:v>9.3861235099999991</c:v>
                </c:pt>
                <c:pt idx="9">
                  <c:v>10.638240699999999</c:v>
                </c:pt>
                <c:pt idx="10">
                  <c:v>10.971405650000001</c:v>
                </c:pt>
                <c:pt idx="11">
                  <c:v>7.1845508200000001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B-4A30-BFA5-C49AD2C15B34}"/>
            </c:ext>
          </c:extLst>
        </c:ser>
        <c:ser>
          <c:idx val="9"/>
          <c:order val="9"/>
          <c:tx>
            <c:strRef>
              <c:f>GRAPHYQUES!$N$173:$O$173</c:f>
              <c:strCache>
                <c:ptCount val="2"/>
                <c:pt idx="0">
                  <c:v>CHARGES DE PERSONNEL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GRAPHYQUES!$P$173:$AA$173</c:f>
              <c:numCache>
                <c:formatCode>#,##0</c:formatCode>
                <c:ptCount val="12"/>
                <c:pt idx="0">
                  <c:v>10.69275861</c:v>
                </c:pt>
                <c:pt idx="1">
                  <c:v>11.011773130000002</c:v>
                </c:pt>
                <c:pt idx="2">
                  <c:v>9.9528626300000003</c:v>
                </c:pt>
                <c:pt idx="3">
                  <c:v>10.923466509999999</c:v>
                </c:pt>
                <c:pt idx="4">
                  <c:v>10.666080259999999</c:v>
                </c:pt>
                <c:pt idx="5">
                  <c:v>9.8943938199999995</c:v>
                </c:pt>
                <c:pt idx="6">
                  <c:v>9.8505428500000001</c:v>
                </c:pt>
                <c:pt idx="7">
                  <c:v>15.11239235</c:v>
                </c:pt>
                <c:pt idx="8">
                  <c:v>9.469872800000001</c:v>
                </c:pt>
                <c:pt idx="9">
                  <c:v>12.221637210000001</c:v>
                </c:pt>
                <c:pt idx="10">
                  <c:v>10.947747039999999</c:v>
                </c:pt>
                <c:pt idx="11">
                  <c:v>10.59256031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B-4A30-BFA5-C49AD2C1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GRAPHYQUES!$N$164:$O$164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GRAPHYQUES!$P$164:$AA$164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8.5236811999999986</c:v>
                      </c:pt>
                      <c:pt idx="1">
                        <c:v>7.3264657</c:v>
                      </c:pt>
                      <c:pt idx="2">
                        <c:v>2.5534080000000001</c:v>
                      </c:pt>
                      <c:pt idx="3">
                        <c:v>24.729842000000001</c:v>
                      </c:pt>
                      <c:pt idx="4">
                        <c:v>34.374382900000001</c:v>
                      </c:pt>
                      <c:pt idx="5">
                        <c:v>8.5850855999999993</c:v>
                      </c:pt>
                      <c:pt idx="6">
                        <c:v>16.5630582</c:v>
                      </c:pt>
                      <c:pt idx="7">
                        <c:v>22.796482600000001</c:v>
                      </c:pt>
                      <c:pt idx="8">
                        <c:v>29.134300149999998</c:v>
                      </c:pt>
                      <c:pt idx="9">
                        <c:v>56.564470960000001</c:v>
                      </c:pt>
                      <c:pt idx="10">
                        <c:v>47.0136222</c:v>
                      </c:pt>
                      <c:pt idx="11">
                        <c:v>151.10371544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DB-4A30-BFA5-C49AD2C15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GRAPHYQUES!$N$165:$O$165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GRAPHYQUES!$P$165:$AA$165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14.36139468</c:v>
                      </c:pt>
                      <c:pt idx="1">
                        <c:v>18.23792031</c:v>
                      </c:pt>
                      <c:pt idx="2">
                        <c:v>51.685455859999998</c:v>
                      </c:pt>
                      <c:pt idx="3">
                        <c:v>70.935830030000005</c:v>
                      </c:pt>
                      <c:pt idx="4">
                        <c:v>52.998015979999998</c:v>
                      </c:pt>
                      <c:pt idx="5">
                        <c:v>125.46546886</c:v>
                      </c:pt>
                      <c:pt idx="6">
                        <c:v>71.473074189999991</c:v>
                      </c:pt>
                      <c:pt idx="7">
                        <c:v>57.44329432</c:v>
                      </c:pt>
                      <c:pt idx="8">
                        <c:v>72.319234559999998</c:v>
                      </c:pt>
                      <c:pt idx="9">
                        <c:v>63.22831592</c:v>
                      </c:pt>
                      <c:pt idx="10">
                        <c:v>85.460444840000008</c:v>
                      </c:pt>
                      <c:pt idx="11">
                        <c:v>78.511679829999991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DB-4A30-BFA5-C49AD2C15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GRAPHYQUES!$N$166:$O$166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GRAPHYQUES!$P$166:$AA$166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8.8213863499999992</c:v>
                      </c:pt>
                      <c:pt idx="1">
                        <c:v>10.553953030000001</c:v>
                      </c:pt>
                      <c:pt idx="2">
                        <c:v>5.6112541600000005</c:v>
                      </c:pt>
                      <c:pt idx="3">
                        <c:v>6.9292830500000004</c:v>
                      </c:pt>
                      <c:pt idx="4">
                        <c:v>8.6937539099999999</c:v>
                      </c:pt>
                      <c:pt idx="5">
                        <c:v>12.864796140000001</c:v>
                      </c:pt>
                      <c:pt idx="6">
                        <c:v>6.2507096299999994</c:v>
                      </c:pt>
                      <c:pt idx="7">
                        <c:v>8.2278256200000008</c:v>
                      </c:pt>
                      <c:pt idx="8">
                        <c:v>17.03745297</c:v>
                      </c:pt>
                      <c:pt idx="9">
                        <c:v>21.432230130000004</c:v>
                      </c:pt>
                      <c:pt idx="10">
                        <c:v>22.344271560000003</c:v>
                      </c:pt>
                      <c:pt idx="11">
                        <c:v>88.26975019999999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DB-4A30-BFA5-C49AD2C15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GRAPHYQUES!$N$167:$O$167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GRAPHYQUES!$P$167:$AA$167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30.183023429999999</c:v>
                      </c:pt>
                      <c:pt idx="1">
                        <c:v>24.366563689999996</c:v>
                      </c:pt>
                      <c:pt idx="2">
                        <c:v>52.558266549999999</c:v>
                      </c:pt>
                      <c:pt idx="3">
                        <c:v>48.376112090000007</c:v>
                      </c:pt>
                      <c:pt idx="4">
                        <c:v>45.420320419999996</c:v>
                      </c:pt>
                      <c:pt idx="5">
                        <c:v>65.645581039999996</c:v>
                      </c:pt>
                      <c:pt idx="6">
                        <c:v>39.966941519999999</c:v>
                      </c:pt>
                      <c:pt idx="7">
                        <c:v>31.261256539999998</c:v>
                      </c:pt>
                      <c:pt idx="8">
                        <c:v>40.812441270000001</c:v>
                      </c:pt>
                      <c:pt idx="9">
                        <c:v>49.756221109999998</c:v>
                      </c:pt>
                      <c:pt idx="10">
                        <c:v>56.966228190000002</c:v>
                      </c:pt>
                      <c:pt idx="11">
                        <c:v>56.555725719999998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DB-4A30-BFA5-C49AD2C15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GRAPHYQUES!$N$168:$O$168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GRAPHYQUES!$P$168:$AA$168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10.717019279999999</c:v>
                      </c:pt>
                      <c:pt idx="1">
                        <c:v>8.9164474299999998</c:v>
                      </c:pt>
                      <c:pt idx="2">
                        <c:v>7.92720512</c:v>
                      </c:pt>
                      <c:pt idx="3">
                        <c:v>8.7665559200000001</c:v>
                      </c:pt>
                      <c:pt idx="4">
                        <c:v>7.1525286299999999</c:v>
                      </c:pt>
                      <c:pt idx="5">
                        <c:v>10.007923640000001</c:v>
                      </c:pt>
                      <c:pt idx="6">
                        <c:v>10.61352754</c:v>
                      </c:pt>
                      <c:pt idx="7">
                        <c:v>14.408748539999999</c:v>
                      </c:pt>
                      <c:pt idx="8">
                        <c:v>17.153611609999999</c:v>
                      </c:pt>
                      <c:pt idx="9">
                        <c:v>20.570214589999999</c:v>
                      </c:pt>
                      <c:pt idx="10">
                        <c:v>18.216417879999998</c:v>
                      </c:pt>
                      <c:pt idx="11">
                        <c:v>45.832103880000005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DB-4A30-BFA5-C49AD2C15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GRAPHYQUES!$N$169:$O$169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GRAPHYQUES!$P$169:$AA$169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27.754299979999999</c:v>
                      </c:pt>
                      <c:pt idx="1">
                        <c:v>21.40361068</c:v>
                      </c:pt>
                      <c:pt idx="2">
                        <c:v>37.180441109999997</c:v>
                      </c:pt>
                      <c:pt idx="3">
                        <c:v>31.69535183</c:v>
                      </c:pt>
                      <c:pt idx="4">
                        <c:v>31.998336420000001</c:v>
                      </c:pt>
                      <c:pt idx="5">
                        <c:v>37.95684962</c:v>
                      </c:pt>
                      <c:pt idx="6">
                        <c:v>20.73934083</c:v>
                      </c:pt>
                      <c:pt idx="7">
                        <c:v>19.538009930000001</c:v>
                      </c:pt>
                      <c:pt idx="8">
                        <c:v>27.236941089999998</c:v>
                      </c:pt>
                      <c:pt idx="9">
                        <c:v>33.834704810000005</c:v>
                      </c:pt>
                      <c:pt idx="10">
                        <c:v>35.947143629999999</c:v>
                      </c:pt>
                      <c:pt idx="11">
                        <c:v>38.185816810000006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DB-4A30-BFA5-C49AD2C15B3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GRAPHYQUES!$N$170:$O$170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GRAPHYQUES!$P$170:$AA$170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-3.2067991500000002</c:v>
                      </c:pt>
                      <c:pt idx="1">
                        <c:v>0.44264993000000158</c:v>
                      </c:pt>
                      <c:pt idx="2">
                        <c:v>-3.7467593599999995</c:v>
                      </c:pt>
                      <c:pt idx="3">
                        <c:v>-2.6665066499999983</c:v>
                      </c:pt>
                      <c:pt idx="4">
                        <c:v>0.70712785000000056</c:v>
                      </c:pt>
                      <c:pt idx="5">
                        <c:v>-1.5307169900000002</c:v>
                      </c:pt>
                      <c:pt idx="6">
                        <c:v>-7.4424004700000008</c:v>
                      </c:pt>
                      <c:pt idx="7">
                        <c:v>-7.2482544299999976</c:v>
                      </c:pt>
                      <c:pt idx="8">
                        <c:v>-3.1372027100000008</c:v>
                      </c:pt>
                      <c:pt idx="9">
                        <c:v>-1.058831419999998</c:v>
                      </c:pt>
                      <c:pt idx="10">
                        <c:v>8.4576930000003422E-2</c:v>
                      </c:pt>
                      <c:pt idx="11">
                        <c:v>32.225249819999988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DB-4A30-BFA5-C49AD2C15B3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GRAPHYQUES!$N$171:$O$171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GRAPHYQUES!$P$171:$AA$171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-0.50432053000000121</c:v>
                      </c:pt>
                      <c:pt idx="1">
                        <c:v>2.0002533099999988</c:v>
                      </c:pt>
                      <c:pt idx="2">
                        <c:v>13.138537629999995</c:v>
                      </c:pt>
                      <c:pt idx="3">
                        <c:v>15.063985330000005</c:v>
                      </c:pt>
                      <c:pt idx="4">
                        <c:v>11.002121319999993</c:v>
                      </c:pt>
                      <c:pt idx="5">
                        <c:v>25.720826010000007</c:v>
                      </c:pt>
                      <c:pt idx="6">
                        <c:v>16.166651979999997</c:v>
                      </c:pt>
                      <c:pt idx="7">
                        <c:v>9.9005444399999973</c:v>
                      </c:pt>
                      <c:pt idx="8">
                        <c:v>11.592446330000001</c:v>
                      </c:pt>
                      <c:pt idx="9">
                        <c:v>12.136803479999998</c:v>
                      </c:pt>
                      <c:pt idx="10">
                        <c:v>16.723275190000006</c:v>
                      </c:pt>
                      <c:pt idx="11">
                        <c:v>12.798695589999996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DB-4A30-BFA5-C49AD2C15B34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2"/>
          <c:order val="2"/>
          <c:tx>
            <c:strRef>
              <c:f>GRAPHYQUES!$N$26:$O$26</c:f>
              <c:strCache>
                <c:ptCount val="2"/>
                <c:pt idx="0">
                  <c:v>PRODUCTION DE L'EXERCICE</c:v>
                </c:pt>
                <c:pt idx="1">
                  <c:v>2020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  <c:extLst xmlns:c15="http://schemas.microsoft.com/office/drawing/2012/chart"/>
            </c:strRef>
          </c:cat>
          <c:val>
            <c:numRef>
              <c:f>GRAPHYQUES!$P$26:$AA$26</c:f>
              <c:numCache>
                <c:formatCode>#,##0</c:formatCode>
                <c:ptCount val="12"/>
                <c:pt idx="0">
                  <c:v>120.98144435</c:v>
                </c:pt>
                <c:pt idx="1">
                  <c:v>132.78218099999998</c:v>
                </c:pt>
                <c:pt idx="2">
                  <c:v>130.87319431</c:v>
                </c:pt>
                <c:pt idx="3">
                  <c:v>72.057038959999986</c:v>
                </c:pt>
                <c:pt idx="4">
                  <c:v>106.01176556999999</c:v>
                </c:pt>
                <c:pt idx="5">
                  <c:v>204.11082909999999</c:v>
                </c:pt>
                <c:pt idx="6">
                  <c:v>109.31915982000001</c:v>
                </c:pt>
                <c:pt idx="7">
                  <c:v>151.17009121999999</c:v>
                </c:pt>
                <c:pt idx="8">
                  <c:v>185.38558771000004</c:v>
                </c:pt>
                <c:pt idx="9">
                  <c:v>216.24811851000001</c:v>
                </c:pt>
                <c:pt idx="10">
                  <c:v>193.57986073000001</c:v>
                </c:pt>
                <c:pt idx="11">
                  <c:v>384.64935160000005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446-46CE-A8CE-1533440D35E7}"/>
            </c:ext>
          </c:extLst>
        </c:ser>
        <c:ser>
          <c:idx val="3"/>
          <c:order val="3"/>
          <c:tx>
            <c:strRef>
              <c:f>GRAPHYQUES!$N$27:$O$27</c:f>
              <c:strCache>
                <c:ptCount val="2"/>
                <c:pt idx="0">
                  <c:v>PRODUCTION DE L'EXERCICE</c:v>
                </c:pt>
                <c:pt idx="1">
                  <c:v>2021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  <c:extLst xmlns:c15="http://schemas.microsoft.com/office/drawing/2012/chart"/>
            </c:strRef>
          </c:cat>
          <c:val>
            <c:numRef>
              <c:f>GRAPHYQUES!$P$27:$AA$27</c:f>
              <c:numCache>
                <c:formatCode>#,##0</c:formatCode>
                <c:ptCount val="12"/>
                <c:pt idx="0">
                  <c:v>213.49584070999998</c:v>
                </c:pt>
                <c:pt idx="1">
                  <c:v>172.19152550999999</c:v>
                </c:pt>
                <c:pt idx="2">
                  <c:v>281.07496621000001</c:v>
                </c:pt>
                <c:pt idx="3">
                  <c:v>185.04600934000001</c:v>
                </c:pt>
                <c:pt idx="4">
                  <c:v>204.53502576</c:v>
                </c:pt>
                <c:pt idx="5">
                  <c:v>228.14084779000001</c:v>
                </c:pt>
                <c:pt idx="6">
                  <c:v>137.21407348</c:v>
                </c:pt>
                <c:pt idx="7">
                  <c:v>173.21041891000002</c:v>
                </c:pt>
                <c:pt idx="8">
                  <c:v>184.74831594</c:v>
                </c:pt>
                <c:pt idx="9">
                  <c:v>306.76374673000004</c:v>
                </c:pt>
                <c:pt idx="10">
                  <c:v>273.27079308999998</c:v>
                </c:pt>
                <c:pt idx="11">
                  <c:v>389.44742737999997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7446-46CE-A8CE-1533440D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GRAPHYQUES!$N$24:$O$24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GRAPHYQUES!$P$24:$AA$24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72.594616900000005</c:v>
                      </c:pt>
                      <c:pt idx="1">
                        <c:v>94.859717139999987</c:v>
                      </c:pt>
                      <c:pt idx="2">
                        <c:v>93.211833339999998</c:v>
                      </c:pt>
                      <c:pt idx="3">
                        <c:v>96.2204464</c:v>
                      </c:pt>
                      <c:pt idx="4">
                        <c:v>152.15987580000001</c:v>
                      </c:pt>
                      <c:pt idx="5">
                        <c:v>169.56078120000001</c:v>
                      </c:pt>
                      <c:pt idx="6">
                        <c:v>126.70165040000001</c:v>
                      </c:pt>
                      <c:pt idx="7">
                        <c:v>156.0586892</c:v>
                      </c:pt>
                      <c:pt idx="8">
                        <c:v>207.67180429000001</c:v>
                      </c:pt>
                      <c:pt idx="9">
                        <c:v>217.80896014000001</c:v>
                      </c:pt>
                      <c:pt idx="10">
                        <c:v>235.14587037000001</c:v>
                      </c:pt>
                      <c:pt idx="11">
                        <c:v>486.57359730000007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46-46CE-A8CE-1533440D35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GRAPHYQUES!$N$25:$O$25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GRAPHYQUES!$P$25:$AA$25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92.184710269999997</c:v>
                      </c:pt>
                      <c:pt idx="1">
                        <c:v>98.325431250000008</c:v>
                      </c:pt>
                      <c:pt idx="2">
                        <c:v>192.75221775999998</c:v>
                      </c:pt>
                      <c:pt idx="3">
                        <c:v>197.58164563000003</c:v>
                      </c:pt>
                      <c:pt idx="4">
                        <c:v>248.02460159999998</c:v>
                      </c:pt>
                      <c:pt idx="5">
                        <c:v>345.35723625999998</c:v>
                      </c:pt>
                      <c:pt idx="6">
                        <c:v>147.34745900999999</c:v>
                      </c:pt>
                      <c:pt idx="7">
                        <c:v>197.25824418000002</c:v>
                      </c:pt>
                      <c:pt idx="8">
                        <c:v>220.36779822</c:v>
                      </c:pt>
                      <c:pt idx="9">
                        <c:v>266.37292930000001</c:v>
                      </c:pt>
                      <c:pt idx="10">
                        <c:v>294.23575901000004</c:v>
                      </c:pt>
                      <c:pt idx="11">
                        <c:v>334.56219385999998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46-46CE-A8CE-1533440D35E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GRAPHYQUES!$N$28:$O$28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GRAPHYQUES!$P$28:$AA$28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104.06932908000002</c:v>
                      </c:pt>
                      <c:pt idx="1">
                        <c:v>101.10086497</c:v>
                      </c:pt>
                      <c:pt idx="2">
                        <c:v>99.773181240000014</c:v>
                      </c:pt>
                      <c:pt idx="3">
                        <c:v>60.573071120000002</c:v>
                      </c:pt>
                      <c:pt idx="4">
                        <c:v>66.085679040000002</c:v>
                      </c:pt>
                      <c:pt idx="5">
                        <c:v>140.41066816</c:v>
                      </c:pt>
                      <c:pt idx="6">
                        <c:v>83.361222760000004</c:v>
                      </c:pt>
                      <c:pt idx="7">
                        <c:v>122.16785022000001</c:v>
                      </c:pt>
                      <c:pt idx="8">
                        <c:v>131.82940602000002</c:v>
                      </c:pt>
                      <c:pt idx="9">
                        <c:v>173.18429282999998</c:v>
                      </c:pt>
                      <c:pt idx="10">
                        <c:v>128.4683775</c:v>
                      </c:pt>
                      <c:pt idx="11">
                        <c:v>222.11881713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46-46CE-A8CE-1533440D35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GRAPHYQUES!$N$29:$O$29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GRAPHYQUES!$P$29:$AA$29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162.49593348999997</c:v>
                      </c:pt>
                      <c:pt idx="1">
                        <c:v>126.88893487</c:v>
                      </c:pt>
                      <c:pt idx="2">
                        <c:v>214.45810731</c:v>
                      </c:pt>
                      <c:pt idx="3">
                        <c:v>129.19147074</c:v>
                      </c:pt>
                      <c:pt idx="4">
                        <c:v>133.63691832000001</c:v>
                      </c:pt>
                      <c:pt idx="5">
                        <c:v>150.17935711999999</c:v>
                      </c:pt>
                      <c:pt idx="6">
                        <c:v>85.600110349999994</c:v>
                      </c:pt>
                      <c:pt idx="7">
                        <c:v>118.37223598999999</c:v>
                      </c:pt>
                      <c:pt idx="8">
                        <c:v>121.96870238000001</c:v>
                      </c:pt>
                      <c:pt idx="9">
                        <c:v>204.20791288999999</c:v>
                      </c:pt>
                      <c:pt idx="10">
                        <c:v>161.21316583999999</c:v>
                      </c:pt>
                      <c:pt idx="11">
                        <c:v>260.56986866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46-46CE-A8CE-1533440D35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GRAPHYQUES!$N$30:$O$30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GRAPHYQUES!$P$30:$AA$30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7.0997781899999932</c:v>
                      </c:pt>
                      <c:pt idx="1">
                        <c:v>23.411253420000001</c:v>
                      </c:pt>
                      <c:pt idx="2">
                        <c:v>23.481179669999989</c:v>
                      </c:pt>
                      <c:pt idx="3">
                        <c:v>5.6236285199999987</c:v>
                      </c:pt>
                      <c:pt idx="4">
                        <c:v>31.658686349999989</c:v>
                      </c:pt>
                      <c:pt idx="5">
                        <c:v>46.742336650000013</c:v>
                      </c:pt>
                      <c:pt idx="6">
                        <c:v>10.798667260000011</c:v>
                      </c:pt>
                      <c:pt idx="7">
                        <c:v>17.343832919999997</c:v>
                      </c:pt>
                      <c:pt idx="8">
                        <c:v>39.75473324</c:v>
                      </c:pt>
                      <c:pt idx="9">
                        <c:v>28.465406550000033</c:v>
                      </c:pt>
                      <c:pt idx="10">
                        <c:v>46.099559849999999</c:v>
                      </c:pt>
                      <c:pt idx="11">
                        <c:v>130.49365509000006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46-46CE-A8CE-1533440D35E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GRAPHYQUES!$N$31:$O$31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GRAPHYQUES!$P$31:$AA$31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38.320009699999986</c:v>
                      </c:pt>
                      <c:pt idx="1">
                        <c:v>34.792105439999972</c:v>
                      </c:pt>
                      <c:pt idx="2">
                        <c:v>53.791898949999982</c:v>
                      </c:pt>
                      <c:pt idx="3">
                        <c:v>45.37193597000001</c:v>
                      </c:pt>
                      <c:pt idx="4">
                        <c:v>57.696208250000012</c:v>
                      </c:pt>
                      <c:pt idx="5">
                        <c:v>63.612681760000015</c:v>
                      </c:pt>
                      <c:pt idx="6">
                        <c:v>33.000821430000002</c:v>
                      </c:pt>
                      <c:pt idx="7">
                        <c:v>41.68997195999998</c:v>
                      </c:pt>
                      <c:pt idx="8">
                        <c:v>46.182551330000003</c:v>
                      </c:pt>
                      <c:pt idx="9">
                        <c:v>86.853810940000017</c:v>
                      </c:pt>
                      <c:pt idx="10">
                        <c:v>95.393098619999989</c:v>
                      </c:pt>
                      <c:pt idx="11">
                        <c:v>107.95500660000002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46-46CE-A8CE-1533440D35E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GRAPHYQUES!$N$32:$O$32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GRAPHYQUES!$P$32:$AA$32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49.642073340000003</c:v>
                      </c:pt>
                      <c:pt idx="1">
                        <c:v>50.243161449999988</c:v>
                      </c:pt>
                      <c:pt idx="2">
                        <c:v>52.732671489999994</c:v>
                      </c:pt>
                      <c:pt idx="3">
                        <c:v>52.246820140000004</c:v>
                      </c:pt>
                      <c:pt idx="4">
                        <c:v>50.447913080000006</c:v>
                      </c:pt>
                      <c:pt idx="5">
                        <c:v>50.249244259999998</c:v>
                      </c:pt>
                      <c:pt idx="6">
                        <c:v>64.91682496</c:v>
                      </c:pt>
                      <c:pt idx="7">
                        <c:v>60.684875789999992</c:v>
                      </c:pt>
                      <c:pt idx="8">
                        <c:v>62.232289309999999</c:v>
                      </c:pt>
                      <c:pt idx="9">
                        <c:v>61.798060169999999</c:v>
                      </c:pt>
                      <c:pt idx="10">
                        <c:v>63.62710946</c:v>
                      </c:pt>
                      <c:pt idx="11">
                        <c:v>67.616969470000001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46-46CE-A8CE-1533440D35E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GRAPHYQUES!$N$33:$O$33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GRAPHYQUES!$P$33:$AA$33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60.995273739999995</c:v>
                      </c:pt>
                      <c:pt idx="1">
                        <c:v>64.411506930000002</c:v>
                      </c:pt>
                      <c:pt idx="2">
                        <c:v>62.324420439999997</c:v>
                      </c:pt>
                      <c:pt idx="3">
                        <c:v>63.77517757999999</c:v>
                      </c:pt>
                      <c:pt idx="4">
                        <c:v>64.635168899999996</c:v>
                      </c:pt>
                      <c:pt idx="5">
                        <c:v>58.399031139999998</c:v>
                      </c:pt>
                      <c:pt idx="6">
                        <c:v>74.437410469999989</c:v>
                      </c:pt>
                      <c:pt idx="7">
                        <c:v>79.271876539999994</c:v>
                      </c:pt>
                      <c:pt idx="8">
                        <c:v>62.338564840000004</c:v>
                      </c:pt>
                      <c:pt idx="9">
                        <c:v>62.126336339999995</c:v>
                      </c:pt>
                      <c:pt idx="10">
                        <c:v>66.072581009999993</c:v>
                      </c:pt>
                      <c:pt idx="11">
                        <c:v>65.343683830000003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46-46CE-A8CE-1533440D35E7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10"/>
          <c:order val="10"/>
          <c:tx>
            <c:strRef>
              <c:f>GRAPHYQUES!$N$174:$O$174</c:f>
              <c:strCache>
                <c:ptCount val="2"/>
                <c:pt idx="0">
                  <c:v>RESULTAT NET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GRAPHYQUES!$P$174:$AA$174</c:f>
              <c:numCache>
                <c:formatCode>#,##0</c:formatCode>
                <c:ptCount val="12"/>
                <c:pt idx="0">
                  <c:v>-13.128139190000001</c:v>
                </c:pt>
                <c:pt idx="1">
                  <c:v>-8.7860503999999988</c:v>
                </c:pt>
                <c:pt idx="2">
                  <c:v>-14.812966759999998</c:v>
                </c:pt>
                <c:pt idx="3">
                  <c:v>-12.592561499999999</c:v>
                </c:pt>
                <c:pt idx="4">
                  <c:v>-8.9501090399999992</c:v>
                </c:pt>
                <c:pt idx="5">
                  <c:v>-10.73713944</c:v>
                </c:pt>
                <c:pt idx="6">
                  <c:v>-19.16180773</c:v>
                </c:pt>
                <c:pt idx="7">
                  <c:v>-17.677097179999993</c:v>
                </c:pt>
                <c:pt idx="8">
                  <c:v>-13.39351407</c:v>
                </c:pt>
                <c:pt idx="9">
                  <c:v>-12.841860319999997</c:v>
                </c:pt>
                <c:pt idx="10">
                  <c:v>-11.049220309999997</c:v>
                </c:pt>
                <c:pt idx="11">
                  <c:v>59.153936399999978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8-4CC9-A72F-D1C08379B47B}"/>
            </c:ext>
          </c:extLst>
        </c:ser>
        <c:ser>
          <c:idx val="11"/>
          <c:order val="11"/>
          <c:tx>
            <c:strRef>
              <c:f>GRAPHYQUES!$N$175:$O$175</c:f>
              <c:strCache>
                <c:ptCount val="2"/>
                <c:pt idx="0">
                  <c:v>RESULTAT NET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GRAPHYQUES!$P$163:$AA$163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GRAPHYQUES!$P$175:$AA$175</c:f>
              <c:numCache>
                <c:formatCode>#,##0</c:formatCode>
                <c:ptCount val="12"/>
                <c:pt idx="0">
                  <c:v>-11.917970600000002</c:v>
                </c:pt>
                <c:pt idx="1">
                  <c:v>-9.7711586799999992</c:v>
                </c:pt>
                <c:pt idx="2">
                  <c:v>2.0966880599999951</c:v>
                </c:pt>
                <c:pt idx="3">
                  <c:v>2.9379253800000025</c:v>
                </c:pt>
                <c:pt idx="4">
                  <c:v>-0.78228041000000392</c:v>
                </c:pt>
                <c:pt idx="5">
                  <c:v>13.970382780000001</c:v>
                </c:pt>
                <c:pt idx="6">
                  <c:v>5.0161757100000006</c:v>
                </c:pt>
                <c:pt idx="7">
                  <c:v>-6.5484719400000051</c:v>
                </c:pt>
                <c:pt idx="8">
                  <c:v>0.81468639000000809</c:v>
                </c:pt>
                <c:pt idx="9">
                  <c:v>-1.2834490799999982</c:v>
                </c:pt>
                <c:pt idx="10">
                  <c:v>2.3780138200000005</c:v>
                </c:pt>
                <c:pt idx="11">
                  <c:v>-1.5470718500000089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8-4CC9-A72F-D1C08379B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GRAPHYQUES!$N$164:$O$164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GRAPHYQUES!$P$164:$AA$164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8.5236811999999986</c:v>
                      </c:pt>
                      <c:pt idx="1">
                        <c:v>7.3264657</c:v>
                      </c:pt>
                      <c:pt idx="2">
                        <c:v>2.5534080000000001</c:v>
                      </c:pt>
                      <c:pt idx="3">
                        <c:v>24.729842000000001</c:v>
                      </c:pt>
                      <c:pt idx="4">
                        <c:v>34.374382900000001</c:v>
                      </c:pt>
                      <c:pt idx="5">
                        <c:v>8.5850855999999993</c:v>
                      </c:pt>
                      <c:pt idx="6">
                        <c:v>16.5630582</c:v>
                      </c:pt>
                      <c:pt idx="7">
                        <c:v>22.796482600000001</c:v>
                      </c:pt>
                      <c:pt idx="8">
                        <c:v>29.134300149999998</c:v>
                      </c:pt>
                      <c:pt idx="9">
                        <c:v>56.564470960000001</c:v>
                      </c:pt>
                      <c:pt idx="10">
                        <c:v>47.0136222</c:v>
                      </c:pt>
                      <c:pt idx="11">
                        <c:v>151.10371544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D48-4CC9-A72F-D1C08379B4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GRAPHYQUES!$N$165:$O$165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GRAPHYQUES!$P$165:$AA$165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14.36139468</c:v>
                      </c:pt>
                      <c:pt idx="1">
                        <c:v>18.23792031</c:v>
                      </c:pt>
                      <c:pt idx="2">
                        <c:v>51.685455859999998</c:v>
                      </c:pt>
                      <c:pt idx="3">
                        <c:v>70.935830030000005</c:v>
                      </c:pt>
                      <c:pt idx="4">
                        <c:v>52.998015979999998</c:v>
                      </c:pt>
                      <c:pt idx="5">
                        <c:v>125.46546886</c:v>
                      </c:pt>
                      <c:pt idx="6">
                        <c:v>71.473074189999991</c:v>
                      </c:pt>
                      <c:pt idx="7">
                        <c:v>57.44329432</c:v>
                      </c:pt>
                      <c:pt idx="8">
                        <c:v>72.319234559999998</c:v>
                      </c:pt>
                      <c:pt idx="9">
                        <c:v>63.22831592</c:v>
                      </c:pt>
                      <c:pt idx="10">
                        <c:v>85.460444840000008</c:v>
                      </c:pt>
                      <c:pt idx="11">
                        <c:v>78.511679829999991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8-4CC9-A72F-D1C08379B4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GRAPHYQUES!$N$166:$O$166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GRAPHYQUES!$P$166:$AA$166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8.8213863499999992</c:v>
                      </c:pt>
                      <c:pt idx="1">
                        <c:v>10.553953030000001</c:v>
                      </c:pt>
                      <c:pt idx="2">
                        <c:v>5.6112541600000005</c:v>
                      </c:pt>
                      <c:pt idx="3">
                        <c:v>6.9292830500000004</c:v>
                      </c:pt>
                      <c:pt idx="4">
                        <c:v>8.6937539099999999</c:v>
                      </c:pt>
                      <c:pt idx="5">
                        <c:v>12.864796140000001</c:v>
                      </c:pt>
                      <c:pt idx="6">
                        <c:v>6.2507096299999994</c:v>
                      </c:pt>
                      <c:pt idx="7">
                        <c:v>8.2278256200000008</c:v>
                      </c:pt>
                      <c:pt idx="8">
                        <c:v>17.03745297</c:v>
                      </c:pt>
                      <c:pt idx="9">
                        <c:v>21.432230130000004</c:v>
                      </c:pt>
                      <c:pt idx="10">
                        <c:v>22.344271560000003</c:v>
                      </c:pt>
                      <c:pt idx="11">
                        <c:v>88.26975019999999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48-4CC9-A72F-D1C08379B4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GRAPHYQUES!$N$167:$O$167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GRAPHYQUES!$P$167:$AA$167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30.183023429999999</c:v>
                      </c:pt>
                      <c:pt idx="1">
                        <c:v>24.366563689999996</c:v>
                      </c:pt>
                      <c:pt idx="2">
                        <c:v>52.558266549999999</c:v>
                      </c:pt>
                      <c:pt idx="3">
                        <c:v>48.376112090000007</c:v>
                      </c:pt>
                      <c:pt idx="4">
                        <c:v>45.420320419999996</c:v>
                      </c:pt>
                      <c:pt idx="5">
                        <c:v>65.645581039999996</c:v>
                      </c:pt>
                      <c:pt idx="6">
                        <c:v>39.966941519999999</c:v>
                      </c:pt>
                      <c:pt idx="7">
                        <c:v>31.261256539999998</c:v>
                      </c:pt>
                      <c:pt idx="8">
                        <c:v>40.812441270000001</c:v>
                      </c:pt>
                      <c:pt idx="9">
                        <c:v>49.756221109999998</c:v>
                      </c:pt>
                      <c:pt idx="10">
                        <c:v>56.966228190000002</c:v>
                      </c:pt>
                      <c:pt idx="11">
                        <c:v>56.555725719999998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48-4CC9-A72F-D1C08379B47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GRAPHYQUES!$N$168:$O$168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GRAPHYQUES!$P$168:$AA$168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10.717019279999999</c:v>
                      </c:pt>
                      <c:pt idx="1">
                        <c:v>8.9164474299999998</c:v>
                      </c:pt>
                      <c:pt idx="2">
                        <c:v>7.92720512</c:v>
                      </c:pt>
                      <c:pt idx="3">
                        <c:v>8.7665559200000001</c:v>
                      </c:pt>
                      <c:pt idx="4">
                        <c:v>7.1525286299999999</c:v>
                      </c:pt>
                      <c:pt idx="5">
                        <c:v>10.007923640000001</c:v>
                      </c:pt>
                      <c:pt idx="6">
                        <c:v>10.61352754</c:v>
                      </c:pt>
                      <c:pt idx="7">
                        <c:v>14.408748539999999</c:v>
                      </c:pt>
                      <c:pt idx="8">
                        <c:v>17.153611609999999</c:v>
                      </c:pt>
                      <c:pt idx="9">
                        <c:v>20.570214589999999</c:v>
                      </c:pt>
                      <c:pt idx="10">
                        <c:v>18.216417879999998</c:v>
                      </c:pt>
                      <c:pt idx="11">
                        <c:v>45.832103880000005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48-4CC9-A72F-D1C08379B47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GRAPHYQUES!$N$169:$O$169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GRAPHYQUES!$P$169:$AA$169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27.754299979999999</c:v>
                      </c:pt>
                      <c:pt idx="1">
                        <c:v>21.40361068</c:v>
                      </c:pt>
                      <c:pt idx="2">
                        <c:v>37.180441109999997</c:v>
                      </c:pt>
                      <c:pt idx="3">
                        <c:v>31.69535183</c:v>
                      </c:pt>
                      <c:pt idx="4">
                        <c:v>31.998336420000001</c:v>
                      </c:pt>
                      <c:pt idx="5">
                        <c:v>37.95684962</c:v>
                      </c:pt>
                      <c:pt idx="6">
                        <c:v>20.73934083</c:v>
                      </c:pt>
                      <c:pt idx="7">
                        <c:v>19.538009930000001</c:v>
                      </c:pt>
                      <c:pt idx="8">
                        <c:v>27.236941089999998</c:v>
                      </c:pt>
                      <c:pt idx="9">
                        <c:v>33.834704810000005</c:v>
                      </c:pt>
                      <c:pt idx="10">
                        <c:v>35.947143629999999</c:v>
                      </c:pt>
                      <c:pt idx="11">
                        <c:v>38.185816810000006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48-4CC9-A72F-D1C08379B47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GRAPHYQUES!$N$170:$O$170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GRAPHYQUES!$P$170:$AA$170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-3.2067991500000002</c:v>
                      </c:pt>
                      <c:pt idx="1">
                        <c:v>0.44264993000000158</c:v>
                      </c:pt>
                      <c:pt idx="2">
                        <c:v>-3.7467593599999995</c:v>
                      </c:pt>
                      <c:pt idx="3">
                        <c:v>-2.6665066499999983</c:v>
                      </c:pt>
                      <c:pt idx="4">
                        <c:v>0.70712785000000056</c:v>
                      </c:pt>
                      <c:pt idx="5">
                        <c:v>-1.5307169900000002</c:v>
                      </c:pt>
                      <c:pt idx="6">
                        <c:v>-7.4424004700000008</c:v>
                      </c:pt>
                      <c:pt idx="7">
                        <c:v>-7.2482544299999976</c:v>
                      </c:pt>
                      <c:pt idx="8">
                        <c:v>-3.1372027100000008</c:v>
                      </c:pt>
                      <c:pt idx="9">
                        <c:v>-1.058831419999998</c:v>
                      </c:pt>
                      <c:pt idx="10">
                        <c:v>8.4576930000003422E-2</c:v>
                      </c:pt>
                      <c:pt idx="11">
                        <c:v>32.225249819999988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48-4CC9-A72F-D1C08379B47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GRAPHYQUES!$N$171:$O$171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GRAPHYQUES!$P$171:$AA$171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-0.50432053000000121</c:v>
                      </c:pt>
                      <c:pt idx="1">
                        <c:v>2.0002533099999988</c:v>
                      </c:pt>
                      <c:pt idx="2">
                        <c:v>13.138537629999995</c:v>
                      </c:pt>
                      <c:pt idx="3">
                        <c:v>15.063985330000005</c:v>
                      </c:pt>
                      <c:pt idx="4">
                        <c:v>11.002121319999993</c:v>
                      </c:pt>
                      <c:pt idx="5">
                        <c:v>25.720826010000007</c:v>
                      </c:pt>
                      <c:pt idx="6">
                        <c:v>16.166651979999997</c:v>
                      </c:pt>
                      <c:pt idx="7">
                        <c:v>9.9005444399999973</c:v>
                      </c:pt>
                      <c:pt idx="8">
                        <c:v>11.592446330000001</c:v>
                      </c:pt>
                      <c:pt idx="9">
                        <c:v>12.136803479999998</c:v>
                      </c:pt>
                      <c:pt idx="10">
                        <c:v>16.723275190000006</c:v>
                      </c:pt>
                      <c:pt idx="11">
                        <c:v>12.798695589999996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48-4CC9-A72F-D1C08379B47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GRAPHYQUES!$N$172:$O$172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GRAPHYQUES!$P$172:$AA$172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9.0535402100000013</c:v>
                      </c:pt>
                      <c:pt idx="1">
                        <c:v>8.6326025000000008</c:v>
                      </c:pt>
                      <c:pt idx="2">
                        <c:v>10.456033199999998</c:v>
                      </c:pt>
                      <c:pt idx="3">
                        <c:v>9.10264411</c:v>
                      </c:pt>
                      <c:pt idx="4">
                        <c:v>8.7375176000000003</c:v>
                      </c:pt>
                      <c:pt idx="5">
                        <c:v>8.4767845199999989</c:v>
                      </c:pt>
                      <c:pt idx="6">
                        <c:v>10.97774051</c:v>
                      </c:pt>
                      <c:pt idx="7">
                        <c:v>10.47874648</c:v>
                      </c:pt>
                      <c:pt idx="8">
                        <c:v>9.3861235099999991</c:v>
                      </c:pt>
                      <c:pt idx="9">
                        <c:v>10.638240699999999</c:v>
                      </c:pt>
                      <c:pt idx="10">
                        <c:v>10.971405650000001</c:v>
                      </c:pt>
                      <c:pt idx="11">
                        <c:v>7.1845508200000001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D48-4CC9-A72F-D1C08379B47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GRAPHYQUES!$N$173:$O$173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4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GRAPHYQUES!$P$163:$AA$163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GRAPHYQUES!$P$173:$AA$173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10.69275861</c:v>
                      </c:pt>
                      <c:pt idx="1">
                        <c:v>11.011773130000002</c:v>
                      </c:pt>
                      <c:pt idx="2">
                        <c:v>9.9528626300000003</c:v>
                      </c:pt>
                      <c:pt idx="3">
                        <c:v>10.923466509999999</c:v>
                      </c:pt>
                      <c:pt idx="4">
                        <c:v>10.666080259999999</c:v>
                      </c:pt>
                      <c:pt idx="5">
                        <c:v>9.8943938199999995</c:v>
                      </c:pt>
                      <c:pt idx="6">
                        <c:v>9.8505428500000001</c:v>
                      </c:pt>
                      <c:pt idx="7">
                        <c:v>15.11239235</c:v>
                      </c:pt>
                      <c:pt idx="8">
                        <c:v>9.469872800000001</c:v>
                      </c:pt>
                      <c:pt idx="9">
                        <c:v>12.221637210000001</c:v>
                      </c:pt>
                      <c:pt idx="10">
                        <c:v>10.947747039999999</c:v>
                      </c:pt>
                      <c:pt idx="11">
                        <c:v>10.59256031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D48-4CC9-A72F-D1C08379B47B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4"/>
          <c:order val="4"/>
          <c:tx>
            <c:strRef>
              <c:f>GRAPHYQUES!$N$28:$O$28</c:f>
              <c:strCache>
                <c:ptCount val="2"/>
                <c:pt idx="0">
                  <c:v>ACHATS CONSOMMES</c:v>
                </c:pt>
                <c:pt idx="1">
                  <c:v>2020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  <c:extLst xmlns:c15="http://schemas.microsoft.com/office/drawing/2012/chart"/>
            </c:strRef>
          </c:cat>
          <c:val>
            <c:numRef>
              <c:f>GRAPHYQUES!$P$28:$AA$28</c:f>
              <c:numCache>
                <c:formatCode>#,##0</c:formatCode>
                <c:ptCount val="12"/>
                <c:pt idx="0">
                  <c:v>104.06932908000002</c:v>
                </c:pt>
                <c:pt idx="1">
                  <c:v>101.10086497</c:v>
                </c:pt>
                <c:pt idx="2">
                  <c:v>99.773181240000014</c:v>
                </c:pt>
                <c:pt idx="3">
                  <c:v>60.573071120000002</c:v>
                </c:pt>
                <c:pt idx="4">
                  <c:v>66.085679040000002</c:v>
                </c:pt>
                <c:pt idx="5">
                  <c:v>140.41066816</c:v>
                </c:pt>
                <c:pt idx="6">
                  <c:v>83.361222760000004</c:v>
                </c:pt>
                <c:pt idx="7">
                  <c:v>122.16785022000001</c:v>
                </c:pt>
                <c:pt idx="8">
                  <c:v>131.82940602000002</c:v>
                </c:pt>
                <c:pt idx="9">
                  <c:v>173.18429282999998</c:v>
                </c:pt>
                <c:pt idx="10">
                  <c:v>128.4683775</c:v>
                </c:pt>
                <c:pt idx="11">
                  <c:v>222.11881713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9613-4764-B1FD-7276B9A1EAEA}"/>
            </c:ext>
          </c:extLst>
        </c:ser>
        <c:ser>
          <c:idx val="5"/>
          <c:order val="5"/>
          <c:tx>
            <c:strRef>
              <c:f>GRAPHYQUES!$N$29:$O$29</c:f>
              <c:strCache>
                <c:ptCount val="2"/>
                <c:pt idx="0">
                  <c:v>ACHATS CONSOMMES</c:v>
                </c:pt>
                <c:pt idx="1">
                  <c:v>2021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  <c:extLst xmlns:c15="http://schemas.microsoft.com/office/drawing/2012/chart"/>
            </c:strRef>
          </c:cat>
          <c:val>
            <c:numRef>
              <c:f>GRAPHYQUES!$P$29:$AA$29</c:f>
              <c:numCache>
                <c:formatCode>#,##0</c:formatCode>
                <c:ptCount val="12"/>
                <c:pt idx="0">
                  <c:v>162.49593348999997</c:v>
                </c:pt>
                <c:pt idx="1">
                  <c:v>126.88893487</c:v>
                </c:pt>
                <c:pt idx="2">
                  <c:v>214.45810731</c:v>
                </c:pt>
                <c:pt idx="3">
                  <c:v>129.19147074</c:v>
                </c:pt>
                <c:pt idx="4">
                  <c:v>133.63691832000001</c:v>
                </c:pt>
                <c:pt idx="5">
                  <c:v>150.17935711999999</c:v>
                </c:pt>
                <c:pt idx="6">
                  <c:v>85.600110349999994</c:v>
                </c:pt>
                <c:pt idx="7">
                  <c:v>118.37223598999999</c:v>
                </c:pt>
                <c:pt idx="8">
                  <c:v>121.96870238000001</c:v>
                </c:pt>
                <c:pt idx="9">
                  <c:v>204.20791288999999</c:v>
                </c:pt>
                <c:pt idx="10">
                  <c:v>161.21316583999999</c:v>
                </c:pt>
                <c:pt idx="11">
                  <c:v>260.56986866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9613-4764-B1FD-7276B9A1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GRAPHYQUES!$N$24:$O$24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GRAPHYQUES!$P$24:$AA$24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72.594616900000005</c:v>
                      </c:pt>
                      <c:pt idx="1">
                        <c:v>94.859717139999987</c:v>
                      </c:pt>
                      <c:pt idx="2">
                        <c:v>93.211833339999998</c:v>
                      </c:pt>
                      <c:pt idx="3">
                        <c:v>96.2204464</c:v>
                      </c:pt>
                      <c:pt idx="4">
                        <c:v>152.15987580000001</c:v>
                      </c:pt>
                      <c:pt idx="5">
                        <c:v>169.56078120000001</c:v>
                      </c:pt>
                      <c:pt idx="6">
                        <c:v>126.70165040000001</c:v>
                      </c:pt>
                      <c:pt idx="7">
                        <c:v>156.0586892</c:v>
                      </c:pt>
                      <c:pt idx="8">
                        <c:v>207.67180429000001</c:v>
                      </c:pt>
                      <c:pt idx="9">
                        <c:v>217.80896014000001</c:v>
                      </c:pt>
                      <c:pt idx="10">
                        <c:v>235.14587037000001</c:v>
                      </c:pt>
                      <c:pt idx="11">
                        <c:v>486.57359730000007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13-4764-B1FD-7276B9A1EA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GRAPHYQUES!$N$25:$O$25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GRAPHYQUES!$P$25:$AA$25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92.184710269999997</c:v>
                      </c:pt>
                      <c:pt idx="1">
                        <c:v>98.325431250000008</c:v>
                      </c:pt>
                      <c:pt idx="2">
                        <c:v>192.75221775999998</c:v>
                      </c:pt>
                      <c:pt idx="3">
                        <c:v>197.58164563000003</c:v>
                      </c:pt>
                      <c:pt idx="4">
                        <c:v>248.02460159999998</c:v>
                      </c:pt>
                      <c:pt idx="5">
                        <c:v>345.35723625999998</c:v>
                      </c:pt>
                      <c:pt idx="6">
                        <c:v>147.34745900999999</c:v>
                      </c:pt>
                      <c:pt idx="7">
                        <c:v>197.25824418000002</c:v>
                      </c:pt>
                      <c:pt idx="8">
                        <c:v>220.36779822</c:v>
                      </c:pt>
                      <c:pt idx="9">
                        <c:v>266.37292930000001</c:v>
                      </c:pt>
                      <c:pt idx="10">
                        <c:v>294.23575901000004</c:v>
                      </c:pt>
                      <c:pt idx="11">
                        <c:v>334.56219385999998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13-4764-B1FD-7276B9A1EA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GRAPHYQUES!$N$26:$O$26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GRAPHYQUES!$P$26:$AA$26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120.98144435</c:v>
                      </c:pt>
                      <c:pt idx="1">
                        <c:v>132.78218099999998</c:v>
                      </c:pt>
                      <c:pt idx="2">
                        <c:v>130.87319431</c:v>
                      </c:pt>
                      <c:pt idx="3">
                        <c:v>72.057038959999986</c:v>
                      </c:pt>
                      <c:pt idx="4">
                        <c:v>106.01176556999999</c:v>
                      </c:pt>
                      <c:pt idx="5">
                        <c:v>204.11082909999999</c:v>
                      </c:pt>
                      <c:pt idx="6">
                        <c:v>109.31915982000001</c:v>
                      </c:pt>
                      <c:pt idx="7">
                        <c:v>151.17009121999999</c:v>
                      </c:pt>
                      <c:pt idx="8">
                        <c:v>185.38558771000004</c:v>
                      </c:pt>
                      <c:pt idx="9">
                        <c:v>216.24811851000001</c:v>
                      </c:pt>
                      <c:pt idx="10">
                        <c:v>193.57986073000001</c:v>
                      </c:pt>
                      <c:pt idx="11">
                        <c:v>384.64935160000005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13-4764-B1FD-7276B9A1EA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GRAPHYQUES!$N$27:$O$27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GRAPHYQUES!$P$27:$AA$27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213.49584070999998</c:v>
                      </c:pt>
                      <c:pt idx="1">
                        <c:v>172.19152550999999</c:v>
                      </c:pt>
                      <c:pt idx="2">
                        <c:v>281.07496621000001</c:v>
                      </c:pt>
                      <c:pt idx="3">
                        <c:v>185.04600934000001</c:v>
                      </c:pt>
                      <c:pt idx="4">
                        <c:v>204.53502576</c:v>
                      </c:pt>
                      <c:pt idx="5">
                        <c:v>228.14084779000001</c:v>
                      </c:pt>
                      <c:pt idx="6">
                        <c:v>137.21407348</c:v>
                      </c:pt>
                      <c:pt idx="7">
                        <c:v>173.21041891000002</c:v>
                      </c:pt>
                      <c:pt idx="8">
                        <c:v>184.74831594</c:v>
                      </c:pt>
                      <c:pt idx="9">
                        <c:v>306.76374673000004</c:v>
                      </c:pt>
                      <c:pt idx="10">
                        <c:v>273.27079308999998</c:v>
                      </c:pt>
                      <c:pt idx="11">
                        <c:v>389.44742737999997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13-4764-B1FD-7276B9A1EAE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GRAPHYQUES!$N$30:$O$30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GRAPHYQUES!$P$30:$AA$30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7.0997781899999932</c:v>
                      </c:pt>
                      <c:pt idx="1">
                        <c:v>23.411253420000001</c:v>
                      </c:pt>
                      <c:pt idx="2">
                        <c:v>23.481179669999989</c:v>
                      </c:pt>
                      <c:pt idx="3">
                        <c:v>5.6236285199999987</c:v>
                      </c:pt>
                      <c:pt idx="4">
                        <c:v>31.658686349999989</c:v>
                      </c:pt>
                      <c:pt idx="5">
                        <c:v>46.742336650000013</c:v>
                      </c:pt>
                      <c:pt idx="6">
                        <c:v>10.798667260000011</c:v>
                      </c:pt>
                      <c:pt idx="7">
                        <c:v>17.343832919999997</c:v>
                      </c:pt>
                      <c:pt idx="8">
                        <c:v>39.75473324</c:v>
                      </c:pt>
                      <c:pt idx="9">
                        <c:v>28.465406550000033</c:v>
                      </c:pt>
                      <c:pt idx="10">
                        <c:v>46.099559849999999</c:v>
                      </c:pt>
                      <c:pt idx="11">
                        <c:v>130.49365509000006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613-4764-B1FD-7276B9A1EAE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GRAPHYQUES!$N$31:$O$31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GRAPHYQUES!$P$31:$AA$31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38.320009699999986</c:v>
                      </c:pt>
                      <c:pt idx="1">
                        <c:v>34.792105439999972</c:v>
                      </c:pt>
                      <c:pt idx="2">
                        <c:v>53.791898949999982</c:v>
                      </c:pt>
                      <c:pt idx="3">
                        <c:v>45.37193597000001</c:v>
                      </c:pt>
                      <c:pt idx="4">
                        <c:v>57.696208250000012</c:v>
                      </c:pt>
                      <c:pt idx="5">
                        <c:v>63.612681760000015</c:v>
                      </c:pt>
                      <c:pt idx="6">
                        <c:v>33.000821430000002</c:v>
                      </c:pt>
                      <c:pt idx="7">
                        <c:v>41.68997195999998</c:v>
                      </c:pt>
                      <c:pt idx="8">
                        <c:v>46.182551330000003</c:v>
                      </c:pt>
                      <c:pt idx="9">
                        <c:v>86.853810940000017</c:v>
                      </c:pt>
                      <c:pt idx="10">
                        <c:v>95.393098619999989</c:v>
                      </c:pt>
                      <c:pt idx="11">
                        <c:v>107.95500660000002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13-4764-B1FD-7276B9A1EAE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GRAPHYQUES!$N$32:$O$32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GRAPHYQUES!$P$32:$AA$32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49.642073340000003</c:v>
                      </c:pt>
                      <c:pt idx="1">
                        <c:v>50.243161449999988</c:v>
                      </c:pt>
                      <c:pt idx="2">
                        <c:v>52.732671489999994</c:v>
                      </c:pt>
                      <c:pt idx="3">
                        <c:v>52.246820140000004</c:v>
                      </c:pt>
                      <c:pt idx="4">
                        <c:v>50.447913080000006</c:v>
                      </c:pt>
                      <c:pt idx="5">
                        <c:v>50.249244259999998</c:v>
                      </c:pt>
                      <c:pt idx="6">
                        <c:v>64.91682496</c:v>
                      </c:pt>
                      <c:pt idx="7">
                        <c:v>60.684875789999992</c:v>
                      </c:pt>
                      <c:pt idx="8">
                        <c:v>62.232289309999999</c:v>
                      </c:pt>
                      <c:pt idx="9">
                        <c:v>61.798060169999999</c:v>
                      </c:pt>
                      <c:pt idx="10">
                        <c:v>63.62710946</c:v>
                      </c:pt>
                      <c:pt idx="11">
                        <c:v>67.616969470000001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613-4764-B1FD-7276B9A1EAE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GRAPHYQUES!$N$33:$O$33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GRAPHYQUES!$P$33:$AA$33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60.995273739999995</c:v>
                      </c:pt>
                      <c:pt idx="1">
                        <c:v>64.411506930000002</c:v>
                      </c:pt>
                      <c:pt idx="2">
                        <c:v>62.324420439999997</c:v>
                      </c:pt>
                      <c:pt idx="3">
                        <c:v>63.77517757999999</c:v>
                      </c:pt>
                      <c:pt idx="4">
                        <c:v>64.635168899999996</c:v>
                      </c:pt>
                      <c:pt idx="5">
                        <c:v>58.399031139999998</c:v>
                      </c:pt>
                      <c:pt idx="6">
                        <c:v>74.437410469999989</c:v>
                      </c:pt>
                      <c:pt idx="7">
                        <c:v>79.271876539999994</c:v>
                      </c:pt>
                      <c:pt idx="8">
                        <c:v>62.338564840000004</c:v>
                      </c:pt>
                      <c:pt idx="9">
                        <c:v>62.126336339999995</c:v>
                      </c:pt>
                      <c:pt idx="10">
                        <c:v>66.072581009999993</c:v>
                      </c:pt>
                      <c:pt idx="11">
                        <c:v>65.343683830000003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613-4764-B1FD-7276B9A1EAEA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8"/>
          <c:order val="8"/>
          <c:tx>
            <c:strRef>
              <c:f>GRAPHYQUES!$N$32:$O$32</c:f>
              <c:strCache>
                <c:ptCount val="2"/>
                <c:pt idx="0">
                  <c:v>CHARGES DE PERSONNEL</c:v>
                </c:pt>
                <c:pt idx="1">
                  <c:v>2020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  <c:extLst xmlns:c15="http://schemas.microsoft.com/office/drawing/2012/chart"/>
            </c:strRef>
          </c:cat>
          <c:val>
            <c:numRef>
              <c:f>GRAPHYQUES!$P$32:$AA$32</c:f>
              <c:numCache>
                <c:formatCode>#,##0</c:formatCode>
                <c:ptCount val="12"/>
                <c:pt idx="0">
                  <c:v>49.642073340000003</c:v>
                </c:pt>
                <c:pt idx="1">
                  <c:v>50.243161449999988</c:v>
                </c:pt>
                <c:pt idx="2">
                  <c:v>52.732671489999994</c:v>
                </c:pt>
                <c:pt idx="3">
                  <c:v>52.246820140000004</c:v>
                </c:pt>
                <c:pt idx="4">
                  <c:v>50.447913080000006</c:v>
                </c:pt>
                <c:pt idx="5">
                  <c:v>50.249244259999998</c:v>
                </c:pt>
                <c:pt idx="6">
                  <c:v>64.91682496</c:v>
                </c:pt>
                <c:pt idx="7">
                  <c:v>60.684875789999992</c:v>
                </c:pt>
                <c:pt idx="8">
                  <c:v>62.232289309999999</c:v>
                </c:pt>
                <c:pt idx="9">
                  <c:v>61.798060169999999</c:v>
                </c:pt>
                <c:pt idx="10">
                  <c:v>63.62710946</c:v>
                </c:pt>
                <c:pt idx="11">
                  <c:v>67.616969470000001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5AB9-440F-B9B0-8ABCC534DC39}"/>
            </c:ext>
          </c:extLst>
        </c:ser>
        <c:ser>
          <c:idx val="9"/>
          <c:order val="9"/>
          <c:tx>
            <c:strRef>
              <c:f>GRAPHYQUES!$N$33:$O$33</c:f>
              <c:strCache>
                <c:ptCount val="2"/>
                <c:pt idx="0">
                  <c:v>CHARGES DE PERSONNEL</c:v>
                </c:pt>
                <c:pt idx="1">
                  <c:v>2021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  <c:extLst xmlns:c15="http://schemas.microsoft.com/office/drawing/2012/chart"/>
            </c:strRef>
          </c:cat>
          <c:val>
            <c:numRef>
              <c:f>GRAPHYQUES!$P$33:$AA$33</c:f>
              <c:numCache>
                <c:formatCode>#,##0</c:formatCode>
                <c:ptCount val="12"/>
                <c:pt idx="0">
                  <c:v>60.995273739999995</c:v>
                </c:pt>
                <c:pt idx="1">
                  <c:v>64.411506930000002</c:v>
                </c:pt>
                <c:pt idx="2">
                  <c:v>62.324420439999997</c:v>
                </c:pt>
                <c:pt idx="3">
                  <c:v>63.77517757999999</c:v>
                </c:pt>
                <c:pt idx="4">
                  <c:v>64.635168899999996</c:v>
                </c:pt>
                <c:pt idx="5">
                  <c:v>58.399031139999998</c:v>
                </c:pt>
                <c:pt idx="6">
                  <c:v>74.437410469999989</c:v>
                </c:pt>
                <c:pt idx="7">
                  <c:v>79.271876539999994</c:v>
                </c:pt>
                <c:pt idx="8">
                  <c:v>62.338564840000004</c:v>
                </c:pt>
                <c:pt idx="9">
                  <c:v>62.126336339999995</c:v>
                </c:pt>
                <c:pt idx="10">
                  <c:v>66.072581009999993</c:v>
                </c:pt>
                <c:pt idx="11">
                  <c:v>65.343683830000003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5AB9-440F-B9B0-8ABCC534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GRAPHYQUES!$N$24:$O$24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GRAPHYQUES!$P$24:$AA$24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72.594616900000005</c:v>
                      </c:pt>
                      <c:pt idx="1">
                        <c:v>94.859717139999987</c:v>
                      </c:pt>
                      <c:pt idx="2">
                        <c:v>93.211833339999998</c:v>
                      </c:pt>
                      <c:pt idx="3">
                        <c:v>96.2204464</c:v>
                      </c:pt>
                      <c:pt idx="4">
                        <c:v>152.15987580000001</c:v>
                      </c:pt>
                      <c:pt idx="5">
                        <c:v>169.56078120000001</c:v>
                      </c:pt>
                      <c:pt idx="6">
                        <c:v>126.70165040000001</c:v>
                      </c:pt>
                      <c:pt idx="7">
                        <c:v>156.0586892</c:v>
                      </c:pt>
                      <c:pt idx="8">
                        <c:v>207.67180429000001</c:v>
                      </c:pt>
                      <c:pt idx="9">
                        <c:v>217.80896014000001</c:v>
                      </c:pt>
                      <c:pt idx="10">
                        <c:v>235.14587037000001</c:v>
                      </c:pt>
                      <c:pt idx="11">
                        <c:v>486.57359730000007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B9-440F-B9B0-8ABCC534DC3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GRAPHYQUES!$N$25:$O$25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GRAPHYQUES!$P$25:$AA$25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92.184710269999997</c:v>
                      </c:pt>
                      <c:pt idx="1">
                        <c:v>98.325431250000008</c:v>
                      </c:pt>
                      <c:pt idx="2">
                        <c:v>192.75221775999998</c:v>
                      </c:pt>
                      <c:pt idx="3">
                        <c:v>197.58164563000003</c:v>
                      </c:pt>
                      <c:pt idx="4">
                        <c:v>248.02460159999998</c:v>
                      </c:pt>
                      <c:pt idx="5">
                        <c:v>345.35723625999998</c:v>
                      </c:pt>
                      <c:pt idx="6">
                        <c:v>147.34745900999999</c:v>
                      </c:pt>
                      <c:pt idx="7">
                        <c:v>197.25824418000002</c:v>
                      </c:pt>
                      <c:pt idx="8">
                        <c:v>220.36779822</c:v>
                      </c:pt>
                      <c:pt idx="9">
                        <c:v>266.37292930000001</c:v>
                      </c:pt>
                      <c:pt idx="10">
                        <c:v>294.23575901000004</c:v>
                      </c:pt>
                      <c:pt idx="11">
                        <c:v>334.56219385999998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B9-440F-B9B0-8ABCC534DC3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GRAPHYQUES!$N$26:$O$26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GRAPHYQUES!$P$26:$AA$26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120.98144435</c:v>
                      </c:pt>
                      <c:pt idx="1">
                        <c:v>132.78218099999998</c:v>
                      </c:pt>
                      <c:pt idx="2">
                        <c:v>130.87319431</c:v>
                      </c:pt>
                      <c:pt idx="3">
                        <c:v>72.057038959999986</c:v>
                      </c:pt>
                      <c:pt idx="4">
                        <c:v>106.01176556999999</c:v>
                      </c:pt>
                      <c:pt idx="5">
                        <c:v>204.11082909999999</c:v>
                      </c:pt>
                      <c:pt idx="6">
                        <c:v>109.31915982000001</c:v>
                      </c:pt>
                      <c:pt idx="7">
                        <c:v>151.17009121999999</c:v>
                      </c:pt>
                      <c:pt idx="8">
                        <c:v>185.38558771000004</c:v>
                      </c:pt>
                      <c:pt idx="9">
                        <c:v>216.24811851000001</c:v>
                      </c:pt>
                      <c:pt idx="10">
                        <c:v>193.57986073000001</c:v>
                      </c:pt>
                      <c:pt idx="11">
                        <c:v>384.64935160000005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B9-440F-B9B0-8ABCC534DC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GRAPHYQUES!$N$27:$O$27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GRAPHYQUES!$P$27:$AA$27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213.49584070999998</c:v>
                      </c:pt>
                      <c:pt idx="1">
                        <c:v>172.19152550999999</c:v>
                      </c:pt>
                      <c:pt idx="2">
                        <c:v>281.07496621000001</c:v>
                      </c:pt>
                      <c:pt idx="3">
                        <c:v>185.04600934000001</c:v>
                      </c:pt>
                      <c:pt idx="4">
                        <c:v>204.53502576</c:v>
                      </c:pt>
                      <c:pt idx="5">
                        <c:v>228.14084779000001</c:v>
                      </c:pt>
                      <c:pt idx="6">
                        <c:v>137.21407348</c:v>
                      </c:pt>
                      <c:pt idx="7">
                        <c:v>173.21041891000002</c:v>
                      </c:pt>
                      <c:pt idx="8">
                        <c:v>184.74831594</c:v>
                      </c:pt>
                      <c:pt idx="9">
                        <c:v>306.76374673000004</c:v>
                      </c:pt>
                      <c:pt idx="10">
                        <c:v>273.27079308999998</c:v>
                      </c:pt>
                      <c:pt idx="11">
                        <c:v>389.44742737999997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B9-440F-B9B0-8ABCC534DC3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GRAPHYQUES!$N$28:$O$28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GRAPHYQUES!$P$28:$AA$28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104.06932908000002</c:v>
                      </c:pt>
                      <c:pt idx="1">
                        <c:v>101.10086497</c:v>
                      </c:pt>
                      <c:pt idx="2">
                        <c:v>99.773181240000014</c:v>
                      </c:pt>
                      <c:pt idx="3">
                        <c:v>60.573071120000002</c:v>
                      </c:pt>
                      <c:pt idx="4">
                        <c:v>66.085679040000002</c:v>
                      </c:pt>
                      <c:pt idx="5">
                        <c:v>140.41066816</c:v>
                      </c:pt>
                      <c:pt idx="6">
                        <c:v>83.361222760000004</c:v>
                      </c:pt>
                      <c:pt idx="7">
                        <c:v>122.16785022000001</c:v>
                      </c:pt>
                      <c:pt idx="8">
                        <c:v>131.82940602000002</c:v>
                      </c:pt>
                      <c:pt idx="9">
                        <c:v>173.18429282999998</c:v>
                      </c:pt>
                      <c:pt idx="10">
                        <c:v>128.4683775</c:v>
                      </c:pt>
                      <c:pt idx="11">
                        <c:v>222.11881713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B9-440F-B9B0-8ABCC534DC3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GRAPHYQUES!$N$29:$O$29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GRAPHYQUES!$P$29:$AA$29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162.49593348999997</c:v>
                      </c:pt>
                      <c:pt idx="1">
                        <c:v>126.88893487</c:v>
                      </c:pt>
                      <c:pt idx="2">
                        <c:v>214.45810731</c:v>
                      </c:pt>
                      <c:pt idx="3">
                        <c:v>129.19147074</c:v>
                      </c:pt>
                      <c:pt idx="4">
                        <c:v>133.63691832000001</c:v>
                      </c:pt>
                      <c:pt idx="5">
                        <c:v>150.17935711999999</c:v>
                      </c:pt>
                      <c:pt idx="6">
                        <c:v>85.600110349999994</c:v>
                      </c:pt>
                      <c:pt idx="7">
                        <c:v>118.37223598999999</c:v>
                      </c:pt>
                      <c:pt idx="8">
                        <c:v>121.96870238000001</c:v>
                      </c:pt>
                      <c:pt idx="9">
                        <c:v>204.20791288999999</c:v>
                      </c:pt>
                      <c:pt idx="10">
                        <c:v>161.21316583999999</c:v>
                      </c:pt>
                      <c:pt idx="11">
                        <c:v>260.56986866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B9-440F-B9B0-8ABCC534DC3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GRAPHYQUES!$N$30:$O$30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GRAPHYQUES!$P$30:$AA$30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7.0997781899999932</c:v>
                      </c:pt>
                      <c:pt idx="1">
                        <c:v>23.411253420000001</c:v>
                      </c:pt>
                      <c:pt idx="2">
                        <c:v>23.481179669999989</c:v>
                      </c:pt>
                      <c:pt idx="3">
                        <c:v>5.6236285199999987</c:v>
                      </c:pt>
                      <c:pt idx="4">
                        <c:v>31.658686349999989</c:v>
                      </c:pt>
                      <c:pt idx="5">
                        <c:v>46.742336650000013</c:v>
                      </c:pt>
                      <c:pt idx="6">
                        <c:v>10.798667260000011</c:v>
                      </c:pt>
                      <c:pt idx="7">
                        <c:v>17.343832919999997</c:v>
                      </c:pt>
                      <c:pt idx="8">
                        <c:v>39.75473324</c:v>
                      </c:pt>
                      <c:pt idx="9">
                        <c:v>28.465406550000033</c:v>
                      </c:pt>
                      <c:pt idx="10">
                        <c:v>46.099559849999999</c:v>
                      </c:pt>
                      <c:pt idx="11">
                        <c:v>130.49365509000006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B9-440F-B9B0-8ABCC534DC3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GRAPHYQUES!$N$31:$O$31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GRAPHYQUES!$P$31:$AA$31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38.320009699999986</c:v>
                      </c:pt>
                      <c:pt idx="1">
                        <c:v>34.792105439999972</c:v>
                      </c:pt>
                      <c:pt idx="2">
                        <c:v>53.791898949999982</c:v>
                      </c:pt>
                      <c:pt idx="3">
                        <c:v>45.37193597000001</c:v>
                      </c:pt>
                      <c:pt idx="4">
                        <c:v>57.696208250000012</c:v>
                      </c:pt>
                      <c:pt idx="5">
                        <c:v>63.612681760000015</c:v>
                      </c:pt>
                      <c:pt idx="6">
                        <c:v>33.000821430000002</c:v>
                      </c:pt>
                      <c:pt idx="7">
                        <c:v>41.68997195999998</c:v>
                      </c:pt>
                      <c:pt idx="8">
                        <c:v>46.182551330000003</c:v>
                      </c:pt>
                      <c:pt idx="9">
                        <c:v>86.853810940000017</c:v>
                      </c:pt>
                      <c:pt idx="10">
                        <c:v>95.393098619999989</c:v>
                      </c:pt>
                      <c:pt idx="11">
                        <c:v>107.95500660000002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B9-440F-B9B0-8ABCC534DC39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10"/>
          <c:order val="10"/>
          <c:tx>
            <c:strRef>
              <c:f>GRAPHYQUES!$N$34:$O$34</c:f>
              <c:strCache>
                <c:ptCount val="2"/>
                <c:pt idx="0">
                  <c:v>RESULTAT NET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GRAPHYQUES!$P$34:$AA$34</c:f>
              <c:numCache>
                <c:formatCode>#,##0</c:formatCode>
                <c:ptCount val="12"/>
                <c:pt idx="0">
                  <c:v>-51.631855490000014</c:v>
                </c:pt>
                <c:pt idx="1">
                  <c:v>-35.423954780000003</c:v>
                </c:pt>
                <c:pt idx="2">
                  <c:v>-38.361531460000009</c:v>
                </c:pt>
                <c:pt idx="3">
                  <c:v>106.02717030999997</c:v>
                </c:pt>
                <c:pt idx="4">
                  <c:v>-3.3537154100000137</c:v>
                </c:pt>
                <c:pt idx="5">
                  <c:v>-59.472284449999989</c:v>
                </c:pt>
                <c:pt idx="6">
                  <c:v>-65.001840269999988</c:v>
                </c:pt>
                <c:pt idx="7">
                  <c:v>-57.67145601</c:v>
                </c:pt>
                <c:pt idx="8">
                  <c:v>-37.217387879999997</c:v>
                </c:pt>
                <c:pt idx="9">
                  <c:v>-43.795185839999967</c:v>
                </c:pt>
                <c:pt idx="10">
                  <c:v>-27.244855680000001</c:v>
                </c:pt>
                <c:pt idx="11">
                  <c:v>332.65535991000002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7F-4DA6-8A9E-DEB109902B2C}"/>
            </c:ext>
          </c:extLst>
        </c:ser>
        <c:ser>
          <c:idx val="11"/>
          <c:order val="11"/>
          <c:tx>
            <c:strRef>
              <c:f>GRAPHYQUES!$N$35:$O$35</c:f>
              <c:strCache>
                <c:ptCount val="2"/>
                <c:pt idx="0">
                  <c:v>RESULTAT NET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GRAPHYQUES!$P$23:$AA$23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GRAPHYQUES!$P$35:$AA$35</c:f>
              <c:numCache>
                <c:formatCode>#,##0</c:formatCode>
                <c:ptCount val="12"/>
                <c:pt idx="0">
                  <c:v>-33.108966570000007</c:v>
                </c:pt>
                <c:pt idx="1">
                  <c:v>-33.944203840000029</c:v>
                </c:pt>
                <c:pt idx="2">
                  <c:v>59.620624469999974</c:v>
                </c:pt>
                <c:pt idx="3">
                  <c:v>-25.93890888999999</c:v>
                </c:pt>
                <c:pt idx="4">
                  <c:v>-16.447557430000014</c:v>
                </c:pt>
                <c:pt idx="5">
                  <c:v>140.74498141999999</c:v>
                </c:pt>
                <c:pt idx="6">
                  <c:v>-51.175539079999979</c:v>
                </c:pt>
                <c:pt idx="7">
                  <c:v>-46.919264040000037</c:v>
                </c:pt>
                <c:pt idx="8">
                  <c:v>-25.765873889999977</c:v>
                </c:pt>
                <c:pt idx="9">
                  <c:v>12.460477490000004</c:v>
                </c:pt>
                <c:pt idx="10">
                  <c:v>15.793876019999992</c:v>
                </c:pt>
                <c:pt idx="11">
                  <c:v>28.630906810000006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7F-4DA6-8A9E-DEB10990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GRAPHYQUES!$N$24:$O$24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GRAPHYQUES!$P$24:$AA$24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72.594616900000005</c:v>
                      </c:pt>
                      <c:pt idx="1">
                        <c:v>94.859717139999987</c:v>
                      </c:pt>
                      <c:pt idx="2">
                        <c:v>93.211833339999998</c:v>
                      </c:pt>
                      <c:pt idx="3">
                        <c:v>96.2204464</c:v>
                      </c:pt>
                      <c:pt idx="4">
                        <c:v>152.15987580000001</c:v>
                      </c:pt>
                      <c:pt idx="5">
                        <c:v>169.56078120000001</c:v>
                      </c:pt>
                      <c:pt idx="6">
                        <c:v>126.70165040000001</c:v>
                      </c:pt>
                      <c:pt idx="7">
                        <c:v>156.0586892</c:v>
                      </c:pt>
                      <c:pt idx="8">
                        <c:v>207.67180429000001</c:v>
                      </c:pt>
                      <c:pt idx="9">
                        <c:v>217.80896014000001</c:v>
                      </c:pt>
                      <c:pt idx="10">
                        <c:v>235.14587037000001</c:v>
                      </c:pt>
                      <c:pt idx="11">
                        <c:v>486.57359730000007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7F-4DA6-8A9E-DEB109902B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GRAPHYQUES!$N$25:$O$25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GRAPHYQUES!$P$25:$AA$25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92.184710269999997</c:v>
                      </c:pt>
                      <c:pt idx="1">
                        <c:v>98.325431250000008</c:v>
                      </c:pt>
                      <c:pt idx="2">
                        <c:v>192.75221775999998</c:v>
                      </c:pt>
                      <c:pt idx="3">
                        <c:v>197.58164563000003</c:v>
                      </c:pt>
                      <c:pt idx="4">
                        <c:v>248.02460159999998</c:v>
                      </c:pt>
                      <c:pt idx="5">
                        <c:v>345.35723625999998</c:v>
                      </c:pt>
                      <c:pt idx="6">
                        <c:v>147.34745900999999</c:v>
                      </c:pt>
                      <c:pt idx="7">
                        <c:v>197.25824418000002</c:v>
                      </c:pt>
                      <c:pt idx="8">
                        <c:v>220.36779822</c:v>
                      </c:pt>
                      <c:pt idx="9">
                        <c:v>266.37292930000001</c:v>
                      </c:pt>
                      <c:pt idx="10">
                        <c:v>294.23575901000004</c:v>
                      </c:pt>
                      <c:pt idx="11">
                        <c:v>334.56219385999998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7F-4DA6-8A9E-DEB109902B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GRAPHYQUES!$N$26:$O$26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GRAPHYQUES!$P$26:$AA$26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120.98144435</c:v>
                      </c:pt>
                      <c:pt idx="1">
                        <c:v>132.78218099999998</c:v>
                      </c:pt>
                      <c:pt idx="2">
                        <c:v>130.87319431</c:v>
                      </c:pt>
                      <c:pt idx="3">
                        <c:v>72.057038959999986</c:v>
                      </c:pt>
                      <c:pt idx="4">
                        <c:v>106.01176556999999</c:v>
                      </c:pt>
                      <c:pt idx="5">
                        <c:v>204.11082909999999</c:v>
                      </c:pt>
                      <c:pt idx="6">
                        <c:v>109.31915982000001</c:v>
                      </c:pt>
                      <c:pt idx="7">
                        <c:v>151.17009121999999</c:v>
                      </c:pt>
                      <c:pt idx="8">
                        <c:v>185.38558771000004</c:v>
                      </c:pt>
                      <c:pt idx="9">
                        <c:v>216.24811851000001</c:v>
                      </c:pt>
                      <c:pt idx="10">
                        <c:v>193.57986073000001</c:v>
                      </c:pt>
                      <c:pt idx="11">
                        <c:v>384.64935160000005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7F-4DA6-8A9E-DEB109902B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GRAPHYQUES!$N$27:$O$27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FFC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GRAPHYQUES!$P$27:$AA$27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213.49584070999998</c:v>
                      </c:pt>
                      <c:pt idx="1">
                        <c:v>172.19152550999999</c:v>
                      </c:pt>
                      <c:pt idx="2">
                        <c:v>281.07496621000001</c:v>
                      </c:pt>
                      <c:pt idx="3">
                        <c:v>185.04600934000001</c:v>
                      </c:pt>
                      <c:pt idx="4">
                        <c:v>204.53502576</c:v>
                      </c:pt>
                      <c:pt idx="5">
                        <c:v>228.14084779000001</c:v>
                      </c:pt>
                      <c:pt idx="6">
                        <c:v>137.21407348</c:v>
                      </c:pt>
                      <c:pt idx="7">
                        <c:v>173.21041891000002</c:v>
                      </c:pt>
                      <c:pt idx="8">
                        <c:v>184.74831594</c:v>
                      </c:pt>
                      <c:pt idx="9">
                        <c:v>306.76374673000004</c:v>
                      </c:pt>
                      <c:pt idx="10">
                        <c:v>273.27079308999998</c:v>
                      </c:pt>
                      <c:pt idx="11">
                        <c:v>389.44742737999997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7F-4DA6-8A9E-DEB109902B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GRAPHYQUES!$N$28:$O$28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GRAPHYQUES!$P$28:$AA$28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104.06932908000002</c:v>
                      </c:pt>
                      <c:pt idx="1">
                        <c:v>101.10086497</c:v>
                      </c:pt>
                      <c:pt idx="2">
                        <c:v>99.773181240000014</c:v>
                      </c:pt>
                      <c:pt idx="3">
                        <c:v>60.573071120000002</c:v>
                      </c:pt>
                      <c:pt idx="4">
                        <c:v>66.085679040000002</c:v>
                      </c:pt>
                      <c:pt idx="5">
                        <c:v>140.41066816</c:v>
                      </c:pt>
                      <c:pt idx="6">
                        <c:v>83.361222760000004</c:v>
                      </c:pt>
                      <c:pt idx="7">
                        <c:v>122.16785022000001</c:v>
                      </c:pt>
                      <c:pt idx="8">
                        <c:v>131.82940602000002</c:v>
                      </c:pt>
                      <c:pt idx="9">
                        <c:v>173.18429282999998</c:v>
                      </c:pt>
                      <c:pt idx="10">
                        <c:v>128.4683775</c:v>
                      </c:pt>
                      <c:pt idx="11">
                        <c:v>222.11881713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7F-4DA6-8A9E-DEB109902B2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GRAPHYQUES!$N$29:$O$29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GRAPHYQUES!$P$29:$AA$29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162.49593348999997</c:v>
                      </c:pt>
                      <c:pt idx="1">
                        <c:v>126.88893487</c:v>
                      </c:pt>
                      <c:pt idx="2">
                        <c:v>214.45810731</c:v>
                      </c:pt>
                      <c:pt idx="3">
                        <c:v>129.19147074</c:v>
                      </c:pt>
                      <c:pt idx="4">
                        <c:v>133.63691832000001</c:v>
                      </c:pt>
                      <c:pt idx="5">
                        <c:v>150.17935711999999</c:v>
                      </c:pt>
                      <c:pt idx="6">
                        <c:v>85.600110349999994</c:v>
                      </c:pt>
                      <c:pt idx="7">
                        <c:v>118.37223598999999</c:v>
                      </c:pt>
                      <c:pt idx="8">
                        <c:v>121.96870238000001</c:v>
                      </c:pt>
                      <c:pt idx="9">
                        <c:v>204.20791288999999</c:v>
                      </c:pt>
                      <c:pt idx="10">
                        <c:v>161.21316583999999</c:v>
                      </c:pt>
                      <c:pt idx="11">
                        <c:v>260.56986866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7F-4DA6-8A9E-DEB109902B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GRAPHYQUES!$N$30:$O$30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GRAPHYQUES!$P$30:$AA$30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7.0997781899999932</c:v>
                      </c:pt>
                      <c:pt idx="1">
                        <c:v>23.411253420000001</c:v>
                      </c:pt>
                      <c:pt idx="2">
                        <c:v>23.481179669999989</c:v>
                      </c:pt>
                      <c:pt idx="3">
                        <c:v>5.6236285199999987</c:v>
                      </c:pt>
                      <c:pt idx="4">
                        <c:v>31.658686349999989</c:v>
                      </c:pt>
                      <c:pt idx="5">
                        <c:v>46.742336650000013</c:v>
                      </c:pt>
                      <c:pt idx="6">
                        <c:v>10.798667260000011</c:v>
                      </c:pt>
                      <c:pt idx="7">
                        <c:v>17.343832919999997</c:v>
                      </c:pt>
                      <c:pt idx="8">
                        <c:v>39.75473324</c:v>
                      </c:pt>
                      <c:pt idx="9">
                        <c:v>28.465406550000033</c:v>
                      </c:pt>
                      <c:pt idx="10">
                        <c:v>46.099559849999999</c:v>
                      </c:pt>
                      <c:pt idx="11">
                        <c:v>130.49365509000006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7F-4DA6-8A9E-DEB109902B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GRAPHYQUES!$N$31:$O$31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GRAPHYQUES!$P$31:$AA$31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38.320009699999986</c:v>
                      </c:pt>
                      <c:pt idx="1">
                        <c:v>34.792105439999972</c:v>
                      </c:pt>
                      <c:pt idx="2">
                        <c:v>53.791898949999982</c:v>
                      </c:pt>
                      <c:pt idx="3">
                        <c:v>45.37193597000001</c:v>
                      </c:pt>
                      <c:pt idx="4">
                        <c:v>57.696208250000012</c:v>
                      </c:pt>
                      <c:pt idx="5">
                        <c:v>63.612681760000015</c:v>
                      </c:pt>
                      <c:pt idx="6">
                        <c:v>33.000821430000002</c:v>
                      </c:pt>
                      <c:pt idx="7">
                        <c:v>41.68997195999998</c:v>
                      </c:pt>
                      <c:pt idx="8">
                        <c:v>46.182551330000003</c:v>
                      </c:pt>
                      <c:pt idx="9">
                        <c:v>86.853810940000017</c:v>
                      </c:pt>
                      <c:pt idx="10">
                        <c:v>95.393098619999989</c:v>
                      </c:pt>
                      <c:pt idx="11">
                        <c:v>107.95500660000002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7F-4DA6-8A9E-DEB109902B2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GRAPHYQUES!$N$32:$O$32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GRAPHYQUES!$P$32:$AA$32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49.642073340000003</c:v>
                      </c:pt>
                      <c:pt idx="1">
                        <c:v>50.243161449999988</c:v>
                      </c:pt>
                      <c:pt idx="2">
                        <c:v>52.732671489999994</c:v>
                      </c:pt>
                      <c:pt idx="3">
                        <c:v>52.246820140000004</c:v>
                      </c:pt>
                      <c:pt idx="4">
                        <c:v>50.447913080000006</c:v>
                      </c:pt>
                      <c:pt idx="5">
                        <c:v>50.249244259999998</c:v>
                      </c:pt>
                      <c:pt idx="6">
                        <c:v>64.91682496</c:v>
                      </c:pt>
                      <c:pt idx="7">
                        <c:v>60.684875789999992</c:v>
                      </c:pt>
                      <c:pt idx="8">
                        <c:v>62.232289309999999</c:v>
                      </c:pt>
                      <c:pt idx="9">
                        <c:v>61.798060169999999</c:v>
                      </c:pt>
                      <c:pt idx="10">
                        <c:v>63.62710946</c:v>
                      </c:pt>
                      <c:pt idx="11">
                        <c:v>67.616969470000001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07F-4DA6-8A9E-DEB109902B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GRAPHYQUES!$N$33:$O$33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4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GRAPHYQUES!$P$23:$AA$23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GRAPHYQUES!$P$33:$AA$33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60.995273739999995</c:v>
                      </c:pt>
                      <c:pt idx="1">
                        <c:v>64.411506930000002</c:v>
                      </c:pt>
                      <c:pt idx="2">
                        <c:v>62.324420439999997</c:v>
                      </c:pt>
                      <c:pt idx="3">
                        <c:v>63.77517757999999</c:v>
                      </c:pt>
                      <c:pt idx="4">
                        <c:v>64.635168899999996</c:v>
                      </c:pt>
                      <c:pt idx="5">
                        <c:v>58.399031139999998</c:v>
                      </c:pt>
                      <c:pt idx="6">
                        <c:v>74.437410469999989</c:v>
                      </c:pt>
                      <c:pt idx="7">
                        <c:v>79.271876539999994</c:v>
                      </c:pt>
                      <c:pt idx="8">
                        <c:v>62.338564840000004</c:v>
                      </c:pt>
                      <c:pt idx="9">
                        <c:v>62.126336339999995</c:v>
                      </c:pt>
                      <c:pt idx="10">
                        <c:v>66.072581009999993</c:v>
                      </c:pt>
                      <c:pt idx="11">
                        <c:v>65.343683830000003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7F-4DA6-8A9E-DEB109902B2C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0"/>
          <c:order val="0"/>
          <c:tx>
            <c:strRef>
              <c:f>GRAPHYQUES!$N$59:$O$59</c:f>
              <c:strCache>
                <c:ptCount val="2"/>
                <c:pt idx="0">
                  <c:v>CHIFFRE D'AFFAIRES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GRAPHYQUES!$P$59:$AA$59</c:f>
              <c:numCache>
                <c:formatCode>#,##0</c:formatCode>
                <c:ptCount val="12"/>
                <c:pt idx="0">
                  <c:v>2.5</c:v>
                </c:pt>
                <c:pt idx="1">
                  <c:v>2.5</c:v>
                </c:pt>
                <c:pt idx="2">
                  <c:v>8.1999999999999993</c:v>
                </c:pt>
                <c:pt idx="3">
                  <c:v>2.5</c:v>
                </c:pt>
                <c:pt idx="4">
                  <c:v>2.5</c:v>
                </c:pt>
                <c:pt idx="5">
                  <c:v>8.1999999999999993</c:v>
                </c:pt>
                <c:pt idx="6">
                  <c:v>2.8</c:v>
                </c:pt>
                <c:pt idx="7">
                  <c:v>2.5</c:v>
                </c:pt>
                <c:pt idx="8">
                  <c:v>4.3</c:v>
                </c:pt>
                <c:pt idx="9">
                  <c:v>2.5</c:v>
                </c:pt>
                <c:pt idx="10">
                  <c:v>2.5</c:v>
                </c:pt>
                <c:pt idx="11">
                  <c:v>98.593823540000002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8-4643-8FDB-7026D2A0355F}"/>
            </c:ext>
          </c:extLst>
        </c:ser>
        <c:ser>
          <c:idx val="1"/>
          <c:order val="1"/>
          <c:tx>
            <c:strRef>
              <c:f>GRAPHYQUES!$N$60:$O$60</c:f>
              <c:strCache>
                <c:ptCount val="2"/>
                <c:pt idx="0">
                  <c:v>CHIFFRE D'AFFAIRES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GRAPHYQUES!$P$60:$AA$60</c:f>
              <c:numCache>
                <c:formatCode>#,##0.00</c:formatCode>
                <c:ptCount val="12"/>
                <c:pt idx="0">
                  <c:v>18</c:v>
                </c:pt>
                <c:pt idx="1">
                  <c:v>0</c:v>
                </c:pt>
                <c:pt idx="2">
                  <c:v>1.35</c:v>
                </c:pt>
                <c:pt idx="3">
                  <c:v>0</c:v>
                </c:pt>
                <c:pt idx="4">
                  <c:v>0</c:v>
                </c:pt>
                <c:pt idx="5">
                  <c:v>1.35</c:v>
                </c:pt>
                <c:pt idx="6">
                  <c:v>3</c:v>
                </c:pt>
                <c:pt idx="7">
                  <c:v>3</c:v>
                </c:pt>
                <c:pt idx="8">
                  <c:v>4.3499999999999996</c:v>
                </c:pt>
                <c:pt idx="9">
                  <c:v>3</c:v>
                </c:pt>
                <c:pt idx="10">
                  <c:v>3</c:v>
                </c:pt>
                <c:pt idx="11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8-4643-8FDB-7026D2A0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GRAPHYQUES!$N$61:$O$61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GRAPHYQUES!$P$61:$AA$61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 formatCode="#,##0">
                        <c:v>2.5</c:v>
                      </c:pt>
                      <c:pt idx="8" formatCode="#,##0">
                        <c:v>4.3</c:v>
                      </c:pt>
                      <c:pt idx="9" formatCode="#,##0">
                        <c:v>2.5</c:v>
                      </c:pt>
                      <c:pt idx="10" formatCode="#,##0">
                        <c:v>2.5</c:v>
                      </c:pt>
                      <c:pt idx="11" formatCode="#,##0">
                        <c:v>98.593823540000002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98-4643-8FDB-7026D2A035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GRAPHYQUES!$N$62:$O$62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GRAPHYQUES!$P$62:$AA$62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98-4643-8FDB-7026D2A0355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GRAPHYQUES!$N$63:$O$63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GRAPHYQUES!$P$63:$AA$63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-6.4640550000000005E-2</c:v>
                      </c:pt>
                      <c:pt idx="1">
                        <c:v>0.11038427000000001</c:v>
                      </c:pt>
                      <c:pt idx="2">
                        <c:v>0.20832359</c:v>
                      </c:pt>
                      <c:pt idx="3">
                        <c:v>0.30950548</c:v>
                      </c:pt>
                      <c:pt idx="4">
                        <c:v>0.22647606000000001</c:v>
                      </c:pt>
                      <c:pt idx="5">
                        <c:v>0.27203082000000001</c:v>
                      </c:pt>
                      <c:pt idx="6">
                        <c:v>0.47041864</c:v>
                      </c:pt>
                      <c:pt idx="7" formatCode="#,##0">
                        <c:v>0.3733534</c:v>
                      </c:pt>
                      <c:pt idx="8" formatCode="#,##0">
                        <c:v>0.34414748000000001</c:v>
                      </c:pt>
                      <c:pt idx="9" formatCode="#,##0">
                        <c:v>0.68071223999999997</c:v>
                      </c:pt>
                      <c:pt idx="10" formatCode="#,##0">
                        <c:v>1.7311125199999999</c:v>
                      </c:pt>
                      <c:pt idx="11" formatCode="#,##0">
                        <c:v>38.791888239999999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98-4643-8FDB-7026D2A035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GRAPHYQUES!$N$64:$O$64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GRAPHYQUES!$P$64:$AA$64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0.46549612000000001</c:v>
                      </c:pt>
                      <c:pt idx="1">
                        <c:v>0.92241348999999995</c:v>
                      </c:pt>
                      <c:pt idx="2">
                        <c:v>0.65156263000000003</c:v>
                      </c:pt>
                      <c:pt idx="3">
                        <c:v>0.94059872999999994</c:v>
                      </c:pt>
                      <c:pt idx="4">
                        <c:v>0.44777995000000004</c:v>
                      </c:pt>
                      <c:pt idx="5">
                        <c:v>0.26480273999999998</c:v>
                      </c:pt>
                      <c:pt idx="6">
                        <c:v>0.19944255999999999</c:v>
                      </c:pt>
                      <c:pt idx="7">
                        <c:v>0.59656613000000003</c:v>
                      </c:pt>
                      <c:pt idx="8">
                        <c:v>-0.55158850000000004</c:v>
                      </c:pt>
                      <c:pt idx="9">
                        <c:v>0.30497690999999999</c:v>
                      </c:pt>
                      <c:pt idx="10">
                        <c:v>0.46646046999999996</c:v>
                      </c:pt>
                      <c:pt idx="11">
                        <c:v>1.12258653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98-4643-8FDB-7026D2A0355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GRAPHYQUES!$N$65:$O$65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GRAPHYQUES!$P$65:$AA$65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1.36395205</c:v>
                      </c:pt>
                      <c:pt idx="1">
                        <c:v>0.67346110000000015</c:v>
                      </c:pt>
                      <c:pt idx="2">
                        <c:v>7.0642176799999996</c:v>
                      </c:pt>
                      <c:pt idx="3">
                        <c:v>1.6326362700000001</c:v>
                      </c:pt>
                      <c:pt idx="4">
                        <c:v>0.96614829000000002</c:v>
                      </c:pt>
                      <c:pt idx="5">
                        <c:v>2.5886850199999993</c:v>
                      </c:pt>
                      <c:pt idx="6">
                        <c:v>-1.9649233199999994</c:v>
                      </c:pt>
                      <c:pt idx="7" formatCode="#,##0">
                        <c:v>0.20604943999999994</c:v>
                      </c:pt>
                      <c:pt idx="8" formatCode="#,##0">
                        <c:v>2.31968533</c:v>
                      </c:pt>
                      <c:pt idx="9" formatCode="#,##0">
                        <c:v>-0.3490241900000004</c:v>
                      </c:pt>
                      <c:pt idx="10" formatCode="#,##0">
                        <c:v>-2.8829999599999998</c:v>
                      </c:pt>
                      <c:pt idx="11" formatCode="#,##0">
                        <c:v>51.773354870000006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98-4643-8FDB-7026D2A0355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GRAPHYQUES!$N$66:$O$66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GRAPHYQUES!$P$66:$AA$66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15.434513920000001</c:v>
                      </c:pt>
                      <c:pt idx="1">
                        <c:v>-2.9936784400000001</c:v>
                      </c:pt>
                      <c:pt idx="2">
                        <c:v>-2.1065021000000002</c:v>
                      </c:pt>
                      <c:pt idx="3">
                        <c:v>-5.5385633800000011</c:v>
                      </c:pt>
                      <c:pt idx="4">
                        <c:v>-3.0724553000000001</c:v>
                      </c:pt>
                      <c:pt idx="5">
                        <c:v>-2.3570315300000004</c:v>
                      </c:pt>
                      <c:pt idx="6">
                        <c:v>-5.5211275099999995</c:v>
                      </c:pt>
                      <c:pt idx="7">
                        <c:v>1.0704871899999999</c:v>
                      </c:pt>
                      <c:pt idx="8">
                        <c:v>1.6800145499999999</c:v>
                      </c:pt>
                      <c:pt idx="9">
                        <c:v>-0.54654752000000006</c:v>
                      </c:pt>
                      <c:pt idx="10">
                        <c:v>-0.72239529999999985</c:v>
                      </c:pt>
                      <c:pt idx="11">
                        <c:v>-2.3592016500000006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98-4643-8FDB-7026D2A0355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GRAPHYQUES!$N$67:$O$67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GRAPHYQUES!$P$67:$AA$67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7.69085733</c:v>
                      </c:pt>
                      <c:pt idx="1">
                        <c:v>8.1624952999999998</c:v>
                      </c:pt>
                      <c:pt idx="2">
                        <c:v>8.1849258099999993</c:v>
                      </c:pt>
                      <c:pt idx="3">
                        <c:v>8.6123882799999993</c:v>
                      </c:pt>
                      <c:pt idx="4">
                        <c:v>8.6132625100000002</c:v>
                      </c:pt>
                      <c:pt idx="5">
                        <c:v>8.4553907899999992</c:v>
                      </c:pt>
                      <c:pt idx="6">
                        <c:v>8.7862774899999998</c:v>
                      </c:pt>
                      <c:pt idx="7" formatCode="#,##0">
                        <c:v>9.9851610399999995</c:v>
                      </c:pt>
                      <c:pt idx="8" formatCode="#,##0">
                        <c:v>13.451512279999999</c:v>
                      </c:pt>
                      <c:pt idx="9" formatCode="#,##0">
                        <c:v>10.257791529999999</c:v>
                      </c:pt>
                      <c:pt idx="10" formatCode="#,##0">
                        <c:v>10.000583970000001</c:v>
                      </c:pt>
                      <c:pt idx="11" formatCode="#,##0">
                        <c:v>36.880329840000002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98-4643-8FDB-7026D2A0355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GRAPHYQUES!$N$68:$O$68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GRAPHYQUES!$P$68:$AA$68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10.559188240000001</c:v>
                      </c:pt>
                      <c:pt idx="1">
                        <c:v>10.849396029999999</c:v>
                      </c:pt>
                      <c:pt idx="2">
                        <c:v>11.52690059</c:v>
                      </c:pt>
                      <c:pt idx="3">
                        <c:v>13.720481919999999</c:v>
                      </c:pt>
                      <c:pt idx="4">
                        <c:v>14.37187188</c:v>
                      </c:pt>
                      <c:pt idx="5">
                        <c:v>10.587601660000001</c:v>
                      </c:pt>
                      <c:pt idx="6">
                        <c:v>12.98302157</c:v>
                      </c:pt>
                      <c:pt idx="7">
                        <c:v>14.649707300000001</c:v>
                      </c:pt>
                      <c:pt idx="8">
                        <c:v>17.256683339999999</c:v>
                      </c:pt>
                      <c:pt idx="9">
                        <c:v>11.319395720000001</c:v>
                      </c:pt>
                      <c:pt idx="10">
                        <c:v>16.422787449999998</c:v>
                      </c:pt>
                      <c:pt idx="11">
                        <c:v>14.44020255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98-4643-8FDB-7026D2A0355F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6"/>
          <c:order val="6"/>
          <c:tx>
            <c:strRef>
              <c:f>GRAPHYQUES!$N$65:$O$65</c:f>
              <c:strCache>
                <c:ptCount val="2"/>
                <c:pt idx="0">
                  <c:v>VALEUR AJOUTEE 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GRAPHYQUES!$P$65:$AA$65</c:f>
              <c:numCache>
                <c:formatCode>#,##0.00</c:formatCode>
                <c:ptCount val="12"/>
                <c:pt idx="0">
                  <c:v>1.36395205</c:v>
                </c:pt>
                <c:pt idx="1">
                  <c:v>0.67346110000000015</c:v>
                </c:pt>
                <c:pt idx="2">
                  <c:v>7.0642176799999996</c:v>
                </c:pt>
                <c:pt idx="3">
                  <c:v>1.6326362700000001</c:v>
                </c:pt>
                <c:pt idx="4">
                  <c:v>0.96614829000000002</c:v>
                </c:pt>
                <c:pt idx="5">
                  <c:v>2.5886850199999993</c:v>
                </c:pt>
                <c:pt idx="6">
                  <c:v>-1.9649233199999994</c:v>
                </c:pt>
                <c:pt idx="7" formatCode="#,##0">
                  <c:v>0.20604943999999994</c:v>
                </c:pt>
                <c:pt idx="8" formatCode="#,##0">
                  <c:v>2.31968533</c:v>
                </c:pt>
                <c:pt idx="9" formatCode="#,##0">
                  <c:v>-0.3490241900000004</c:v>
                </c:pt>
                <c:pt idx="10" formatCode="#,##0">
                  <c:v>-2.8829999599999998</c:v>
                </c:pt>
                <c:pt idx="11" formatCode="#,##0">
                  <c:v>51.773354870000006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7-40C9-B6AA-79A749AC9702}"/>
            </c:ext>
          </c:extLst>
        </c:ser>
        <c:ser>
          <c:idx val="7"/>
          <c:order val="7"/>
          <c:tx>
            <c:strRef>
              <c:f>GRAPHYQUES!$N$66:$O$66</c:f>
              <c:strCache>
                <c:ptCount val="2"/>
                <c:pt idx="0">
                  <c:v>VALEUR AJOUTEE 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GRAPHYQUES!$P$66:$AA$66</c:f>
              <c:numCache>
                <c:formatCode>#,##0.00</c:formatCode>
                <c:ptCount val="12"/>
                <c:pt idx="0">
                  <c:v>15.434513920000001</c:v>
                </c:pt>
                <c:pt idx="1">
                  <c:v>-2.9936784400000001</c:v>
                </c:pt>
                <c:pt idx="2">
                  <c:v>-2.1065021000000002</c:v>
                </c:pt>
                <c:pt idx="3">
                  <c:v>-5.5385633800000011</c:v>
                </c:pt>
                <c:pt idx="4">
                  <c:v>-3.0724553000000001</c:v>
                </c:pt>
                <c:pt idx="5">
                  <c:v>-2.3570315300000004</c:v>
                </c:pt>
                <c:pt idx="6">
                  <c:v>-5.5211275099999995</c:v>
                </c:pt>
                <c:pt idx="7">
                  <c:v>1.0704871899999999</c:v>
                </c:pt>
                <c:pt idx="8">
                  <c:v>1.6800145499999999</c:v>
                </c:pt>
                <c:pt idx="9">
                  <c:v>-0.54654752000000006</c:v>
                </c:pt>
                <c:pt idx="10">
                  <c:v>-0.72239529999999985</c:v>
                </c:pt>
                <c:pt idx="11">
                  <c:v>-2.3592016500000006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7-40C9-B6AA-79A749AC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GRAPHYQUES!$N$59:$O$59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GRAPHYQUES!$P$59:$AA$59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>
                        <c:v>2.5</c:v>
                      </c:pt>
                      <c:pt idx="8">
                        <c:v>4.3</c:v>
                      </c:pt>
                      <c:pt idx="9">
                        <c:v>2.5</c:v>
                      </c:pt>
                      <c:pt idx="10">
                        <c:v>2.5</c:v>
                      </c:pt>
                      <c:pt idx="11">
                        <c:v>98.593823540000002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67-40C9-B6AA-79A749AC97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GRAPHYQUES!$N$60:$O$60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GRAPHYQUES!$P$60:$AA$60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67-40C9-B6AA-79A749AC97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GRAPHYQUES!$N$61:$O$61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GRAPHYQUES!$P$61:$AA$61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 formatCode="#,##0">
                        <c:v>2.5</c:v>
                      </c:pt>
                      <c:pt idx="8" formatCode="#,##0">
                        <c:v>4.3</c:v>
                      </c:pt>
                      <c:pt idx="9" formatCode="#,##0">
                        <c:v>2.5</c:v>
                      </c:pt>
                      <c:pt idx="10" formatCode="#,##0">
                        <c:v>2.5</c:v>
                      </c:pt>
                      <c:pt idx="11" formatCode="#,##0">
                        <c:v>98.593823540000002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67-40C9-B6AA-79A749AC97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GRAPHYQUES!$N$62:$O$62</c15:sqref>
                        </c15:formulaRef>
                      </c:ext>
                    </c:extLst>
                    <c:strCache>
                      <c:ptCount val="2"/>
                      <c:pt idx="0">
                        <c:v>PRODUCTION DE L'EXERCICE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GRAPHYQUES!$P$62:$AA$62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67-40C9-B6AA-79A749AC97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GRAPHYQUES!$N$63:$O$63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GRAPHYQUES!$P$63:$AA$63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-6.4640550000000005E-2</c:v>
                      </c:pt>
                      <c:pt idx="1">
                        <c:v>0.11038427000000001</c:v>
                      </c:pt>
                      <c:pt idx="2">
                        <c:v>0.20832359</c:v>
                      </c:pt>
                      <c:pt idx="3">
                        <c:v>0.30950548</c:v>
                      </c:pt>
                      <c:pt idx="4">
                        <c:v>0.22647606000000001</c:v>
                      </c:pt>
                      <c:pt idx="5">
                        <c:v>0.27203082000000001</c:v>
                      </c:pt>
                      <c:pt idx="6">
                        <c:v>0.47041864</c:v>
                      </c:pt>
                      <c:pt idx="7" formatCode="#,##0">
                        <c:v>0.3733534</c:v>
                      </c:pt>
                      <c:pt idx="8" formatCode="#,##0">
                        <c:v>0.34414748000000001</c:v>
                      </c:pt>
                      <c:pt idx="9" formatCode="#,##0">
                        <c:v>0.68071223999999997</c:v>
                      </c:pt>
                      <c:pt idx="10" formatCode="#,##0">
                        <c:v>1.7311125199999999</c:v>
                      </c:pt>
                      <c:pt idx="11" formatCode="#,##0">
                        <c:v>38.791888239999999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67-40C9-B6AA-79A749AC97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GRAPHYQUES!$N$64:$O$64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GRAPHYQUES!$P$64:$AA$64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0.46549612000000001</c:v>
                      </c:pt>
                      <c:pt idx="1">
                        <c:v>0.92241348999999995</c:v>
                      </c:pt>
                      <c:pt idx="2">
                        <c:v>0.65156263000000003</c:v>
                      </c:pt>
                      <c:pt idx="3">
                        <c:v>0.94059872999999994</c:v>
                      </c:pt>
                      <c:pt idx="4">
                        <c:v>0.44777995000000004</c:v>
                      </c:pt>
                      <c:pt idx="5">
                        <c:v>0.26480273999999998</c:v>
                      </c:pt>
                      <c:pt idx="6">
                        <c:v>0.19944255999999999</c:v>
                      </c:pt>
                      <c:pt idx="7">
                        <c:v>0.59656613000000003</c:v>
                      </c:pt>
                      <c:pt idx="8">
                        <c:v>-0.55158850000000004</c:v>
                      </c:pt>
                      <c:pt idx="9">
                        <c:v>0.30497690999999999</c:v>
                      </c:pt>
                      <c:pt idx="10">
                        <c:v>0.46646046999999996</c:v>
                      </c:pt>
                      <c:pt idx="11">
                        <c:v>1.12258653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67-40C9-B6AA-79A749AC97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GRAPHYQUES!$N$67:$O$67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GRAPHYQUES!$P$67:$AA$67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7.69085733</c:v>
                      </c:pt>
                      <c:pt idx="1">
                        <c:v>8.1624952999999998</c:v>
                      </c:pt>
                      <c:pt idx="2">
                        <c:v>8.1849258099999993</c:v>
                      </c:pt>
                      <c:pt idx="3">
                        <c:v>8.6123882799999993</c:v>
                      </c:pt>
                      <c:pt idx="4">
                        <c:v>8.6132625100000002</c:v>
                      </c:pt>
                      <c:pt idx="5">
                        <c:v>8.4553907899999992</c:v>
                      </c:pt>
                      <c:pt idx="6">
                        <c:v>8.7862774899999998</c:v>
                      </c:pt>
                      <c:pt idx="7" formatCode="#,##0">
                        <c:v>9.9851610399999995</c:v>
                      </c:pt>
                      <c:pt idx="8" formatCode="#,##0">
                        <c:v>13.451512279999999</c:v>
                      </c:pt>
                      <c:pt idx="9" formatCode="#,##0">
                        <c:v>10.257791529999999</c:v>
                      </c:pt>
                      <c:pt idx="10" formatCode="#,##0">
                        <c:v>10.000583970000001</c:v>
                      </c:pt>
                      <c:pt idx="11" formatCode="#,##0">
                        <c:v>36.880329840000002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67-40C9-B6AA-79A749AC970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GRAPHYQUES!$N$68:$O$68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GRAPHYQUES!$P$68:$AA$68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10.559188240000001</c:v>
                      </c:pt>
                      <c:pt idx="1">
                        <c:v>10.849396029999999</c:v>
                      </c:pt>
                      <c:pt idx="2">
                        <c:v>11.52690059</c:v>
                      </c:pt>
                      <c:pt idx="3">
                        <c:v>13.720481919999999</c:v>
                      </c:pt>
                      <c:pt idx="4">
                        <c:v>14.37187188</c:v>
                      </c:pt>
                      <c:pt idx="5">
                        <c:v>10.587601660000001</c:v>
                      </c:pt>
                      <c:pt idx="6">
                        <c:v>12.98302157</c:v>
                      </c:pt>
                      <c:pt idx="7">
                        <c:v>14.649707300000001</c:v>
                      </c:pt>
                      <c:pt idx="8">
                        <c:v>17.256683339999999</c:v>
                      </c:pt>
                      <c:pt idx="9">
                        <c:v>11.319395720000001</c:v>
                      </c:pt>
                      <c:pt idx="10">
                        <c:v>16.422787449999998</c:v>
                      </c:pt>
                      <c:pt idx="11">
                        <c:v>14.44020255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67-40C9-B6AA-79A749AC9702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9988807043574"/>
          <c:y val="5.0769224619112707E-2"/>
          <c:w val="0.84001443934499742"/>
          <c:h val="0.67242765930615878"/>
        </c:manualLayout>
      </c:layout>
      <c:lineChart>
        <c:grouping val="standard"/>
        <c:varyColors val="0"/>
        <c:ser>
          <c:idx val="2"/>
          <c:order val="2"/>
          <c:tx>
            <c:strRef>
              <c:f>GRAPHYQUES!$N$61:$O$61</c:f>
              <c:strCache>
                <c:ptCount val="2"/>
                <c:pt idx="0">
                  <c:v>PRODUCTION DE L'EXERCICE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GRAPHYQUES!$P$61:$AA$61</c:f>
              <c:numCache>
                <c:formatCode>#,##0.00</c:formatCode>
                <c:ptCount val="12"/>
                <c:pt idx="0">
                  <c:v>2.5</c:v>
                </c:pt>
                <c:pt idx="1">
                  <c:v>2.5</c:v>
                </c:pt>
                <c:pt idx="2">
                  <c:v>8.1999999999999993</c:v>
                </c:pt>
                <c:pt idx="3">
                  <c:v>2.5</c:v>
                </c:pt>
                <c:pt idx="4">
                  <c:v>2.5</c:v>
                </c:pt>
                <c:pt idx="5">
                  <c:v>8.1999999999999993</c:v>
                </c:pt>
                <c:pt idx="6">
                  <c:v>2.8</c:v>
                </c:pt>
                <c:pt idx="7" formatCode="#,##0">
                  <c:v>2.5</c:v>
                </c:pt>
                <c:pt idx="8" formatCode="#,##0">
                  <c:v>4.3</c:v>
                </c:pt>
                <c:pt idx="9" formatCode="#,##0">
                  <c:v>2.5</c:v>
                </c:pt>
                <c:pt idx="10" formatCode="#,##0">
                  <c:v>2.5</c:v>
                </c:pt>
                <c:pt idx="11" formatCode="#,##0">
                  <c:v>98.593823540000002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6-4477-ABF7-2378E5DFE0E8}"/>
            </c:ext>
          </c:extLst>
        </c:ser>
        <c:ser>
          <c:idx val="3"/>
          <c:order val="3"/>
          <c:tx>
            <c:strRef>
              <c:f>GRAPHYQUES!$N$62:$O$62</c:f>
              <c:strCache>
                <c:ptCount val="2"/>
                <c:pt idx="0">
                  <c:v>PRODUCTION DE L'EXERCICE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GRAPHYQUES!$P$58:$AA$58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GRAPHYQUES!$P$62:$AA$62</c:f>
              <c:numCache>
                <c:formatCode>#,##0.00</c:formatCode>
                <c:ptCount val="12"/>
                <c:pt idx="0">
                  <c:v>18</c:v>
                </c:pt>
                <c:pt idx="1">
                  <c:v>0</c:v>
                </c:pt>
                <c:pt idx="2">
                  <c:v>1.35</c:v>
                </c:pt>
                <c:pt idx="3">
                  <c:v>0</c:v>
                </c:pt>
                <c:pt idx="4">
                  <c:v>0</c:v>
                </c:pt>
                <c:pt idx="5">
                  <c:v>1.35</c:v>
                </c:pt>
                <c:pt idx="6">
                  <c:v>3</c:v>
                </c:pt>
                <c:pt idx="7">
                  <c:v>3</c:v>
                </c:pt>
                <c:pt idx="8">
                  <c:v>4.3499999999999996</c:v>
                </c:pt>
                <c:pt idx="9">
                  <c:v>3</c:v>
                </c:pt>
                <c:pt idx="10">
                  <c:v>3</c:v>
                </c:pt>
                <c:pt idx="11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6-4477-ABF7-2378E5DF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6024544"/>
        <c:axId val="16760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GRAPHYQUES!$N$59:$O$59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GRAPHYQUES!$P$59:$AA$59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8.1999999999999993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8.1999999999999993</c:v>
                      </c:pt>
                      <c:pt idx="6">
                        <c:v>2.8</c:v>
                      </c:pt>
                      <c:pt idx="7">
                        <c:v>2.5</c:v>
                      </c:pt>
                      <c:pt idx="8">
                        <c:v>4.3</c:v>
                      </c:pt>
                      <c:pt idx="9">
                        <c:v>2.5</c:v>
                      </c:pt>
                      <c:pt idx="10">
                        <c:v>2.5</c:v>
                      </c:pt>
                      <c:pt idx="11">
                        <c:v>98.593823540000002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D6-4477-ABF7-2378E5DFE0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GRAPHYQUES!$N$60:$O$60</c15:sqref>
                        </c15:formulaRef>
                      </c:ext>
                    </c:extLst>
                    <c:strCache>
                      <c:ptCount val="2"/>
                      <c:pt idx="0">
                        <c:v>CHIFFRE D'AFFAIRES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GRAPHYQUES!$P$60:$AA$60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1.35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4.3499999999999996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4.3499999999999996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D6-4477-ABF7-2378E5DFE0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GRAPHYQUES!$N$63:$O$63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GRAPHYQUES!$P$63:$AA$63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-6.4640550000000005E-2</c:v>
                      </c:pt>
                      <c:pt idx="1">
                        <c:v>0.11038427000000001</c:v>
                      </c:pt>
                      <c:pt idx="2">
                        <c:v>0.20832359</c:v>
                      </c:pt>
                      <c:pt idx="3">
                        <c:v>0.30950548</c:v>
                      </c:pt>
                      <c:pt idx="4">
                        <c:v>0.22647606000000001</c:v>
                      </c:pt>
                      <c:pt idx="5">
                        <c:v>0.27203082000000001</c:v>
                      </c:pt>
                      <c:pt idx="6">
                        <c:v>0.47041864</c:v>
                      </c:pt>
                      <c:pt idx="7" formatCode="#,##0">
                        <c:v>0.3733534</c:v>
                      </c:pt>
                      <c:pt idx="8" formatCode="#,##0">
                        <c:v>0.34414748000000001</c:v>
                      </c:pt>
                      <c:pt idx="9" formatCode="#,##0">
                        <c:v>0.68071223999999997</c:v>
                      </c:pt>
                      <c:pt idx="10" formatCode="#,##0">
                        <c:v>1.7311125199999999</c:v>
                      </c:pt>
                      <c:pt idx="11" formatCode="#,##0">
                        <c:v>38.791888239999999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D6-4477-ABF7-2378E5DFE0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GRAPHYQUES!$N$64:$O$64</c15:sqref>
                        </c15:formulaRef>
                      </c:ext>
                    </c:extLst>
                    <c:strCache>
                      <c:ptCount val="2"/>
                      <c:pt idx="0">
                        <c:v>ACHATS CONSOMMES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GRAPHYQUES!$P$64:$AA$64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0.46549612000000001</c:v>
                      </c:pt>
                      <c:pt idx="1">
                        <c:v>0.92241348999999995</c:v>
                      </c:pt>
                      <c:pt idx="2">
                        <c:v>0.65156263000000003</c:v>
                      </c:pt>
                      <c:pt idx="3">
                        <c:v>0.94059872999999994</c:v>
                      </c:pt>
                      <c:pt idx="4">
                        <c:v>0.44777995000000004</c:v>
                      </c:pt>
                      <c:pt idx="5">
                        <c:v>0.26480273999999998</c:v>
                      </c:pt>
                      <c:pt idx="6">
                        <c:v>0.19944255999999999</c:v>
                      </c:pt>
                      <c:pt idx="7">
                        <c:v>0.59656613000000003</c:v>
                      </c:pt>
                      <c:pt idx="8">
                        <c:v>-0.55158850000000004</c:v>
                      </c:pt>
                      <c:pt idx="9">
                        <c:v>0.30497690999999999</c:v>
                      </c:pt>
                      <c:pt idx="10">
                        <c:v>0.46646046999999996</c:v>
                      </c:pt>
                      <c:pt idx="11">
                        <c:v>1.12258653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D6-4477-ABF7-2378E5DFE0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GRAPHYQUES!$N$65:$O$65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GRAPHYQUES!$P$65:$AA$65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1.36395205</c:v>
                      </c:pt>
                      <c:pt idx="1">
                        <c:v>0.67346110000000015</c:v>
                      </c:pt>
                      <c:pt idx="2">
                        <c:v>7.0642176799999996</c:v>
                      </c:pt>
                      <c:pt idx="3">
                        <c:v>1.6326362700000001</c:v>
                      </c:pt>
                      <c:pt idx="4">
                        <c:v>0.96614829000000002</c:v>
                      </c:pt>
                      <c:pt idx="5">
                        <c:v>2.5886850199999993</c:v>
                      </c:pt>
                      <c:pt idx="6">
                        <c:v>-1.9649233199999994</c:v>
                      </c:pt>
                      <c:pt idx="7" formatCode="#,##0">
                        <c:v>0.20604943999999994</c:v>
                      </c:pt>
                      <c:pt idx="8" formatCode="#,##0">
                        <c:v>2.31968533</c:v>
                      </c:pt>
                      <c:pt idx="9" formatCode="#,##0">
                        <c:v>-0.3490241900000004</c:v>
                      </c:pt>
                      <c:pt idx="10" formatCode="#,##0">
                        <c:v>-2.8829999599999998</c:v>
                      </c:pt>
                      <c:pt idx="11" formatCode="#,##0">
                        <c:v>51.773354870000006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D6-4477-ABF7-2378E5DFE0E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GRAPHYQUES!$N$66:$O$66</c15:sqref>
                        </c15:formulaRef>
                      </c:ext>
                    </c:extLst>
                    <c:strCache>
                      <c:ptCount val="2"/>
                      <c:pt idx="0">
                        <c:v>VALEUR AJOUTEE 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GRAPHYQUES!$P$66:$AA$66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15.434513920000001</c:v>
                      </c:pt>
                      <c:pt idx="1">
                        <c:v>-2.9936784400000001</c:v>
                      </c:pt>
                      <c:pt idx="2">
                        <c:v>-2.1065021000000002</c:v>
                      </c:pt>
                      <c:pt idx="3">
                        <c:v>-5.5385633800000011</c:v>
                      </c:pt>
                      <c:pt idx="4">
                        <c:v>-3.0724553000000001</c:v>
                      </c:pt>
                      <c:pt idx="5">
                        <c:v>-2.3570315300000004</c:v>
                      </c:pt>
                      <c:pt idx="6">
                        <c:v>-5.5211275099999995</c:v>
                      </c:pt>
                      <c:pt idx="7">
                        <c:v>1.0704871899999999</c:v>
                      </c:pt>
                      <c:pt idx="8">
                        <c:v>1.6800145499999999</c:v>
                      </c:pt>
                      <c:pt idx="9">
                        <c:v>-0.54654752000000006</c:v>
                      </c:pt>
                      <c:pt idx="10">
                        <c:v>-0.72239529999999985</c:v>
                      </c:pt>
                      <c:pt idx="11">
                        <c:v>-2.3592016500000006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D6-4477-ABF7-2378E5DFE0E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GRAPHYQUES!$N$67:$O$67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GRAPHYQUES!$P$67:$AA$67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7.69085733</c:v>
                      </c:pt>
                      <c:pt idx="1">
                        <c:v>8.1624952999999998</c:v>
                      </c:pt>
                      <c:pt idx="2">
                        <c:v>8.1849258099999993</c:v>
                      </c:pt>
                      <c:pt idx="3">
                        <c:v>8.6123882799999993</c:v>
                      </c:pt>
                      <c:pt idx="4">
                        <c:v>8.6132625100000002</c:v>
                      </c:pt>
                      <c:pt idx="5">
                        <c:v>8.4553907899999992</c:v>
                      </c:pt>
                      <c:pt idx="6">
                        <c:v>8.7862774899999998</c:v>
                      </c:pt>
                      <c:pt idx="7" formatCode="#,##0">
                        <c:v>9.9851610399999995</c:v>
                      </c:pt>
                      <c:pt idx="8" formatCode="#,##0">
                        <c:v>13.451512279999999</c:v>
                      </c:pt>
                      <c:pt idx="9" formatCode="#,##0">
                        <c:v>10.257791529999999</c:v>
                      </c:pt>
                      <c:pt idx="10" formatCode="#,##0">
                        <c:v>10.000583970000001</c:v>
                      </c:pt>
                      <c:pt idx="11" formatCode="#,##0">
                        <c:v>36.880329840000002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D6-4477-ABF7-2378E5DFE0E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GRAPHYQUES!$N$68:$O$68</c15:sqref>
                        </c15:formulaRef>
                      </c:ext>
                    </c:extLst>
                    <c:strCache>
                      <c:ptCount val="2"/>
                      <c:pt idx="0">
                        <c:v>CHARGES DE PERSONNEL</c:v>
                      </c:pt>
                      <c:pt idx="1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GRAPHYQUES!$P$58:$AA$58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GRAPHYQUES!$P$68:$AA$68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10.559188240000001</c:v>
                      </c:pt>
                      <c:pt idx="1">
                        <c:v>10.849396029999999</c:v>
                      </c:pt>
                      <c:pt idx="2">
                        <c:v>11.52690059</c:v>
                      </c:pt>
                      <c:pt idx="3">
                        <c:v>13.720481919999999</c:v>
                      </c:pt>
                      <c:pt idx="4">
                        <c:v>14.37187188</c:v>
                      </c:pt>
                      <c:pt idx="5">
                        <c:v>10.587601660000001</c:v>
                      </c:pt>
                      <c:pt idx="6">
                        <c:v>12.98302157</c:v>
                      </c:pt>
                      <c:pt idx="7">
                        <c:v>14.649707300000001</c:v>
                      </c:pt>
                      <c:pt idx="8">
                        <c:v>17.256683339999999</c:v>
                      </c:pt>
                      <c:pt idx="9">
                        <c:v>11.319395720000001</c:v>
                      </c:pt>
                      <c:pt idx="10">
                        <c:v>16.422787449999998</c:v>
                      </c:pt>
                      <c:pt idx="11">
                        <c:v>14.44020255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4D6-4477-ABF7-2378E5DFE0E8}"/>
                  </c:ext>
                </c:extLst>
              </c15:ser>
            </c15:filteredLineSeries>
          </c:ext>
        </c:extLst>
      </c:lineChart>
      <c:catAx>
        <c:axId val="1676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960"/>
        <c:crosses val="autoZero"/>
        <c:auto val="1"/>
        <c:lblAlgn val="ctr"/>
        <c:lblOffset val="100"/>
        <c:noMultiLvlLbl val="0"/>
      </c:catAx>
      <c:valAx>
        <c:axId val="167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u="sng">
                    <a:solidFill>
                      <a:sysClr val="windowText" lastClr="000000"/>
                    </a:solidFill>
                  </a:rPr>
                  <a:t>Valeurs 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64A2DC-E457-4229-902E-B96C8B94069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7558" cy="584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DB0A17-578B-4265-9C10-E9D9F2BB80A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101599</xdr:rowOff>
    </xdr:from>
    <xdr:to>
      <xdr:col>1</xdr:col>
      <xdr:colOff>643467</xdr:colOff>
      <xdr:row>4</xdr:row>
      <xdr:rowOff>59266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FC3DC1-D3AC-420D-A089-9B059D2FAD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599"/>
          <a:ext cx="990600" cy="6688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9901F2-8361-418B-A467-D5B4764CB5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A42B21A-F9CF-4CF3-82DC-6AD2F40ED03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42B21A-F9CF-4CF3-82DC-6AD2F40ED03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5F3D3-9A73-4D49-A03D-D3F1AF3D0C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48D9AA-A9F7-435C-A676-326628A67E3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365E01-0B01-4BA0-A735-804D3B0BCAC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5F3D3-9A73-4D49-A03D-D3F1AF3D0C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5F3D3-9A73-4D49-A03D-D3F1AF3D0C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73CCAE-BA0A-4C8E-A8AB-2AEE7B0249F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5F3D3-9A73-4D49-A03D-D3F1AF3D0C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5F3D3-9A73-4D49-A03D-D3F1AF3D0C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793125</xdr:colOff>
      <xdr:row>3</xdr:row>
      <xdr:rowOff>167640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5F3D3-9A73-4D49-A03D-D3F1AF3D0C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40641</xdr:colOff>
      <xdr:row>1</xdr:row>
      <xdr:rowOff>21771</xdr:rowOff>
    </xdr:from>
    <xdr:to>
      <xdr:col>11</xdr:col>
      <xdr:colOff>729827</xdr:colOff>
      <xdr:row>34</xdr:row>
      <xdr:rowOff>8466</xdr:rowOff>
    </xdr:to>
    <xdr:grpSp>
      <xdr:nvGrpSpPr>
        <xdr:cNvPr id="2" name="Groupe 1"/>
        <xdr:cNvGrpSpPr/>
      </xdr:nvGrpSpPr>
      <xdr:grpSpPr>
        <a:xfrm>
          <a:off x="40641" y="448491"/>
          <a:ext cx="9528386" cy="6303675"/>
          <a:chOff x="40641" y="67734"/>
          <a:chExt cx="9443719" cy="9977149"/>
        </a:xfrm>
      </xdr:grpSpPr>
      <xdr:graphicFrame macro="">
        <xdr:nvGraphicFramePr>
          <xdr:cNvPr id="4" name="Graphique 3"/>
          <xdr:cNvGraphicFramePr/>
        </xdr:nvGraphicFramePr>
        <xdr:xfrm>
          <a:off x="40641" y="71543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Graphique 5"/>
          <xdr:cNvGraphicFramePr>
            <a:graphicFrameLocks/>
          </xdr:cNvGraphicFramePr>
        </xdr:nvGraphicFramePr>
        <xdr:xfrm>
          <a:off x="4775200" y="67734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Graphique 8"/>
          <xdr:cNvGraphicFramePr>
            <a:graphicFrameLocks/>
          </xdr:cNvGraphicFramePr>
        </xdr:nvGraphicFramePr>
        <xdr:xfrm>
          <a:off x="40641" y="3661410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Graphique 9"/>
          <xdr:cNvGraphicFramePr>
            <a:graphicFrameLocks/>
          </xdr:cNvGraphicFramePr>
        </xdr:nvGraphicFramePr>
        <xdr:xfrm>
          <a:off x="4775200" y="365760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Graphique 10"/>
          <xdr:cNvGraphicFramePr>
            <a:graphicFrameLocks/>
          </xdr:cNvGraphicFramePr>
        </xdr:nvGraphicFramePr>
        <xdr:xfrm>
          <a:off x="42333" y="690375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Graphique 6"/>
          <xdr:cNvGraphicFramePr>
            <a:graphicFrameLocks/>
          </xdr:cNvGraphicFramePr>
        </xdr:nvGraphicFramePr>
        <xdr:xfrm>
          <a:off x="4766733" y="6907983"/>
          <a:ext cx="4682067" cy="3136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40641</xdr:colOff>
      <xdr:row>36</xdr:row>
      <xdr:rowOff>7620</xdr:rowOff>
    </xdr:from>
    <xdr:to>
      <xdr:col>11</xdr:col>
      <xdr:colOff>729827</xdr:colOff>
      <xdr:row>69</xdr:row>
      <xdr:rowOff>8466</xdr:rowOff>
    </xdr:to>
    <xdr:grpSp>
      <xdr:nvGrpSpPr>
        <xdr:cNvPr id="19" name="Groupe 18"/>
        <xdr:cNvGrpSpPr/>
      </xdr:nvGrpSpPr>
      <xdr:grpSpPr>
        <a:xfrm>
          <a:off x="40641" y="7360920"/>
          <a:ext cx="9528386" cy="6317826"/>
          <a:chOff x="40641" y="67734"/>
          <a:chExt cx="9443719" cy="9977149"/>
        </a:xfrm>
      </xdr:grpSpPr>
      <xdr:graphicFrame macro="">
        <xdr:nvGraphicFramePr>
          <xdr:cNvPr id="20" name="Graphique 19"/>
          <xdr:cNvGraphicFramePr/>
        </xdr:nvGraphicFramePr>
        <xdr:xfrm>
          <a:off x="40641" y="71543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1" name="Graphique 20"/>
          <xdr:cNvGraphicFramePr>
            <a:graphicFrameLocks/>
          </xdr:cNvGraphicFramePr>
        </xdr:nvGraphicFramePr>
        <xdr:xfrm>
          <a:off x="4775200" y="67734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2" name="Graphique 21"/>
          <xdr:cNvGraphicFramePr>
            <a:graphicFrameLocks/>
          </xdr:cNvGraphicFramePr>
        </xdr:nvGraphicFramePr>
        <xdr:xfrm>
          <a:off x="40641" y="3661410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3" name="Graphique 22"/>
          <xdr:cNvGraphicFramePr>
            <a:graphicFrameLocks/>
          </xdr:cNvGraphicFramePr>
        </xdr:nvGraphicFramePr>
        <xdr:xfrm>
          <a:off x="4775200" y="365760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4" name="Graphique 23"/>
          <xdr:cNvGraphicFramePr>
            <a:graphicFrameLocks/>
          </xdr:cNvGraphicFramePr>
        </xdr:nvGraphicFramePr>
        <xdr:xfrm>
          <a:off x="42333" y="690375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5" name="Graphique 24"/>
          <xdr:cNvGraphicFramePr>
            <a:graphicFrameLocks/>
          </xdr:cNvGraphicFramePr>
        </xdr:nvGraphicFramePr>
        <xdr:xfrm>
          <a:off x="4766733" y="6907983"/>
          <a:ext cx="4682067" cy="3136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0</xdr:col>
      <xdr:colOff>40641</xdr:colOff>
      <xdr:row>71</xdr:row>
      <xdr:rowOff>22860</xdr:rowOff>
    </xdr:from>
    <xdr:to>
      <xdr:col>11</xdr:col>
      <xdr:colOff>729827</xdr:colOff>
      <xdr:row>104</xdr:row>
      <xdr:rowOff>8466</xdr:rowOff>
    </xdr:to>
    <xdr:grpSp>
      <xdr:nvGrpSpPr>
        <xdr:cNvPr id="16" name="Groupe 15"/>
        <xdr:cNvGrpSpPr/>
      </xdr:nvGrpSpPr>
      <xdr:grpSpPr>
        <a:xfrm>
          <a:off x="40641" y="14302740"/>
          <a:ext cx="9528386" cy="6302586"/>
          <a:chOff x="40641" y="67734"/>
          <a:chExt cx="9443719" cy="9977149"/>
        </a:xfrm>
      </xdr:grpSpPr>
      <xdr:graphicFrame macro="">
        <xdr:nvGraphicFramePr>
          <xdr:cNvPr id="17" name="Graphique 16"/>
          <xdr:cNvGraphicFramePr/>
        </xdr:nvGraphicFramePr>
        <xdr:xfrm>
          <a:off x="40641" y="71543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8" name="Graphique 17"/>
          <xdr:cNvGraphicFramePr>
            <a:graphicFrameLocks/>
          </xdr:cNvGraphicFramePr>
        </xdr:nvGraphicFramePr>
        <xdr:xfrm>
          <a:off x="4775200" y="67734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6" name="Graphique 25"/>
          <xdr:cNvGraphicFramePr>
            <a:graphicFrameLocks/>
          </xdr:cNvGraphicFramePr>
        </xdr:nvGraphicFramePr>
        <xdr:xfrm>
          <a:off x="40641" y="3661410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7" name="Graphique 26"/>
          <xdr:cNvGraphicFramePr>
            <a:graphicFrameLocks/>
          </xdr:cNvGraphicFramePr>
        </xdr:nvGraphicFramePr>
        <xdr:xfrm>
          <a:off x="4775200" y="365760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8" name="Graphique 27"/>
          <xdr:cNvGraphicFramePr>
            <a:graphicFrameLocks/>
          </xdr:cNvGraphicFramePr>
        </xdr:nvGraphicFramePr>
        <xdr:xfrm>
          <a:off x="42333" y="690375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9" name="Graphique 28"/>
          <xdr:cNvGraphicFramePr>
            <a:graphicFrameLocks/>
          </xdr:cNvGraphicFramePr>
        </xdr:nvGraphicFramePr>
        <xdr:xfrm>
          <a:off x="4766733" y="6907983"/>
          <a:ext cx="4682067" cy="3136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0</xdr:col>
      <xdr:colOff>40641</xdr:colOff>
      <xdr:row>106</xdr:row>
      <xdr:rowOff>15240</xdr:rowOff>
    </xdr:from>
    <xdr:to>
      <xdr:col>11</xdr:col>
      <xdr:colOff>729827</xdr:colOff>
      <xdr:row>139</xdr:row>
      <xdr:rowOff>8466</xdr:rowOff>
    </xdr:to>
    <xdr:grpSp>
      <xdr:nvGrpSpPr>
        <xdr:cNvPr id="30" name="Groupe 29"/>
        <xdr:cNvGrpSpPr/>
      </xdr:nvGrpSpPr>
      <xdr:grpSpPr>
        <a:xfrm>
          <a:off x="40641" y="21221700"/>
          <a:ext cx="9528386" cy="6310206"/>
          <a:chOff x="40641" y="67734"/>
          <a:chExt cx="9443719" cy="9977149"/>
        </a:xfrm>
      </xdr:grpSpPr>
      <xdr:graphicFrame macro="">
        <xdr:nvGraphicFramePr>
          <xdr:cNvPr id="31" name="Graphique 30"/>
          <xdr:cNvGraphicFramePr/>
        </xdr:nvGraphicFramePr>
        <xdr:xfrm>
          <a:off x="40641" y="71543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32" name="Graphique 31"/>
          <xdr:cNvGraphicFramePr>
            <a:graphicFrameLocks/>
          </xdr:cNvGraphicFramePr>
        </xdr:nvGraphicFramePr>
        <xdr:xfrm>
          <a:off x="4775200" y="67734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33" name="Graphique 32"/>
          <xdr:cNvGraphicFramePr>
            <a:graphicFrameLocks/>
          </xdr:cNvGraphicFramePr>
        </xdr:nvGraphicFramePr>
        <xdr:xfrm>
          <a:off x="40641" y="3661410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34" name="Graphique 33"/>
          <xdr:cNvGraphicFramePr>
            <a:graphicFrameLocks/>
          </xdr:cNvGraphicFramePr>
        </xdr:nvGraphicFramePr>
        <xdr:xfrm>
          <a:off x="4775200" y="365760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35" name="Graphique 34"/>
          <xdr:cNvGraphicFramePr>
            <a:graphicFrameLocks/>
          </xdr:cNvGraphicFramePr>
        </xdr:nvGraphicFramePr>
        <xdr:xfrm>
          <a:off x="42333" y="690375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36" name="Graphique 35"/>
          <xdr:cNvGraphicFramePr>
            <a:graphicFrameLocks/>
          </xdr:cNvGraphicFramePr>
        </xdr:nvGraphicFramePr>
        <xdr:xfrm>
          <a:off x="4766733" y="6907983"/>
          <a:ext cx="4682067" cy="3136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  <xdr:twoCellAnchor>
    <xdr:from>
      <xdr:col>0</xdr:col>
      <xdr:colOff>40641</xdr:colOff>
      <xdr:row>141</xdr:row>
      <xdr:rowOff>30480</xdr:rowOff>
    </xdr:from>
    <xdr:to>
      <xdr:col>11</xdr:col>
      <xdr:colOff>729827</xdr:colOff>
      <xdr:row>174</xdr:row>
      <xdr:rowOff>8466</xdr:rowOff>
    </xdr:to>
    <xdr:grpSp>
      <xdr:nvGrpSpPr>
        <xdr:cNvPr id="37" name="Groupe 36"/>
        <xdr:cNvGrpSpPr/>
      </xdr:nvGrpSpPr>
      <xdr:grpSpPr>
        <a:xfrm>
          <a:off x="40641" y="28163520"/>
          <a:ext cx="9528386" cy="6294966"/>
          <a:chOff x="40641" y="67734"/>
          <a:chExt cx="9443719" cy="9977149"/>
        </a:xfrm>
      </xdr:grpSpPr>
      <xdr:graphicFrame macro="">
        <xdr:nvGraphicFramePr>
          <xdr:cNvPr id="38" name="Graphique 37"/>
          <xdr:cNvGraphicFramePr/>
        </xdr:nvGraphicFramePr>
        <xdr:xfrm>
          <a:off x="40641" y="71543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39" name="Graphique 38"/>
          <xdr:cNvGraphicFramePr>
            <a:graphicFrameLocks/>
          </xdr:cNvGraphicFramePr>
        </xdr:nvGraphicFramePr>
        <xdr:xfrm>
          <a:off x="4775200" y="67734"/>
          <a:ext cx="4709160" cy="3475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40" name="Graphique 39"/>
          <xdr:cNvGraphicFramePr>
            <a:graphicFrameLocks/>
          </xdr:cNvGraphicFramePr>
        </xdr:nvGraphicFramePr>
        <xdr:xfrm>
          <a:off x="40641" y="3661410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41" name="Graphique 40"/>
          <xdr:cNvGraphicFramePr>
            <a:graphicFrameLocks/>
          </xdr:cNvGraphicFramePr>
        </xdr:nvGraphicFramePr>
        <xdr:xfrm>
          <a:off x="4775200" y="365760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42" name="Graphique 41"/>
          <xdr:cNvGraphicFramePr>
            <a:graphicFrameLocks/>
          </xdr:cNvGraphicFramePr>
        </xdr:nvGraphicFramePr>
        <xdr:xfrm>
          <a:off x="42333" y="6903751"/>
          <a:ext cx="4709160" cy="313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43" name="Graphique 42"/>
          <xdr:cNvGraphicFramePr>
            <a:graphicFrameLocks/>
          </xdr:cNvGraphicFramePr>
        </xdr:nvGraphicFramePr>
        <xdr:xfrm>
          <a:off x="4766733" y="6907983"/>
          <a:ext cx="4682067" cy="3136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D9CAEB4-CC3B-4A2A-AA4F-850BB6273A8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7558" cy="584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678853-1830-4864-86C5-5B271F8712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101600</xdr:rowOff>
    </xdr:from>
    <xdr:to>
      <xdr:col>1</xdr:col>
      <xdr:colOff>1305358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980A95-7975-4409-B3BC-69A098E8F8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C4EF424-8D7B-4429-85BD-F650BA2C14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0DAF57-32C7-4B2F-81DB-B54A5BE0ACB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247589-382A-413E-9C70-695570F7F47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123877-0D81-4C5A-917A-831E3B6615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101600</xdr:rowOff>
    </xdr:from>
    <xdr:to>
      <xdr:col>1</xdr:col>
      <xdr:colOff>780425</xdr:colOff>
      <xdr:row>3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8686C9-7E54-4EDE-910B-9DB8BAB4C6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01600"/>
          <a:ext cx="1128405" cy="57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6:G40" totalsRowShown="0" headerRowDxfId="428" dataDxfId="426" headerRowBorderDxfId="427" tableBorderDxfId="425" dataCellStyle="Normal 2 11">
  <autoFilter ref="A6:G40"/>
  <tableColumns count="7">
    <tableColumn id="1" name="N°" dataDxfId="424" dataCellStyle="Normal 2 11"/>
    <tableColumn id="2" name="Désignation " dataDxfId="423" dataCellStyle="Normal 2 11"/>
    <tableColumn id="3" name="SIEGE" dataDxfId="422" dataCellStyle="Normal 2 11"/>
    <tableColumn id="4" name="KDU" dataDxfId="421" dataCellStyle="Normal 2 11"/>
    <tableColumn id="5" name="SKDU" dataDxfId="420" dataCellStyle="Normal 2 11"/>
    <tableColumn id="6" name="AZDU" dataDxfId="419" dataCellStyle="Normal 2 11"/>
    <tableColumn id="7" name="ENTREPRISE" dataDxfId="418" dataCellStyle="Normal 2 1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9" name="Tableau9" displayName="Tableau9" ref="A6:G40" totalsRowShown="0" headerRowDxfId="329" dataDxfId="327" headerRowBorderDxfId="328" tableBorderDxfId="326" dataCellStyle="Normal 2 11">
  <autoFilter ref="A6:G40"/>
  <tableColumns count="7">
    <tableColumn id="1" name="N°" dataDxfId="325" dataCellStyle="Normal 2 11"/>
    <tableColumn id="2" name="Désignation " dataDxfId="324" dataCellStyle="Normal 2 11"/>
    <tableColumn id="3" name="SIEGE" dataDxfId="323" dataCellStyle="Normal 2 11"/>
    <tableColumn id="4" name="KDU" dataDxfId="322" dataCellStyle="Normal 2 11"/>
    <tableColumn id="5" name="SKDU" dataDxfId="321" dataCellStyle="Normal 2 11"/>
    <tableColumn id="6" name="AZDU" dataDxfId="320" dataCellStyle="Normal 2 11"/>
    <tableColumn id="7" name="ENTREPRISE" dataDxfId="319" dataCellStyle="Normal 2 1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0" name="Tableau10" displayName="Tableau10" ref="A6:G40" totalsRowShown="0" headerRowDxfId="318" dataDxfId="316" headerRowBorderDxfId="317" tableBorderDxfId="315" dataCellStyle="Normal 2 11">
  <autoFilter ref="A6:G40"/>
  <tableColumns count="7">
    <tableColumn id="1" name="N°" dataDxfId="314" dataCellStyle="Normal 2 11"/>
    <tableColumn id="2" name="Désignation " dataDxfId="313" dataCellStyle="Normal 2 11"/>
    <tableColumn id="3" name="SIEGE" dataDxfId="312" dataCellStyle="Normal 2 11"/>
    <tableColumn id="4" name="KDU" dataDxfId="311" dataCellStyle="Normal 2 11"/>
    <tableColumn id="5" name="SKDU" dataDxfId="310" dataCellStyle="Normal 2 11"/>
    <tableColumn id="6" name="AZDU" dataDxfId="309" dataCellStyle="Normal 2 11"/>
    <tableColumn id="7" name="ENTREPRISE" dataDxfId="308" dataCellStyle="Normal 2 1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7" name="Tableau17" displayName="Tableau17" ref="A6:G40" totalsRowShown="0" headerRowDxfId="307" dataDxfId="305" headerRowBorderDxfId="306" tableBorderDxfId="304" dataCellStyle="Normal 2 11">
  <autoFilter ref="A6:G40"/>
  <tableColumns count="7">
    <tableColumn id="1" name="N°" dataDxfId="303" dataCellStyle="Normal 2 11"/>
    <tableColumn id="2" name="Désignation " dataDxfId="302" dataCellStyle="Normal 2 11"/>
    <tableColumn id="3" name="SIEGE" dataDxfId="301" dataCellStyle="Normal 2 11"/>
    <tableColumn id="4" name="KDU" dataDxfId="300" dataCellStyle="Normal 2 11"/>
    <tableColumn id="5" name="SKDU" dataDxfId="299" dataCellStyle="Normal 2 11"/>
    <tableColumn id="6" name="AZDU" dataDxfId="298" dataCellStyle="Normal 2 11"/>
    <tableColumn id="7" name="ENTREPRISE" dataDxfId="297" dataCellStyle="Normal 2 1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1" name="Tableau11" displayName="Tableau11" ref="A6:G40" totalsRowShown="0" headerRowDxfId="296" dataDxfId="294" headerRowBorderDxfId="295" tableBorderDxfId="293" dataCellStyle="Normal 2 11">
  <autoFilter ref="A6:G40"/>
  <tableColumns count="7">
    <tableColumn id="1" name="N°" dataDxfId="292" dataCellStyle="Normal 2 11"/>
    <tableColumn id="2" name="Désignation " dataDxfId="291" dataCellStyle="Normal 2 11"/>
    <tableColumn id="3" name="SIEGE" dataDxfId="290" dataCellStyle="Normal 2 11"/>
    <tableColumn id="4" name="KDU" dataDxfId="289" dataCellStyle="Normal 2 11"/>
    <tableColumn id="5" name="SKDU" dataDxfId="288" dataCellStyle="Normal 2 11"/>
    <tableColumn id="6" name="AZDU" dataDxfId="287" dataCellStyle="Normal 2 11"/>
    <tableColumn id="7" name="ENTREPRISE" dataDxfId="286" dataCellStyle="Normal 2 11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2" name="Tableau12" displayName="Tableau12" ref="A6:G40" totalsRowShown="0" headerRowDxfId="285" dataDxfId="283" headerRowBorderDxfId="284" tableBorderDxfId="282" dataCellStyle="Normal 2 11">
  <autoFilter ref="A6:G40"/>
  <tableColumns count="7">
    <tableColumn id="1" name="N°" dataDxfId="281" dataCellStyle="Normal 2 11"/>
    <tableColumn id="2" name="Désignation " dataDxfId="280" dataCellStyle="Normal 2 11"/>
    <tableColumn id="3" name="SIEGE" dataDxfId="279" dataCellStyle="Normal 2 11"/>
    <tableColumn id="4" name="KDU" dataDxfId="278" dataCellStyle="Normal 2 11"/>
    <tableColumn id="5" name="SKDU" dataDxfId="277" dataCellStyle="Normal 2 11"/>
    <tableColumn id="6" name="AZDU" dataDxfId="276" dataCellStyle="Normal 2 11"/>
    <tableColumn id="7" name="ENTREPRISE" dataDxfId="275" dataCellStyle="Normal 2 11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Tableau13" displayName="Tableau13" ref="A6:I40" totalsRowShown="0" headerRowDxfId="274" dataDxfId="272" headerRowBorderDxfId="273" tableBorderDxfId="271" dataCellStyle="Normal 2 11">
  <autoFilter ref="A6:I40"/>
  <tableColumns count="9">
    <tableColumn id="1" name="N°" dataDxfId="270" dataCellStyle="Normal 2 11"/>
    <tableColumn id="2" name="Désignation " dataDxfId="269" dataCellStyle="Normal 2 11"/>
    <tableColumn id="3" name="SIEGE" dataDxfId="268" dataCellStyle="Normal 2 11"/>
    <tableColumn id="4" name="KDU" dataDxfId="267" dataCellStyle="Normal 2 11"/>
    <tableColumn id="5" name="SKDU" dataDxfId="266" dataCellStyle="Normal 2 11"/>
    <tableColumn id="6" name="AZDU" dataDxfId="265" dataCellStyle="Normal 2 11"/>
    <tableColumn id="7" name="ENTREPRISE" dataDxfId="264" dataCellStyle="Normal 2 11"/>
    <tableColumn id="8" name="Colonne1" dataDxfId="1" dataCellStyle="Normal 2 11">
      <calculatedColumnFormula>+Tableau13[[#This Row],[ENTREPRISE]]/G3</calculatedColumnFormula>
    </tableColumn>
    <tableColumn id="9" name="Colonne2" dataDxfId="2" dataCellStyle="Normal 2 11">
      <calculatedColumnFormula>+Tableau13[[#This Row],[ENTREPRISE]]/1000000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au16" displayName="Tableau16" ref="A6:G40" totalsRowShown="0" headerRowDxfId="263" dataDxfId="261" headerRowBorderDxfId="262" tableBorderDxfId="260" dataCellStyle="Normal 2 11">
  <autoFilter ref="A6:G40"/>
  <tableColumns count="7">
    <tableColumn id="1" name="N°" dataDxfId="259" dataCellStyle="Normal 2 11"/>
    <tableColumn id="2" name="Désignation " dataDxfId="258" dataCellStyle="Normal 2 11"/>
    <tableColumn id="3" name="SIEGE" dataDxfId="257" dataCellStyle="Normal 2 11"/>
    <tableColumn id="4" name="KDU" dataDxfId="256" dataCellStyle="Normal 2 11"/>
    <tableColumn id="5" name="SKDU" dataDxfId="255" dataCellStyle="Normal 2 11"/>
    <tableColumn id="6" name="AZDU" dataDxfId="254" dataCellStyle="Normal 2 11"/>
    <tableColumn id="7" name="ENTREPRISE" dataDxfId="253" dataCellStyle="Normal 2 11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8" name="Tableau18" displayName="Tableau18" ref="A6:G40" totalsRowShown="0" headerRowDxfId="252" dataDxfId="250" headerRowBorderDxfId="251" tableBorderDxfId="249" dataCellStyle="Normal 2 11">
  <autoFilter ref="A6:G40"/>
  <tableColumns count="7">
    <tableColumn id="1" name="N°" dataDxfId="248" dataCellStyle="Normal 2 11"/>
    <tableColumn id="2" name="Désignation " dataDxfId="247" dataCellStyle="Normal 2 11"/>
    <tableColumn id="3" name="SIEGE" dataDxfId="246" dataCellStyle="Normal 2 11"/>
    <tableColumn id="4" name="KDU" dataDxfId="245" dataCellStyle="Normal 2 11"/>
    <tableColumn id="5" name="SKDU" dataDxfId="244" dataCellStyle="Normal 2 11"/>
    <tableColumn id="6" name="AZDU" dataDxfId="243" dataCellStyle="Normal 2 11"/>
    <tableColumn id="7" name="ENTREPRISE" dataDxfId="242" dataCellStyle="Normal 2 11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23" name="Tableau132024" displayName="Tableau132024" ref="A6:S40" totalsRowShown="0" headerRowDxfId="241" dataDxfId="239" headerRowBorderDxfId="240" tableBorderDxfId="238" dataCellStyle="Normal 2 11">
  <autoFilter ref="A6:S40"/>
  <tableColumns count="19">
    <tableColumn id="1" name="N°" dataDxfId="237" dataCellStyle="Normal 2 11"/>
    <tableColumn id="2" name="Désignation " dataDxfId="236" dataCellStyle="Normal 2 11"/>
    <tableColumn id="4" name="janvier-21" dataDxfId="235" dataCellStyle="Normal 2 11">
      <calculatedColumnFormula>+'SIEGE 2021'!C7+'KDU 2021'!C7+'SKDU 2021'!C7+'AZDU 2021'!C7</calculatedColumnFormula>
    </tableColumn>
    <tableColumn id="5" name="février-21" dataDxfId="234" dataCellStyle="Normal 2 11">
      <calculatedColumnFormula>+'SIEGE 2021'!D7+'KDU 2021'!D7+'SKDU 2021'!D7+'AZDU 2021'!D7</calculatedColumnFormula>
    </tableColumn>
    <tableColumn id="15" name="mars-21" dataDxfId="233" dataCellStyle="Normal 2 11">
      <calculatedColumnFormula>+'SIEGE 2021'!E7+'KDU 2021'!E7+'SKDU 2021'!E7+'AZDU 2021'!E7</calculatedColumnFormula>
    </tableColumn>
    <tableColumn id="3" name="T1 2021" dataDxfId="232" dataCellStyle="Normal 2 11">
      <calculatedColumnFormula>SUM(Tableau132024[[#This Row],[janvier-21]:[mars-21]])</calculatedColumnFormula>
    </tableColumn>
    <tableColumn id="14" name="avril-21" dataDxfId="231" dataCellStyle="Normal 2 11">
      <calculatedColumnFormula>+'SIEGE 2021'!F7+'KDU 2021'!F7+'SKDU 2021'!F7+'AZDU 2021'!F7</calculatedColumnFormula>
    </tableColumn>
    <tableColumn id="13" name="mai-21" dataDxfId="230" dataCellStyle="Normal 2 11">
      <calculatedColumnFormula>+'SIEGE 2021'!G7+'KDU 2021'!G7+'SKDU 2021'!G7+'AZDU 2021'!G7</calculatedColumnFormula>
    </tableColumn>
    <tableColumn id="12" name="juin-21" dataDxfId="229" dataCellStyle="Normal 2 11">
      <calculatedColumnFormula>+'SIEGE 2021'!H7+'KDU 2021'!H7+'SKDU 2021'!H7+'AZDU 2021'!H7</calculatedColumnFormula>
    </tableColumn>
    <tableColumn id="17" name="T2 2021" dataDxfId="228" dataCellStyle="Normal 2 11">
      <calculatedColumnFormula>SUM(Tableau132024[[#This Row],[avril-21]:[juin-21]])</calculatedColumnFormula>
    </tableColumn>
    <tableColumn id="11" name="juillet-21" dataDxfId="227" dataCellStyle="Normal 2 11">
      <calculatedColumnFormula>+'SIEGE 2021'!I7+'KDU 2021'!I7+'SKDU 2021'!I7+'AZDU 2021'!I7</calculatedColumnFormula>
    </tableColumn>
    <tableColumn id="10" name="août-21" dataDxfId="226" dataCellStyle="Normal 2 11">
      <calculatedColumnFormula>+'SIEGE 2021'!J7+'KDU 2021'!J7+'SKDU 2021'!J7+'AZDU 2021'!J7</calculatedColumnFormula>
    </tableColumn>
    <tableColumn id="9" name="septembre-21" dataDxfId="225" dataCellStyle="Normal 2 11">
      <calculatedColumnFormula>+'SIEGE 2021'!K7+'KDU 2021'!K7+'SKDU 2021'!K7+'AZDU 2021'!K7</calculatedColumnFormula>
    </tableColumn>
    <tableColumn id="18" name="T3 2021" dataDxfId="224" dataCellStyle="Normal 2 11">
      <calculatedColumnFormula>SUM(Tableau132024[[#This Row],[juillet-21]:[septembre-21]])</calculatedColumnFormula>
    </tableColumn>
    <tableColumn id="8" name="octobre-21" dataDxfId="223" dataCellStyle="Normal 2 11">
      <calculatedColumnFormula>+'SIEGE 2021'!L7+'KDU 2021'!L7+'SKDU 2021'!L7+'AZDU 2021'!L7</calculatedColumnFormula>
    </tableColumn>
    <tableColumn id="6" name="novembre-21" dataDxfId="222" dataCellStyle="Normal 2 11">
      <calculatedColumnFormula>+'SIEGE 2021'!M7+'KDU 2021'!M7+'SKDU 2021'!M7+'AZDU 2021'!M7</calculatedColumnFormula>
    </tableColumn>
    <tableColumn id="16" name="décembre-21" dataDxfId="221" dataCellStyle="Normal 2 11">
      <calculatedColumnFormula>+'SIEGE 2021'!N7+'KDU 2021'!N7+'SKDU 2021'!N7+'AZDU 2021'!N7</calculatedColumnFormula>
    </tableColumn>
    <tableColumn id="19" name="T4 2021" dataDxfId="220" dataCellStyle="Normal 2 11">
      <calculatedColumnFormula>+Tableau132024[[#This Row],[octobre-21]]+Tableau132024[[#This Row],[novembre-21]]+Tableau132024[[#This Row],[décembre-21]]</calculatedColumnFormula>
    </tableColumn>
    <tableColumn id="7" name="TOTAL" dataDxfId="219" dataCellStyle="Normal 2 11">
      <calculatedColumnFormula>+Tableau132024[[#This Row],[T1 2021]]+Tableau132024[[#This Row],[T2 2021]]+Tableau132024[[#This Row],[T3 2021]]+Tableau132024[[#This Row],[T4 2021]]</calculatedColumnFormula>
    </tableColumn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leau1320" displayName="Tableau1320" ref="A6:B40" totalsRowShown="0" headerRowDxfId="218" dataDxfId="216" headerRowBorderDxfId="217" tableBorderDxfId="215" dataCellStyle="Normal 2 11">
  <autoFilter ref="A6:B40"/>
  <tableColumns count="2">
    <tableColumn id="1" name="N°" dataDxfId="214" dataCellStyle="Normal 2 11"/>
    <tableColumn id="2" name="Désignation " dataDxfId="213" dataCellStyle="Normal 2 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6:G40" totalsRowShown="0" headerRowDxfId="417" dataDxfId="415" headerRowBorderDxfId="416" tableBorderDxfId="414" dataCellStyle="Normal 2 11">
  <autoFilter ref="A6:G40"/>
  <tableColumns count="7">
    <tableColumn id="1" name="N°" dataDxfId="413" dataCellStyle="Normal 2 11"/>
    <tableColumn id="2" name="Désignation " dataDxfId="412" dataCellStyle="Normal 2 11"/>
    <tableColumn id="3" name="SIEGE" dataDxfId="411" dataCellStyle="Normal 2 11"/>
    <tableColumn id="4" name="KDU" dataDxfId="410" dataCellStyle="Normal 2 11"/>
    <tableColumn id="5" name="SKDU" dataDxfId="409" dataCellStyle="Normal 2 11"/>
    <tableColumn id="6" name="AZDU" dataDxfId="408" dataCellStyle="Normal 2 11"/>
    <tableColumn id="7" name="ENTREPRISE" dataDxfId="407" dataCellStyle="Normal 2 11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leau1321" displayName="Tableau1321" ref="A6:B40" totalsRowShown="0" headerRowDxfId="212" dataDxfId="210" headerRowBorderDxfId="211" tableBorderDxfId="209" dataCellStyle="Normal 2 11">
  <autoFilter ref="A6:B40"/>
  <tableColumns count="2">
    <tableColumn id="1" name="N°" dataDxfId="208" dataCellStyle="Normal 2 11"/>
    <tableColumn id="2" name="Désignation " dataDxfId="207" dataCellStyle="Normal 2 11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au1322" displayName="Tableau1322" ref="A6:B40" totalsRowShown="0" headerRowDxfId="206" dataDxfId="204" headerRowBorderDxfId="205" tableBorderDxfId="203" dataCellStyle="Normal 2 11">
  <autoFilter ref="A6:B40"/>
  <tableColumns count="2">
    <tableColumn id="1" name="N°" dataDxfId="202" dataCellStyle="Normal 2 11"/>
    <tableColumn id="2" name="Désignation " dataDxfId="201" dataCellStyle="Normal 2 11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leau1323" displayName="Tableau1323" ref="A6:B40" totalsRowShown="0" headerRowDxfId="200" dataDxfId="198" headerRowBorderDxfId="199" tableBorderDxfId="197" dataCellStyle="Normal 2 11">
  <autoFilter ref="A6:B40"/>
  <tableColumns count="2">
    <tableColumn id="1" name="N°" dataDxfId="196" dataCellStyle="Normal 2 11"/>
    <tableColumn id="2" name="Désignation " dataDxfId="195" dataCellStyle="Normal 2 11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1" name="Tableau132" displayName="Tableau132" ref="A6:B39" totalsRowShown="0" dataDxfId="193" headerRowBorderDxfId="194" tableBorderDxfId="192" dataCellStyle="Normal 2 11">
  <autoFilter ref="A6:B39"/>
  <tableColumns count="2">
    <tableColumn id="1" name="N°" dataDxfId="191" dataCellStyle="Normal 2 11"/>
    <tableColumn id="2" name="Désignation " dataDxfId="190" dataCellStyle="Normal 2 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6:G40" totalsRowShown="0" headerRowDxfId="406" dataDxfId="404" headerRowBorderDxfId="405" tableBorderDxfId="403" dataCellStyle="Normal 2 11">
  <autoFilter ref="A6:G40"/>
  <tableColumns count="7">
    <tableColumn id="1" name="N°" dataDxfId="402" dataCellStyle="Normal 2 11"/>
    <tableColumn id="2" name="Désignation " dataDxfId="401" dataCellStyle="Normal 2 11"/>
    <tableColumn id="3" name="SIEGE" dataDxfId="400" dataCellStyle="Normal 2 11"/>
    <tableColumn id="4" name="KDU" dataDxfId="399" dataCellStyle="Normal 2 11"/>
    <tableColumn id="5" name="SKDU" dataDxfId="398" dataCellStyle="Normal 2 11"/>
    <tableColumn id="6" name="AZDU" dataDxfId="397" dataCellStyle="Normal 2 11"/>
    <tableColumn id="7" name="ENTREPRISE" dataDxfId="396" dataCellStyle="Normal 2 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4" name="Tableau14" displayName="Tableau14" ref="A6:G40" totalsRowShown="0" headerRowDxfId="395" dataDxfId="393" headerRowBorderDxfId="394" tableBorderDxfId="392" dataCellStyle="Normal 2 11">
  <autoFilter ref="A6:G40"/>
  <tableColumns count="7">
    <tableColumn id="1" name="N°" dataDxfId="391" dataCellStyle="Normal 2 11"/>
    <tableColumn id="2" name="Désignation " dataDxfId="390" dataCellStyle="Normal 2 11"/>
    <tableColumn id="3" name="SIEGE" dataDxfId="389" dataCellStyle="Normal 2 11"/>
    <tableColumn id="4" name="KDU" dataDxfId="388" dataCellStyle="Normal 2 11"/>
    <tableColumn id="5" name="SKDU" dataDxfId="387" dataCellStyle="Normal 2 11"/>
    <tableColumn id="6" name="AZDU" dataDxfId="386" dataCellStyle="Normal 2 11"/>
    <tableColumn id="7" name="ENTREPRISE" dataDxfId="385" dataCellStyle="Normal 2 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6:G40" totalsRowShown="0" headerRowDxfId="384" dataDxfId="382" headerRowBorderDxfId="383" tableBorderDxfId="381" dataCellStyle="Normal 2 11">
  <autoFilter ref="A6:G40"/>
  <tableColumns count="7">
    <tableColumn id="1" name="N°" dataDxfId="380" dataCellStyle="Normal 2 11"/>
    <tableColumn id="2" name="Désignation " dataDxfId="379" dataCellStyle="Normal 2 11"/>
    <tableColumn id="3" name="SIEGE" dataDxfId="378" dataCellStyle="Normal 2 11"/>
    <tableColumn id="4" name="KDU" dataDxfId="377" dataCellStyle="Normal 2 11"/>
    <tableColumn id="5" name="SKDU" dataDxfId="376" dataCellStyle="Normal 2 11"/>
    <tableColumn id="6" name="AZDU" dataDxfId="375" dataCellStyle="Normal 2 11"/>
    <tableColumn id="7" name="ENTREPRISE" dataDxfId="374" dataCellStyle="Normal 2 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A6:G40" totalsRowShown="0" headerRowDxfId="373" dataDxfId="371" headerRowBorderDxfId="372" tableBorderDxfId="370" dataCellStyle="Normal 2 11">
  <autoFilter ref="A6:G40"/>
  <tableColumns count="7">
    <tableColumn id="1" name="N°" dataDxfId="369" dataCellStyle="Normal 2 11"/>
    <tableColumn id="2" name="Désignation " dataDxfId="368" dataCellStyle="Normal 2 11"/>
    <tableColumn id="3" name="SIEGE" dataDxfId="367" dataCellStyle="Normal 2 11"/>
    <tableColumn id="4" name="KDU" dataDxfId="366" dataCellStyle="Normal 2 11"/>
    <tableColumn id="5" name="SKDU" dataDxfId="365" dataCellStyle="Normal 2 11"/>
    <tableColumn id="6" name="AZDU" dataDxfId="364" dataCellStyle="Normal 2 11"/>
    <tableColumn id="7" name="ENTREPRISE" dataDxfId="363" dataCellStyle="Normal 2 1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au7" displayName="Tableau7" ref="A6:G40" totalsRowShown="0" headerRowDxfId="362" dataDxfId="360" headerRowBorderDxfId="361" tableBorderDxfId="359" dataCellStyle="Normal 2 11">
  <autoFilter ref="A6:G40"/>
  <tableColumns count="7">
    <tableColumn id="1" name="N°" dataDxfId="358" dataCellStyle="Normal 2 11"/>
    <tableColumn id="2" name="Désignation " dataDxfId="357" dataCellStyle="Normal 2 11"/>
    <tableColumn id="3" name="SIEGE" dataDxfId="356" dataCellStyle="Normal 2 11"/>
    <tableColumn id="4" name="KDU" dataDxfId="355" dataCellStyle="Normal 2 11"/>
    <tableColumn id="5" name="SKDU" dataDxfId="354" dataCellStyle="Normal 2 11"/>
    <tableColumn id="6" name="AZDU" dataDxfId="353" dataCellStyle="Normal 2 11"/>
    <tableColumn id="7" name="ENTREPRISE" dataDxfId="352" dataCellStyle="Normal 2 1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5" name="Tableau15" displayName="Tableau15" ref="A6:G40" totalsRowShown="0" headerRowDxfId="351" dataDxfId="349" headerRowBorderDxfId="350" tableBorderDxfId="348" dataCellStyle="Normal 2 11">
  <autoFilter ref="A6:G40"/>
  <tableColumns count="7">
    <tableColumn id="1" name="N°" dataDxfId="347" dataCellStyle="Normal 2 11"/>
    <tableColumn id="2" name="Désignation " dataDxfId="346" dataCellStyle="Normal 2 11"/>
    <tableColumn id="3" name="SIEGE" dataDxfId="345" dataCellStyle="Normal 2 11"/>
    <tableColumn id="4" name="KDU" dataDxfId="344" dataCellStyle="Normal 2 11"/>
    <tableColumn id="5" name="SKDU" dataDxfId="343" dataCellStyle="Normal 2 11"/>
    <tableColumn id="6" name="AZDU" dataDxfId="342" dataCellStyle="Normal 2 11"/>
    <tableColumn id="7" name="ENTREPRISE" dataDxfId="341" dataCellStyle="Normal 2 1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Tableau8" displayName="Tableau8" ref="A6:G40" totalsRowShown="0" headerRowDxfId="340" dataDxfId="338" headerRowBorderDxfId="339" tableBorderDxfId="337" dataCellStyle="Normal 2 11">
  <autoFilter ref="A6:G40"/>
  <tableColumns count="7">
    <tableColumn id="1" name="N°" dataDxfId="336" dataCellStyle="Normal 2 11"/>
    <tableColumn id="2" name="Désignation " dataDxfId="335" dataCellStyle="Normal 2 11"/>
    <tableColumn id="3" name="SIEGE" dataDxfId="334" dataCellStyle="Normal 2 11"/>
    <tableColumn id="4" name="KDU" dataDxfId="333" dataCellStyle="Normal 2 11"/>
    <tableColumn id="5" name="SKDU" dataDxfId="332" dataCellStyle="Normal 2 11"/>
    <tableColumn id="6" name="AZDU" dataDxfId="331" dataCellStyle="Normal 2 11"/>
    <tableColumn id="7" name="ENTREPRISE" dataDxfId="330" dataCellStyle="Normal 2 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6.xml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7.xml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5" Type="http://schemas.openxmlformats.org/officeDocument/2006/relationships/comments" Target="../comments8.xm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5" Type="http://schemas.openxmlformats.org/officeDocument/2006/relationships/comments" Target="../comments9.xml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5" Type="http://schemas.openxmlformats.org/officeDocument/2006/relationships/comments" Target="../comments10.xml"/><Relationship Id="rId4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5" Type="http://schemas.openxmlformats.org/officeDocument/2006/relationships/comments" Target="../comments11.xml"/><Relationship Id="rId4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2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4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J105"/>
  <sheetViews>
    <sheetView zoomScale="90" zoomScaleNormal="90" zoomScaleSheetLayoutView="100" workbookViewId="0">
      <selection activeCell="N25" sqref="J25:N33"/>
    </sheetView>
  </sheetViews>
  <sheetFormatPr baseColWidth="10" defaultRowHeight="18" x14ac:dyDescent="0.3"/>
  <cols>
    <col min="1" max="1" width="5.109375" style="6" customWidth="1"/>
    <col min="2" max="2" width="1" style="6" customWidth="1"/>
    <col min="3" max="3" width="5.109375" style="6" customWidth="1"/>
    <col min="4" max="4" width="19.88671875" style="6" customWidth="1"/>
    <col min="5" max="5" width="27.33203125" style="14" customWidth="1"/>
    <col min="6" max="8" width="18" style="6" customWidth="1"/>
    <col min="9" max="9" width="20.77734375" style="6" customWidth="1"/>
    <col min="10" max="11" width="18" style="6" customWidth="1"/>
    <col min="12" max="15" width="11.5546875" style="9"/>
    <col min="16" max="16384" width="11.5546875" style="6"/>
  </cols>
  <sheetData>
    <row r="1" spans="1:88" s="22" customFormat="1" ht="43.8" customHeight="1" x14ac:dyDescent="0.3">
      <c r="A1" s="334" t="s">
        <v>74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</row>
    <row r="2" spans="1:88" ht="22.2" customHeight="1" x14ac:dyDescent="0.3">
      <c r="A2" s="337" t="s">
        <v>63</v>
      </c>
      <c r="B2" s="337"/>
      <c r="C2" s="337"/>
      <c r="D2" s="339" t="s">
        <v>47</v>
      </c>
      <c r="E2" s="16" t="s">
        <v>67</v>
      </c>
      <c r="F2" s="7">
        <v>44019</v>
      </c>
      <c r="G2" s="7">
        <v>44051</v>
      </c>
      <c r="H2" s="8">
        <v>44083</v>
      </c>
      <c r="I2" s="9"/>
      <c r="J2" s="9"/>
      <c r="K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88" ht="22.2" customHeight="1" x14ac:dyDescent="0.3">
      <c r="A3" s="337"/>
      <c r="B3" s="337"/>
      <c r="C3" s="337"/>
      <c r="D3" s="339"/>
      <c r="E3" s="13" t="s">
        <v>68</v>
      </c>
      <c r="F3" s="11">
        <v>21284.34</v>
      </c>
      <c r="G3" s="11">
        <v>14506.51</v>
      </c>
      <c r="H3" s="11">
        <v>22315.16</v>
      </c>
      <c r="I3" s="9"/>
      <c r="J3" s="9"/>
      <c r="K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88" ht="22.2" customHeight="1" x14ac:dyDescent="0.3">
      <c r="A4" s="337"/>
      <c r="B4" s="337"/>
      <c r="C4" s="337"/>
      <c r="D4" s="339"/>
      <c r="E4" s="13" t="s">
        <v>69</v>
      </c>
      <c r="F4" s="11">
        <v>8613.91</v>
      </c>
      <c r="G4" s="11">
        <v>13124.4</v>
      </c>
      <c r="H4" s="11">
        <v>19341.189999999999</v>
      </c>
      <c r="I4" s="9"/>
      <c r="J4" s="9"/>
      <c r="K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88" ht="9.6" customHeight="1" x14ac:dyDescent="0.3">
      <c r="A5" s="337"/>
      <c r="B5" s="337"/>
      <c r="C5" s="337"/>
      <c r="D5" s="9"/>
      <c r="E5" s="9"/>
      <c r="F5" s="9"/>
      <c r="G5" s="9"/>
      <c r="H5" s="9"/>
      <c r="I5" s="9"/>
      <c r="J5" s="9"/>
      <c r="K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88" ht="22.2" customHeight="1" x14ac:dyDescent="0.3">
      <c r="A6" s="337"/>
      <c r="B6" s="337"/>
      <c r="C6" s="337"/>
      <c r="D6" s="340" t="s">
        <v>71</v>
      </c>
      <c r="E6" s="16" t="s">
        <v>67</v>
      </c>
      <c r="F6" s="7">
        <v>44019</v>
      </c>
      <c r="G6" s="7">
        <v>44051</v>
      </c>
      <c r="H6" s="8">
        <v>44083</v>
      </c>
      <c r="I6" s="9"/>
      <c r="J6" s="9"/>
      <c r="K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88" ht="22.2" customHeight="1" x14ac:dyDescent="0.3">
      <c r="A7" s="337"/>
      <c r="B7" s="337"/>
      <c r="C7" s="337"/>
      <c r="D7" s="340"/>
      <c r="E7" s="13" t="s">
        <v>72</v>
      </c>
      <c r="F7" s="11">
        <v>5203.3</v>
      </c>
      <c r="G7" s="11">
        <v>6281.23</v>
      </c>
      <c r="H7" s="11">
        <v>19335.84</v>
      </c>
      <c r="I7" s="9"/>
      <c r="J7" s="9"/>
      <c r="K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88" ht="22.2" customHeight="1" x14ac:dyDescent="0.3">
      <c r="A8" s="337"/>
      <c r="B8" s="337"/>
      <c r="C8" s="337"/>
      <c r="D8" s="340"/>
      <c r="E8" s="13" t="s">
        <v>73</v>
      </c>
      <c r="F8" s="11">
        <f>136.66+317.5+212+4621.2</f>
        <v>5287.36</v>
      </c>
      <c r="G8" s="11">
        <v>9140.39</v>
      </c>
      <c r="H8" s="11">
        <v>8656.4500000000007</v>
      </c>
      <c r="I8" s="9"/>
      <c r="J8" s="9"/>
      <c r="K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88" ht="9.6" customHeight="1" x14ac:dyDescent="0.3">
      <c r="A9" s="337"/>
      <c r="B9" s="337"/>
      <c r="C9" s="337"/>
      <c r="D9" s="9"/>
      <c r="E9" s="9"/>
      <c r="F9" s="9"/>
      <c r="G9" s="9"/>
      <c r="H9" s="9"/>
      <c r="I9" s="9"/>
      <c r="J9" s="9"/>
      <c r="K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88" ht="22.2" customHeight="1" x14ac:dyDescent="0.3">
      <c r="A10" s="337"/>
      <c r="B10" s="337"/>
      <c r="C10" s="337"/>
      <c r="D10" s="335" t="s">
        <v>70</v>
      </c>
      <c r="E10" s="16" t="s">
        <v>67</v>
      </c>
      <c r="F10" s="7">
        <v>44019</v>
      </c>
      <c r="G10" s="7">
        <v>44051</v>
      </c>
      <c r="H10" s="8">
        <v>44083</v>
      </c>
      <c r="I10" s="24" t="s">
        <v>59</v>
      </c>
      <c r="J10" s="9"/>
      <c r="K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88" ht="22.2" customHeight="1" x14ac:dyDescent="0.3">
      <c r="A11" s="337"/>
      <c r="B11" s="337"/>
      <c r="C11" s="337"/>
      <c r="D11" s="336"/>
      <c r="E11" s="13" t="s">
        <v>68</v>
      </c>
      <c r="F11" s="11">
        <f t="shared" ref="F11:H12" si="0">+F3+F7</f>
        <v>26487.64</v>
      </c>
      <c r="G11" s="11">
        <f t="shared" si="0"/>
        <v>20787.739999999998</v>
      </c>
      <c r="H11" s="11">
        <f t="shared" si="0"/>
        <v>41651</v>
      </c>
      <c r="I11" s="21">
        <f>SUM(F11:H11)</f>
        <v>88926.38</v>
      </c>
      <c r="J11" s="9"/>
      <c r="K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88" ht="22.2" customHeight="1" x14ac:dyDescent="0.3">
      <c r="A12" s="337"/>
      <c r="B12" s="337"/>
      <c r="C12" s="337"/>
      <c r="D12" s="336"/>
      <c r="E12" s="13" t="s">
        <v>69</v>
      </c>
      <c r="F12" s="11">
        <f t="shared" si="0"/>
        <v>13901.27</v>
      </c>
      <c r="G12" s="11">
        <f t="shared" si="0"/>
        <v>22264.79</v>
      </c>
      <c r="H12" s="11">
        <f t="shared" si="0"/>
        <v>27997.64</v>
      </c>
      <c r="I12" s="21">
        <f>SUM(F12:H12)</f>
        <v>64163.7</v>
      </c>
      <c r="J12" s="9"/>
      <c r="K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88" s="22" customFormat="1" ht="43.8" customHeight="1" x14ac:dyDescent="0.3">
      <c r="A13" s="334" t="s">
        <v>66</v>
      </c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</row>
    <row r="14" spans="1:88" ht="22.2" customHeight="1" x14ac:dyDescent="0.3">
      <c r="A14" s="338" t="s">
        <v>66</v>
      </c>
      <c r="B14" s="9"/>
      <c r="C14" s="338" t="s">
        <v>64</v>
      </c>
      <c r="D14" s="335" t="s">
        <v>70</v>
      </c>
      <c r="E14" s="16" t="s">
        <v>67</v>
      </c>
      <c r="F14" s="7">
        <v>44019</v>
      </c>
      <c r="G14" s="7">
        <v>44051</v>
      </c>
      <c r="H14" s="8">
        <v>44083</v>
      </c>
      <c r="I14" s="23" t="s">
        <v>60</v>
      </c>
      <c r="J14" s="10" t="s">
        <v>61</v>
      </c>
      <c r="K14" s="10" t="s">
        <v>62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88" ht="22.2" customHeight="1" x14ac:dyDescent="0.3">
      <c r="A15" s="338"/>
      <c r="B15" s="9"/>
      <c r="C15" s="338"/>
      <c r="D15" s="336"/>
      <c r="E15" s="13" t="s">
        <v>68</v>
      </c>
      <c r="F15" s="12">
        <v>40955</v>
      </c>
      <c r="G15" s="12">
        <v>54661</v>
      </c>
      <c r="H15" s="12">
        <v>54301</v>
      </c>
      <c r="I15" s="20">
        <f>SUM(F15:H15)</f>
        <v>149917</v>
      </c>
      <c r="J15" s="18">
        <f>+I15*0.19</f>
        <v>28484.23</v>
      </c>
      <c r="K15" s="19">
        <f>+I15+J15</f>
        <v>178401.23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88" ht="22.2" customHeight="1" x14ac:dyDescent="0.3">
      <c r="A16" s="338"/>
      <c r="B16" s="9"/>
      <c r="C16" s="338"/>
      <c r="D16" s="336"/>
      <c r="E16" s="13" t="s">
        <v>69</v>
      </c>
      <c r="F16" s="12">
        <v>78368</v>
      </c>
      <c r="G16" s="12">
        <v>88284</v>
      </c>
      <c r="H16" s="12">
        <v>101718</v>
      </c>
      <c r="I16" s="20">
        <f>SUM(F16:H16)</f>
        <v>268370</v>
      </c>
      <c r="J16" s="18">
        <f>+I16*0.19</f>
        <v>50990.3</v>
      </c>
      <c r="K16" s="19">
        <f>+I16+J16</f>
        <v>319360.3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ht="9.6" customHeight="1" x14ac:dyDescent="0.3">
      <c r="A17" s="338"/>
      <c r="B17" s="9"/>
      <c r="C17" s="9"/>
      <c r="D17" s="9"/>
      <c r="E17" s="15"/>
      <c r="F17" s="9"/>
      <c r="G17" s="9"/>
      <c r="H17" s="9"/>
      <c r="I17" s="9"/>
      <c r="J17" s="9"/>
      <c r="K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ht="22.2" customHeight="1" x14ac:dyDescent="0.3">
      <c r="A18" s="338"/>
      <c r="B18" s="9"/>
      <c r="C18" s="338" t="s">
        <v>65</v>
      </c>
      <c r="D18" s="335" t="s">
        <v>70</v>
      </c>
      <c r="E18" s="16" t="s">
        <v>67</v>
      </c>
      <c r="F18" s="7">
        <v>44019</v>
      </c>
      <c r="G18" s="7">
        <v>44051</v>
      </c>
      <c r="H18" s="8">
        <v>44083</v>
      </c>
      <c r="I18" s="24" t="s">
        <v>59</v>
      </c>
      <c r="J18" s="9"/>
      <c r="K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ht="22.2" customHeight="1" x14ac:dyDescent="0.3">
      <c r="A19" s="338"/>
      <c r="B19" s="9"/>
      <c r="C19" s="338"/>
      <c r="D19" s="336"/>
      <c r="E19" s="13" t="s">
        <v>68</v>
      </c>
      <c r="F19" s="11">
        <v>22794</v>
      </c>
      <c r="G19" s="11">
        <v>28748</v>
      </c>
      <c r="H19" s="11">
        <v>32441</v>
      </c>
      <c r="I19" s="21">
        <f>SUM(F19:H19)</f>
        <v>83983</v>
      </c>
      <c r="J19" s="9"/>
      <c r="K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ht="22.2" customHeight="1" x14ac:dyDescent="0.3">
      <c r="A20" s="338"/>
      <c r="B20" s="9"/>
      <c r="C20" s="338"/>
      <c r="D20" s="336"/>
      <c r="E20" s="13" t="s">
        <v>69</v>
      </c>
      <c r="F20" s="11">
        <v>18023</v>
      </c>
      <c r="G20" s="11">
        <v>20746</v>
      </c>
      <c r="H20" s="11">
        <v>25010</v>
      </c>
      <c r="I20" s="21">
        <f>SUM(F20:H20)</f>
        <v>63779</v>
      </c>
      <c r="J20" s="9"/>
      <c r="K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x14ac:dyDescent="0.3">
      <c r="A21" s="9"/>
      <c r="B21" s="9"/>
      <c r="C21" s="9"/>
      <c r="D21" s="9"/>
      <c r="E21" s="15"/>
      <c r="F21" s="9"/>
      <c r="G21" s="9"/>
      <c r="H21" s="9"/>
      <c r="I21" s="9"/>
      <c r="J21" s="9"/>
      <c r="K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s="9" customFormat="1" x14ac:dyDescent="0.3">
      <c r="E22" s="15"/>
    </row>
    <row r="23" spans="1:34" s="9" customFormat="1" x14ac:dyDescent="0.3">
      <c r="E23" s="15"/>
    </row>
    <row r="24" spans="1:34" s="9" customFormat="1" x14ac:dyDescent="0.3">
      <c r="E24" s="15"/>
    </row>
    <row r="25" spans="1:34" s="9" customFormat="1" x14ac:dyDescent="0.3">
      <c r="E25" s="15"/>
    </row>
    <row r="26" spans="1:34" s="9" customFormat="1" x14ac:dyDescent="0.3">
      <c r="E26" s="15"/>
      <c r="H26" s="9">
        <v>2478</v>
      </c>
      <c r="I26" s="17">
        <f>+H26/H27</f>
        <v>0.946524064171123</v>
      </c>
      <c r="L26" s="122"/>
    </row>
    <row r="27" spans="1:34" s="9" customFormat="1" x14ac:dyDescent="0.3">
      <c r="E27" s="17"/>
      <c r="H27" s="9">
        <v>2618</v>
      </c>
      <c r="L27" s="122"/>
    </row>
    <row r="28" spans="1:34" s="9" customFormat="1" x14ac:dyDescent="0.3">
      <c r="E28" s="15"/>
      <c r="H28" s="9">
        <f>+H26-H27</f>
        <v>-140</v>
      </c>
      <c r="I28" s="17">
        <f>+H28/H27</f>
        <v>-5.3475935828877004E-2</v>
      </c>
      <c r="L28" s="122"/>
    </row>
    <row r="29" spans="1:34" s="9" customFormat="1" x14ac:dyDescent="0.3">
      <c r="E29" s="15"/>
      <c r="K29" s="121"/>
      <c r="L29" s="123"/>
    </row>
    <row r="30" spans="1:34" s="9" customFormat="1" x14ac:dyDescent="0.3">
      <c r="E30" s="15"/>
    </row>
    <row r="31" spans="1:34" s="9" customFormat="1" x14ac:dyDescent="0.3">
      <c r="E31" s="15"/>
      <c r="I31" s="9">
        <f>605-701</f>
        <v>-96</v>
      </c>
    </row>
    <row r="32" spans="1:34" s="9" customFormat="1" x14ac:dyDescent="0.3">
      <c r="E32" s="15"/>
    </row>
    <row r="33" spans="5:5" s="9" customFormat="1" x14ac:dyDescent="0.3">
      <c r="E33" s="15"/>
    </row>
    <row r="34" spans="5:5" s="9" customFormat="1" x14ac:dyDescent="0.3">
      <c r="E34" s="15"/>
    </row>
    <row r="35" spans="5:5" s="9" customFormat="1" x14ac:dyDescent="0.3">
      <c r="E35" s="15"/>
    </row>
    <row r="36" spans="5:5" s="9" customFormat="1" x14ac:dyDescent="0.3">
      <c r="E36" s="15"/>
    </row>
    <row r="37" spans="5:5" s="9" customFormat="1" x14ac:dyDescent="0.3">
      <c r="E37" s="15"/>
    </row>
    <row r="38" spans="5:5" s="9" customFormat="1" x14ac:dyDescent="0.3">
      <c r="E38" s="15"/>
    </row>
    <row r="39" spans="5:5" s="9" customFormat="1" x14ac:dyDescent="0.3">
      <c r="E39" s="15"/>
    </row>
    <row r="40" spans="5:5" s="9" customFormat="1" x14ac:dyDescent="0.3">
      <c r="E40" s="15"/>
    </row>
    <row r="41" spans="5:5" s="9" customFormat="1" x14ac:dyDescent="0.3">
      <c r="E41" s="15"/>
    </row>
    <row r="42" spans="5:5" s="9" customFormat="1" x14ac:dyDescent="0.3">
      <c r="E42" s="15"/>
    </row>
    <row r="43" spans="5:5" s="9" customFormat="1" x14ac:dyDescent="0.3">
      <c r="E43" s="15"/>
    </row>
    <row r="44" spans="5:5" s="9" customFormat="1" x14ac:dyDescent="0.3">
      <c r="E44" s="15"/>
    </row>
    <row r="45" spans="5:5" s="9" customFormat="1" x14ac:dyDescent="0.3">
      <c r="E45" s="15"/>
    </row>
    <row r="46" spans="5:5" s="9" customFormat="1" x14ac:dyDescent="0.3">
      <c r="E46" s="15"/>
    </row>
    <row r="47" spans="5:5" s="9" customFormat="1" x14ac:dyDescent="0.3">
      <c r="E47" s="15"/>
    </row>
    <row r="48" spans="5:5" s="9" customFormat="1" x14ac:dyDescent="0.3">
      <c r="E48" s="15"/>
    </row>
    <row r="49" spans="5:5" s="9" customFormat="1" x14ac:dyDescent="0.3">
      <c r="E49" s="15"/>
    </row>
    <row r="50" spans="5:5" s="9" customFormat="1" x14ac:dyDescent="0.3">
      <c r="E50" s="15"/>
    </row>
    <row r="51" spans="5:5" s="9" customFormat="1" x14ac:dyDescent="0.3">
      <c r="E51" s="15"/>
    </row>
    <row r="52" spans="5:5" s="9" customFormat="1" x14ac:dyDescent="0.3">
      <c r="E52" s="15"/>
    </row>
    <row r="53" spans="5:5" s="9" customFormat="1" x14ac:dyDescent="0.3">
      <c r="E53" s="15"/>
    </row>
    <row r="54" spans="5:5" s="9" customFormat="1" x14ac:dyDescent="0.3">
      <c r="E54" s="15"/>
    </row>
    <row r="55" spans="5:5" s="9" customFormat="1" x14ac:dyDescent="0.3">
      <c r="E55" s="15"/>
    </row>
    <row r="56" spans="5:5" s="9" customFormat="1" x14ac:dyDescent="0.3">
      <c r="E56" s="15"/>
    </row>
    <row r="57" spans="5:5" s="9" customFormat="1" x14ac:dyDescent="0.3">
      <c r="E57" s="15"/>
    </row>
    <row r="58" spans="5:5" s="9" customFormat="1" x14ac:dyDescent="0.3">
      <c r="E58" s="15"/>
    </row>
    <row r="59" spans="5:5" s="9" customFormat="1" x14ac:dyDescent="0.3">
      <c r="E59" s="15"/>
    </row>
    <row r="60" spans="5:5" s="9" customFormat="1" x14ac:dyDescent="0.3">
      <c r="E60" s="15"/>
    </row>
    <row r="61" spans="5:5" s="9" customFormat="1" x14ac:dyDescent="0.3">
      <c r="E61" s="15"/>
    </row>
    <row r="62" spans="5:5" s="9" customFormat="1" x14ac:dyDescent="0.3">
      <c r="E62" s="15"/>
    </row>
    <row r="63" spans="5:5" s="9" customFormat="1" x14ac:dyDescent="0.3">
      <c r="E63" s="15"/>
    </row>
    <row r="64" spans="5:5" s="9" customFormat="1" x14ac:dyDescent="0.3">
      <c r="E64" s="15"/>
    </row>
    <row r="65" spans="5:5" s="9" customFormat="1" x14ac:dyDescent="0.3">
      <c r="E65" s="15"/>
    </row>
    <row r="66" spans="5:5" s="9" customFormat="1" x14ac:dyDescent="0.3">
      <c r="E66" s="15"/>
    </row>
    <row r="67" spans="5:5" s="9" customFormat="1" x14ac:dyDescent="0.3">
      <c r="E67" s="15"/>
    </row>
    <row r="68" spans="5:5" s="9" customFormat="1" x14ac:dyDescent="0.3">
      <c r="E68" s="15"/>
    </row>
    <row r="69" spans="5:5" s="9" customFormat="1" x14ac:dyDescent="0.3">
      <c r="E69" s="15"/>
    </row>
    <row r="70" spans="5:5" s="9" customFormat="1" x14ac:dyDescent="0.3">
      <c r="E70" s="15"/>
    </row>
    <row r="71" spans="5:5" s="9" customFormat="1" x14ac:dyDescent="0.3">
      <c r="E71" s="15"/>
    </row>
    <row r="72" spans="5:5" s="9" customFormat="1" x14ac:dyDescent="0.3">
      <c r="E72" s="15"/>
    </row>
    <row r="73" spans="5:5" s="9" customFormat="1" x14ac:dyDescent="0.3">
      <c r="E73" s="15"/>
    </row>
    <row r="74" spans="5:5" s="9" customFormat="1" x14ac:dyDescent="0.3">
      <c r="E74" s="15"/>
    </row>
    <row r="75" spans="5:5" s="9" customFormat="1" x14ac:dyDescent="0.3">
      <c r="E75" s="15"/>
    </row>
    <row r="76" spans="5:5" s="9" customFormat="1" x14ac:dyDescent="0.3">
      <c r="E76" s="15"/>
    </row>
    <row r="77" spans="5:5" s="9" customFormat="1" x14ac:dyDescent="0.3">
      <c r="E77" s="15"/>
    </row>
    <row r="78" spans="5:5" s="9" customFormat="1" x14ac:dyDescent="0.3">
      <c r="E78" s="15"/>
    </row>
    <row r="79" spans="5:5" s="9" customFormat="1" x14ac:dyDescent="0.3">
      <c r="E79" s="15"/>
    </row>
    <row r="80" spans="5:5" s="9" customFormat="1" x14ac:dyDescent="0.3">
      <c r="E80" s="15"/>
    </row>
    <row r="81" spans="5:5" s="9" customFormat="1" x14ac:dyDescent="0.3">
      <c r="E81" s="15"/>
    </row>
    <row r="82" spans="5:5" s="9" customFormat="1" x14ac:dyDescent="0.3">
      <c r="E82" s="15"/>
    </row>
    <row r="83" spans="5:5" s="9" customFormat="1" x14ac:dyDescent="0.3">
      <c r="E83" s="15"/>
    </row>
    <row r="84" spans="5:5" s="9" customFormat="1" x14ac:dyDescent="0.3">
      <c r="E84" s="15"/>
    </row>
    <row r="85" spans="5:5" s="9" customFormat="1" x14ac:dyDescent="0.3">
      <c r="E85" s="15"/>
    </row>
    <row r="86" spans="5:5" s="9" customFormat="1" x14ac:dyDescent="0.3">
      <c r="E86" s="15"/>
    </row>
    <row r="87" spans="5:5" s="9" customFormat="1" x14ac:dyDescent="0.3">
      <c r="E87" s="15"/>
    </row>
    <row r="88" spans="5:5" s="9" customFormat="1" x14ac:dyDescent="0.3">
      <c r="E88" s="15"/>
    </row>
    <row r="89" spans="5:5" s="9" customFormat="1" x14ac:dyDescent="0.3">
      <c r="E89" s="15"/>
    </row>
    <row r="90" spans="5:5" s="9" customFormat="1" x14ac:dyDescent="0.3">
      <c r="E90" s="15"/>
    </row>
    <row r="91" spans="5:5" s="9" customFormat="1" x14ac:dyDescent="0.3">
      <c r="E91" s="15"/>
    </row>
    <row r="92" spans="5:5" s="9" customFormat="1" x14ac:dyDescent="0.3">
      <c r="E92" s="15"/>
    </row>
    <row r="93" spans="5:5" s="9" customFormat="1" x14ac:dyDescent="0.3">
      <c r="E93" s="15"/>
    </row>
    <row r="94" spans="5:5" s="9" customFormat="1" x14ac:dyDescent="0.3">
      <c r="E94" s="15"/>
    </row>
    <row r="95" spans="5:5" s="9" customFormat="1" x14ac:dyDescent="0.3">
      <c r="E95" s="15"/>
    </row>
    <row r="96" spans="5:5" s="9" customFormat="1" x14ac:dyDescent="0.3">
      <c r="E96" s="15"/>
    </row>
    <row r="97" spans="5:5" s="9" customFormat="1" x14ac:dyDescent="0.3">
      <c r="E97" s="15"/>
    </row>
    <row r="98" spans="5:5" s="9" customFormat="1" x14ac:dyDescent="0.3">
      <c r="E98" s="15"/>
    </row>
    <row r="99" spans="5:5" s="9" customFormat="1" x14ac:dyDescent="0.3">
      <c r="E99" s="15"/>
    </row>
    <row r="100" spans="5:5" s="9" customFormat="1" x14ac:dyDescent="0.3">
      <c r="E100" s="15"/>
    </row>
    <row r="101" spans="5:5" s="9" customFormat="1" x14ac:dyDescent="0.3">
      <c r="E101" s="15"/>
    </row>
    <row r="102" spans="5:5" s="9" customFormat="1" x14ac:dyDescent="0.3">
      <c r="E102" s="15"/>
    </row>
    <row r="103" spans="5:5" s="9" customFormat="1" x14ac:dyDescent="0.3">
      <c r="E103" s="15"/>
    </row>
    <row r="104" spans="5:5" s="9" customFormat="1" x14ac:dyDescent="0.3">
      <c r="E104" s="15"/>
    </row>
    <row r="105" spans="5:5" s="9" customFormat="1" x14ac:dyDescent="0.3">
      <c r="E105" s="15"/>
    </row>
  </sheetData>
  <mergeCells count="11">
    <mergeCell ref="A1:K1"/>
    <mergeCell ref="D18:D20"/>
    <mergeCell ref="A2:C12"/>
    <mergeCell ref="C14:C16"/>
    <mergeCell ref="C18:C20"/>
    <mergeCell ref="A14:A20"/>
    <mergeCell ref="A13:K13"/>
    <mergeCell ref="D2:D4"/>
    <mergeCell ref="D6:D8"/>
    <mergeCell ref="D10:D12"/>
    <mergeCell ref="D14:D16"/>
  </mergeCells>
  <pageMargins left="0.7" right="0.7" top="0.75" bottom="0.75" header="0.3" footer="0.3"/>
  <pageSetup paperSize="9" scale="4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50"/>
  <sheetViews>
    <sheetView view="pageBreakPreview" zoomScale="80" zoomScaleNormal="50" zoomScaleSheetLayoutView="80" workbookViewId="0">
      <pane xSplit="2" ySplit="6" topLeftCell="C31" activePane="bottomRight" state="frozen"/>
      <selection activeCell="C5" sqref="C5:D5"/>
      <selection pane="topRight" activeCell="C5" sqref="C5:D5"/>
      <selection pane="bottomLeft" activeCell="C5" sqref="C5:D5"/>
      <selection pane="bottomRight" activeCell="C32" sqref="C32"/>
    </sheetView>
  </sheetViews>
  <sheetFormatPr baseColWidth="10" defaultColWidth="11.44140625" defaultRowHeight="23.4" x14ac:dyDescent="0.45"/>
  <cols>
    <col min="1" max="1" width="7.6640625" style="2" customWidth="1"/>
    <col min="2" max="2" width="76.5546875" style="2" customWidth="1"/>
    <col min="3" max="7" width="19.77734375" style="3" customWidth="1"/>
    <col min="8" max="16384" width="11.44140625" style="1"/>
  </cols>
  <sheetData>
    <row r="1" spans="1:27" s="42" customFormat="1" ht="13.8" customHeight="1" x14ac:dyDescent="0.45">
      <c r="A1" s="25"/>
      <c r="B1" s="39"/>
      <c r="C1" s="40"/>
      <c r="D1" s="40"/>
      <c r="E1" s="40"/>
      <c r="F1" s="40"/>
      <c r="G1" s="40"/>
      <c r="H1" s="39"/>
      <c r="I1" s="39"/>
      <c r="J1" s="39"/>
      <c r="N1" s="39"/>
      <c r="O1" s="39"/>
      <c r="P1" s="344"/>
      <c r="Q1" s="344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42" customFormat="1" ht="13.8" customHeight="1" x14ac:dyDescent="0.45">
      <c r="A2" s="25"/>
      <c r="B2" s="43"/>
      <c r="C2" s="44"/>
      <c r="D2" s="44"/>
      <c r="E2" s="44"/>
      <c r="F2" s="44"/>
      <c r="G2" s="44"/>
      <c r="H2" s="39"/>
      <c r="I2" s="39"/>
      <c r="J2" s="39"/>
      <c r="N2" s="43"/>
      <c r="O2" s="45"/>
      <c r="P2" s="345"/>
      <c r="Q2" s="345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s="42" customFormat="1" ht="13.8" customHeight="1" x14ac:dyDescent="0.4">
      <c r="A3" s="46"/>
      <c r="B3" s="47"/>
      <c r="C3" s="48"/>
      <c r="D3" s="48"/>
      <c r="E3" s="48"/>
      <c r="F3" s="48"/>
      <c r="G3" s="48"/>
      <c r="H3" s="46"/>
      <c r="I3" s="46"/>
      <c r="J3" s="46"/>
      <c r="N3" s="46"/>
      <c r="O3" s="46"/>
      <c r="P3" s="346"/>
      <c r="Q3" s="3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42" customFormat="1" ht="13.8" customHeight="1" x14ac:dyDescent="0.4">
      <c r="A4" s="46"/>
      <c r="B4" s="46"/>
      <c r="C4" s="50"/>
      <c r="D4" s="50"/>
      <c r="E4" s="50"/>
      <c r="F4" s="50"/>
      <c r="G4" s="50"/>
    </row>
    <row r="5" spans="1:27" ht="26.4" thickBot="1" x14ac:dyDescent="0.55000000000000004">
      <c r="A5" s="347" t="s">
        <v>94</v>
      </c>
      <c r="B5" s="347"/>
      <c r="C5" s="347"/>
      <c r="D5" s="347"/>
      <c r="E5" s="347"/>
      <c r="F5" s="347"/>
      <c r="G5" s="347"/>
    </row>
    <row r="6" spans="1:27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</row>
    <row r="7" spans="1:27" s="29" customFormat="1" ht="30.75" customHeight="1" x14ac:dyDescent="0.35">
      <c r="A7" s="101"/>
      <c r="B7" s="79" t="s">
        <v>2</v>
      </c>
      <c r="C7" s="51">
        <v>3000000</v>
      </c>
      <c r="D7" s="51">
        <v>35241349.82</v>
      </c>
      <c r="E7" s="52">
        <v>37633035</v>
      </c>
      <c r="F7" s="53">
        <v>71473074.189999998</v>
      </c>
      <c r="G7" s="51">
        <f>+C7+D7+E7+F7</f>
        <v>147347459.00999999</v>
      </c>
    </row>
    <row r="8" spans="1:27" s="29" customFormat="1" ht="30.75" customHeight="1" x14ac:dyDescent="0.35">
      <c r="A8" s="102"/>
      <c r="B8" s="80" t="s">
        <v>42</v>
      </c>
      <c r="C8" s="54"/>
      <c r="D8" s="54"/>
      <c r="E8" s="55"/>
      <c r="F8" s="56"/>
      <c r="G8" s="51">
        <f>+C8+D8+E8+F8</f>
        <v>0</v>
      </c>
      <c r="J8" s="30"/>
    </row>
    <row r="9" spans="1:27" s="27" customFormat="1" ht="30.75" customHeight="1" x14ac:dyDescent="0.35">
      <c r="A9" s="102"/>
      <c r="B9" s="81" t="s">
        <v>3</v>
      </c>
      <c r="C9" s="54"/>
      <c r="D9" s="57">
        <v>40847842.840000004</v>
      </c>
      <c r="E9" s="55">
        <v>-19475095.699999999</v>
      </c>
      <c r="F9" s="56">
        <v>-31506132.670000002</v>
      </c>
      <c r="G9" s="51">
        <f>+C9+D9+E9+F9</f>
        <v>-10133385.529999997</v>
      </c>
    </row>
    <row r="10" spans="1:27" s="27" customFormat="1" ht="30.75" customHeight="1" x14ac:dyDescent="0.35">
      <c r="A10" s="102"/>
      <c r="B10" s="81" t="s">
        <v>4</v>
      </c>
      <c r="C10" s="54"/>
      <c r="D10" s="54"/>
      <c r="E10" s="55"/>
      <c r="F10" s="56"/>
      <c r="G10" s="51">
        <f>+C10+D10+E10+F10</f>
        <v>0</v>
      </c>
    </row>
    <row r="11" spans="1:27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</row>
    <row r="12" spans="1:27" s="27" customFormat="1" ht="30.75" customHeight="1" thickBot="1" x14ac:dyDescent="0.4">
      <c r="A12" s="104"/>
      <c r="B12" s="83" t="s">
        <v>6</v>
      </c>
      <c r="C12" s="61">
        <f>SUM(C7:C11)</f>
        <v>3000000</v>
      </c>
      <c r="D12" s="61">
        <f>SUM(D7:D11)</f>
        <v>76089192.659999996</v>
      </c>
      <c r="E12" s="62">
        <f>SUM(E7:E11)</f>
        <v>18157939.300000001</v>
      </c>
      <c r="F12" s="63">
        <f>SUM(F7:F11)</f>
        <v>39966941.519999996</v>
      </c>
      <c r="G12" s="61">
        <f>SUM(G7:G11)</f>
        <v>137214073.47999999</v>
      </c>
    </row>
    <row r="13" spans="1:27" s="32" customFormat="1" ht="30.75" customHeight="1" x14ac:dyDescent="0.35">
      <c r="A13" s="105">
        <v>60</v>
      </c>
      <c r="B13" s="84" t="s">
        <v>7</v>
      </c>
      <c r="C13" s="51">
        <v>199442.56</v>
      </c>
      <c r="D13" s="64">
        <v>57604893.329999998</v>
      </c>
      <c r="E13" s="65">
        <v>7056433.6299999999</v>
      </c>
      <c r="F13" s="66">
        <v>20739340.829999998</v>
      </c>
      <c r="G13" s="51">
        <f>+C13+D13+E13+F13</f>
        <v>85600110.349999994</v>
      </c>
    </row>
    <row r="14" spans="1:27" s="32" customFormat="1" ht="30.75" customHeight="1" x14ac:dyDescent="0.35">
      <c r="A14" s="106" t="s">
        <v>8</v>
      </c>
      <c r="B14" s="82" t="s">
        <v>43</v>
      </c>
      <c r="C14" s="58">
        <v>8321684.9500000002</v>
      </c>
      <c r="D14" s="58">
        <v>3970988.89</v>
      </c>
      <c r="E14" s="59">
        <v>3259519.15</v>
      </c>
      <c r="F14" s="60">
        <v>3060948.71</v>
      </c>
      <c r="G14" s="58">
        <f>+C14+D14+E14+F14</f>
        <v>18613141.699999999</v>
      </c>
    </row>
    <row r="15" spans="1:27" s="32" customFormat="1" ht="30.75" customHeight="1" thickBot="1" x14ac:dyDescent="0.4">
      <c r="A15" s="229"/>
      <c r="B15" s="230" t="s">
        <v>124</v>
      </c>
      <c r="C15" s="112"/>
      <c r="D15" s="112"/>
      <c r="E15" s="231"/>
      <c r="F15" s="232"/>
      <c r="G15" s="58">
        <f>+C15+D15+E15+F15</f>
        <v>0</v>
      </c>
    </row>
    <row r="16" spans="1:27" s="27" customFormat="1" ht="30.75" customHeight="1" thickBot="1" x14ac:dyDescent="0.4">
      <c r="A16" s="107" t="s">
        <v>9</v>
      </c>
      <c r="B16" s="85" t="s">
        <v>10</v>
      </c>
      <c r="C16" s="61">
        <f>+C13+C14+C15</f>
        <v>8521127.5099999998</v>
      </c>
      <c r="D16" s="61">
        <f>+D13+D14+D15</f>
        <v>61575882.219999999</v>
      </c>
      <c r="E16" s="62">
        <f>+E13+E14+E15</f>
        <v>10315952.779999999</v>
      </c>
      <c r="F16" s="63">
        <f>+F13+F14+F15</f>
        <v>23800289.539999999</v>
      </c>
      <c r="G16" s="61">
        <f>+G13+G14+G15</f>
        <v>104213252.05</v>
      </c>
    </row>
    <row r="17" spans="1:8" s="27" customFormat="1" ht="30.75" customHeight="1" thickBot="1" x14ac:dyDescent="0.4">
      <c r="A17" s="108" t="s">
        <v>11</v>
      </c>
      <c r="B17" s="86" t="s">
        <v>12</v>
      </c>
      <c r="C17" s="67">
        <f>+C12-C16</f>
        <v>-5521127.5099999998</v>
      </c>
      <c r="D17" s="67">
        <f>+D12-D16</f>
        <v>14513310.439999998</v>
      </c>
      <c r="E17" s="68">
        <f>+E12-E16</f>
        <v>7841986.5200000014</v>
      </c>
      <c r="F17" s="69">
        <f>+F12-F16</f>
        <v>16166651.979999997</v>
      </c>
      <c r="G17" s="67">
        <f>+G12-G16</f>
        <v>33000821.429999992</v>
      </c>
    </row>
    <row r="18" spans="1:8" s="32" customFormat="1" ht="30.75" customHeight="1" x14ac:dyDescent="0.35">
      <c r="A18" s="105">
        <v>63</v>
      </c>
      <c r="B18" s="84" t="s">
        <v>44</v>
      </c>
      <c r="C18" s="64">
        <v>12983021.57</v>
      </c>
      <c r="D18" s="64">
        <v>40381946.359999999</v>
      </c>
      <c r="E18" s="65">
        <v>11221899.689999999</v>
      </c>
      <c r="F18" s="66">
        <v>9850542.8499999996</v>
      </c>
      <c r="G18" s="51">
        <f>+C18+D18+E18+F18</f>
        <v>74437410.469999999</v>
      </c>
    </row>
    <row r="19" spans="1:8" s="32" customFormat="1" ht="30.75" customHeight="1" thickBot="1" x14ac:dyDescent="0.4">
      <c r="A19" s="106">
        <v>64</v>
      </c>
      <c r="B19" s="82" t="s">
        <v>13</v>
      </c>
      <c r="C19" s="58">
        <v>60140</v>
      </c>
      <c r="D19" s="58">
        <v>352793</v>
      </c>
      <c r="E19" s="59">
        <v>382110.95</v>
      </c>
      <c r="F19" s="60">
        <v>715301.76</v>
      </c>
      <c r="G19" s="58">
        <f>+C19+D19+E19+F19</f>
        <v>1510345.71</v>
      </c>
    </row>
    <row r="20" spans="1:8" s="27" customFormat="1" ht="30.75" customHeight="1" thickBot="1" x14ac:dyDescent="0.4">
      <c r="A20" s="107" t="s">
        <v>14</v>
      </c>
      <c r="B20" s="85" t="s">
        <v>15</v>
      </c>
      <c r="C20" s="61">
        <f>+C17-C18-C19</f>
        <v>-18564289.079999998</v>
      </c>
      <c r="D20" s="61">
        <f>+D17-D18-D19</f>
        <v>-26221428.920000002</v>
      </c>
      <c r="E20" s="62">
        <f>+E17-E18-E19</f>
        <v>-3762024.1199999982</v>
      </c>
      <c r="F20" s="63">
        <f>+F17-F18-F19</f>
        <v>5600807.3699999973</v>
      </c>
      <c r="G20" s="61">
        <f>+G17-G18-G19</f>
        <v>-42946934.750000007</v>
      </c>
    </row>
    <row r="21" spans="1:8" s="32" customFormat="1" ht="30.75" customHeight="1" x14ac:dyDescent="0.35">
      <c r="A21" s="105">
        <v>75</v>
      </c>
      <c r="B21" s="84" t="s">
        <v>16</v>
      </c>
      <c r="C21" s="51"/>
      <c r="D21" s="51">
        <v>143416.54</v>
      </c>
      <c r="E21" s="52"/>
      <c r="F21" s="53"/>
      <c r="G21" s="51">
        <f t="shared" ref="G21:G26" si="0">+C21+D21+E21+F21</f>
        <v>143416.54</v>
      </c>
      <c r="H21" s="35"/>
    </row>
    <row r="22" spans="1:8" s="32" customFormat="1" ht="30.75" customHeight="1" x14ac:dyDescent="0.35">
      <c r="A22" s="109">
        <v>65</v>
      </c>
      <c r="B22" s="81" t="s">
        <v>17</v>
      </c>
      <c r="C22" s="54">
        <v>205840.37</v>
      </c>
      <c r="D22" s="54">
        <v>0.21</v>
      </c>
      <c r="E22" s="55"/>
      <c r="F22" s="56"/>
      <c r="G22" s="54">
        <f t="shared" si="0"/>
        <v>205840.58</v>
      </c>
    </row>
    <row r="23" spans="1:8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</row>
    <row r="24" spans="1:8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</row>
    <row r="25" spans="1:8" s="32" customFormat="1" ht="30.75" customHeight="1" x14ac:dyDescent="0.35">
      <c r="A25" s="109">
        <v>68</v>
      </c>
      <c r="B25" s="81" t="s">
        <v>20</v>
      </c>
      <c r="C25" s="54">
        <v>1258398.22</v>
      </c>
      <c r="D25" s="54">
        <v>5843790.6900000004</v>
      </c>
      <c r="E25" s="55">
        <v>555359.31999999995</v>
      </c>
      <c r="F25" s="56">
        <v>584631.66</v>
      </c>
      <c r="G25" s="57">
        <f t="shared" si="0"/>
        <v>8242179.8900000006</v>
      </c>
    </row>
    <row r="26" spans="1:8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</row>
    <row r="27" spans="1:8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-20028527.669999998</v>
      </c>
      <c r="D27" s="61">
        <f>+D20+D21+D26-(D22+D23+D24+D25)</f>
        <v>-31921803.280000001</v>
      </c>
      <c r="E27" s="62">
        <f>+E20+E21+E26-(E22+E23+E24+E25)</f>
        <v>-4317383.4399999985</v>
      </c>
      <c r="F27" s="63">
        <f>+F20+F21+F26-(F22+F23+F24+F25)</f>
        <v>5016175.7099999972</v>
      </c>
      <c r="G27" s="61">
        <f>+G20+G21+G26-(G22+G23+G24+G25)</f>
        <v>-51251538.680000007</v>
      </c>
    </row>
    <row r="28" spans="1:8" s="32" customFormat="1" ht="30.75" customHeight="1" x14ac:dyDescent="0.35">
      <c r="A28" s="105">
        <v>76</v>
      </c>
      <c r="B28" s="84" t="s">
        <v>24</v>
      </c>
      <c r="C28" s="51"/>
      <c r="D28" s="51">
        <v>81006.34</v>
      </c>
      <c r="E28" s="52">
        <v>4993.26</v>
      </c>
      <c r="F28" s="53"/>
      <c r="G28" s="51">
        <f>+C28+D28+E28+F28</f>
        <v>85999.599999999991</v>
      </c>
    </row>
    <row r="29" spans="1:8" s="32" customFormat="1" ht="30.75" customHeight="1" thickBot="1" x14ac:dyDescent="0.4">
      <c r="A29" s="106">
        <v>66</v>
      </c>
      <c r="B29" s="82" t="s">
        <v>25</v>
      </c>
      <c r="C29" s="73"/>
      <c r="D29" s="58"/>
      <c r="E29" s="59"/>
      <c r="F29" s="60"/>
      <c r="G29" s="58">
        <f>+C29+D29+E29+F29</f>
        <v>0</v>
      </c>
    </row>
    <row r="30" spans="1:8" s="27" customFormat="1" ht="30.75" customHeight="1" thickBot="1" x14ac:dyDescent="0.4">
      <c r="A30" s="107" t="s">
        <v>26</v>
      </c>
      <c r="B30" s="85" t="s">
        <v>27</v>
      </c>
      <c r="C30" s="61">
        <f>+C28-C29</f>
        <v>0</v>
      </c>
      <c r="D30" s="61">
        <f>+D28-D29</f>
        <v>81006.34</v>
      </c>
      <c r="E30" s="62">
        <f>+E28-E29</f>
        <v>4993.26</v>
      </c>
      <c r="F30" s="63">
        <f>+F28-F29</f>
        <v>0</v>
      </c>
      <c r="G30" s="61">
        <f>+G28-G29</f>
        <v>85999.599999999991</v>
      </c>
    </row>
    <row r="31" spans="1:8" s="27" customFormat="1" ht="30.75" customHeight="1" thickBot="1" x14ac:dyDescent="0.4">
      <c r="A31" s="107" t="s">
        <v>28</v>
      </c>
      <c r="B31" s="85" t="s">
        <v>29</v>
      </c>
      <c r="C31" s="61">
        <f>+C27+C30</f>
        <v>-20028527.669999998</v>
      </c>
      <c r="D31" s="61">
        <f>+D27+D30</f>
        <v>-31840796.940000001</v>
      </c>
      <c r="E31" s="62">
        <f>+E27+E30</f>
        <v>-4312390.1799999988</v>
      </c>
      <c r="F31" s="63">
        <f>+F27+F30</f>
        <v>5016175.7099999972</v>
      </c>
      <c r="G31" s="61">
        <f>+G27+G30</f>
        <v>-51165539.080000006</v>
      </c>
    </row>
    <row r="32" spans="1:8" s="32" customFormat="1" ht="30.75" customHeight="1" x14ac:dyDescent="0.35">
      <c r="A32" s="105" t="s">
        <v>30</v>
      </c>
      <c r="B32" s="84" t="s">
        <v>31</v>
      </c>
      <c r="C32" s="51">
        <v>-10000</v>
      </c>
      <c r="D32" s="51"/>
      <c r="E32" s="52"/>
      <c r="F32" s="53"/>
      <c r="G32" s="51">
        <f>+C32+D32+E32+F32</f>
        <v>-10000</v>
      </c>
    </row>
    <row r="33" spans="1:7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</row>
    <row r="34" spans="1:7" s="37" customFormat="1" ht="30.75" customHeight="1" x14ac:dyDescent="0.35">
      <c r="A34" s="110"/>
      <c r="B34" s="88" t="s">
        <v>45</v>
      </c>
      <c r="C34" s="74">
        <f>+C12+C21+C28+C26</f>
        <v>3000000</v>
      </c>
      <c r="D34" s="74">
        <f>+D12+D21+D28+D26</f>
        <v>76313615.540000007</v>
      </c>
      <c r="E34" s="75">
        <f>+E12+E21+E28+E26</f>
        <v>18162932.560000002</v>
      </c>
      <c r="F34" s="75">
        <f>+F12+F21+F28+F26</f>
        <v>39966941.519999996</v>
      </c>
      <c r="G34" s="74">
        <f>+G12+G21+G28+G26</f>
        <v>137443489.61999997</v>
      </c>
    </row>
    <row r="35" spans="1:7" s="37" customFormat="1" ht="30.75" customHeight="1" thickBot="1" x14ac:dyDescent="0.4">
      <c r="A35" s="111"/>
      <c r="B35" s="89" t="s">
        <v>46</v>
      </c>
      <c r="C35" s="73">
        <f>+C16+C18+C19+C25+C22+C29+C33-C32</f>
        <v>23038527.669999998</v>
      </c>
      <c r="D35" s="73">
        <f t="shared" ref="D35:F35" si="1">+D16+D18+D19+D25+D22+D29+D33-D32</f>
        <v>108154412.47999999</v>
      </c>
      <c r="E35" s="77">
        <f t="shared" si="1"/>
        <v>22475322.739999998</v>
      </c>
      <c r="F35" s="77">
        <f t="shared" si="1"/>
        <v>34950765.809999995</v>
      </c>
      <c r="G35" s="73">
        <f>+G16+G18+G19+G25+G22+G29+G33+G32</f>
        <v>188599028.70000002</v>
      </c>
    </row>
    <row r="36" spans="1:7" s="27" customFormat="1" ht="30.75" customHeight="1" thickBot="1" x14ac:dyDescent="0.4">
      <c r="A36" s="107" t="s">
        <v>34</v>
      </c>
      <c r="B36" s="85" t="s">
        <v>35</v>
      </c>
      <c r="C36" s="61">
        <f>+C34-C35</f>
        <v>-20038527.669999998</v>
      </c>
      <c r="D36" s="61">
        <f>+D34-D35</f>
        <v>-31840796.939999983</v>
      </c>
      <c r="E36" s="62">
        <f>+E34-E35</f>
        <v>-4312390.179999996</v>
      </c>
      <c r="F36" s="63">
        <f>+F34-F35</f>
        <v>5016175.7100000009</v>
      </c>
      <c r="G36" s="61">
        <f>+G34-G35</f>
        <v>-51155539.080000043</v>
      </c>
    </row>
    <row r="37" spans="1:7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</row>
    <row r="38" spans="1:7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</row>
    <row r="39" spans="1:7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</row>
    <row r="40" spans="1:7" s="27" customFormat="1" ht="30.6" customHeight="1" x14ac:dyDescent="0.35">
      <c r="A40" s="115" t="s">
        <v>40</v>
      </c>
      <c r="B40" s="116" t="s">
        <v>41</v>
      </c>
      <c r="C40" s="117">
        <f>+C36</f>
        <v>-20038527.669999998</v>
      </c>
      <c r="D40" s="117">
        <f>+D36</f>
        <v>-31840796.939999983</v>
      </c>
      <c r="E40" s="118">
        <f>+E36</f>
        <v>-4312390.179999996</v>
      </c>
      <c r="F40" s="119">
        <f>+F36</f>
        <v>5016175.7100000009</v>
      </c>
      <c r="G40" s="117">
        <f>+G36</f>
        <v>-51155539.080000043</v>
      </c>
    </row>
    <row r="41" spans="1:7" s="27" customFormat="1" ht="11.4" customHeight="1" x14ac:dyDescent="0.35">
      <c r="A41" s="90"/>
      <c r="B41" s="90"/>
      <c r="C41" s="91"/>
      <c r="D41" s="91"/>
      <c r="E41" s="91"/>
      <c r="F41" s="91"/>
      <c r="G41" s="91"/>
    </row>
    <row r="42" spans="1:7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</row>
    <row r="43" spans="1:7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2.1590884869233422</v>
      </c>
      <c r="E43" s="95">
        <f>+E12/E7</f>
        <v>0.48249999767491514</v>
      </c>
      <c r="F43" s="95">
        <f>+F12/F7</f>
        <v>0.5591887850486762</v>
      </c>
      <c r="G43" s="95">
        <f>+G12/G7</f>
        <v>0.93122795874401687</v>
      </c>
    </row>
    <row r="44" spans="1:7" s="37" customFormat="1" ht="18" x14ac:dyDescent="0.35">
      <c r="A44" s="92">
        <v>2</v>
      </c>
      <c r="B44" s="93" t="s">
        <v>53</v>
      </c>
      <c r="C44" s="94">
        <f>+C13/C7</f>
        <v>6.6480853333333326E-2</v>
      </c>
      <c r="D44" s="95">
        <f>+D13/D7</f>
        <v>1.6345824897237151</v>
      </c>
      <c r="E44" s="95">
        <f>+E13/E7</f>
        <v>0.18750636588305991</v>
      </c>
      <c r="F44" s="95">
        <f>+F13/F7</f>
        <v>0.29016998450168385</v>
      </c>
      <c r="G44" s="95">
        <f>+G13/G7</f>
        <v>0.58094052605407054</v>
      </c>
    </row>
    <row r="45" spans="1:7" s="37" customFormat="1" ht="18" x14ac:dyDescent="0.35">
      <c r="A45" s="92">
        <v>3</v>
      </c>
      <c r="B45" s="93" t="s">
        <v>56</v>
      </c>
      <c r="C45" s="94">
        <f>+C13/C12</f>
        <v>6.6480853333333326E-2</v>
      </c>
      <c r="D45" s="95">
        <f>+D13/D12</f>
        <v>0.75707063403082775</v>
      </c>
      <c r="E45" s="95">
        <f>+E13/E12</f>
        <v>0.38861423168211601</v>
      </c>
      <c r="F45" s="95">
        <f>+F13/F12</f>
        <v>0.51891238211514767</v>
      </c>
      <c r="G45" s="95">
        <f>+G13/G12</f>
        <v>0.62384351822684481</v>
      </c>
    </row>
    <row r="46" spans="1:7" s="37" customFormat="1" ht="18" x14ac:dyDescent="0.35">
      <c r="A46" s="92">
        <v>4</v>
      </c>
      <c r="B46" s="93" t="s">
        <v>57</v>
      </c>
      <c r="C46" s="94">
        <f>+C16/C12</f>
        <v>2.8403758366666665</v>
      </c>
      <c r="D46" s="95">
        <f>+D16/D12</f>
        <v>0.8092592399442079</v>
      </c>
      <c r="E46" s="95">
        <f>+E16/E12</f>
        <v>0.56812354141970278</v>
      </c>
      <c r="F46" s="95">
        <f>+F16/F12</f>
        <v>0.59549939612191771</v>
      </c>
      <c r="G46" s="95">
        <f>+G16/G12</f>
        <v>0.75949390180585141</v>
      </c>
    </row>
    <row r="47" spans="1:7" s="37" customFormat="1" ht="18" x14ac:dyDescent="0.35">
      <c r="A47" s="92">
        <v>5</v>
      </c>
      <c r="B47" s="93" t="s">
        <v>58</v>
      </c>
      <c r="C47" s="94">
        <f>+C18/C12</f>
        <v>4.3276738566666664</v>
      </c>
      <c r="D47" s="95">
        <f>+D18/D12</f>
        <v>0.53071855474198959</v>
      </c>
      <c r="E47" s="95">
        <f>+E18/E12</f>
        <v>0.61801614734993626</v>
      </c>
      <c r="F47" s="95">
        <f>+F18/F12</f>
        <v>0.24646726708048589</v>
      </c>
      <c r="G47" s="95">
        <f>+G18/G12</f>
        <v>0.54249107676881136</v>
      </c>
    </row>
    <row r="48" spans="1:7" s="37" customFormat="1" ht="18" x14ac:dyDescent="0.35">
      <c r="A48" s="92">
        <v>6</v>
      </c>
      <c r="B48" s="93" t="s">
        <v>54</v>
      </c>
      <c r="C48" s="94">
        <f>+C17/C18</f>
        <v>-0.42525751653665317</v>
      </c>
      <c r="D48" s="95">
        <f>+D17/D18</f>
        <v>0.35940096375285258</v>
      </c>
      <c r="E48" s="95">
        <f>+E17/E18</f>
        <v>0.69881096219280159</v>
      </c>
      <c r="F48" s="95">
        <f>+F17/F18</f>
        <v>1.6411940160231877</v>
      </c>
      <c r="G48" s="95">
        <f>+G17/G18</f>
        <v>0.44333650541618569</v>
      </c>
    </row>
    <row r="49" spans="1:7" s="37" customFormat="1" ht="18" x14ac:dyDescent="0.35">
      <c r="A49" s="92">
        <v>7</v>
      </c>
      <c r="B49" s="93" t="s">
        <v>55</v>
      </c>
      <c r="C49" s="94">
        <f>+C20/C12</f>
        <v>-6.1880963599999994</v>
      </c>
      <c r="D49" s="95">
        <f>+D20/D12</f>
        <v>-0.34461436642085147</v>
      </c>
      <c r="E49" s="95">
        <f>+E20/E12</f>
        <v>-0.20718342857330721</v>
      </c>
      <c r="F49" s="95">
        <f>+F20/F12</f>
        <v>0.14013600132993109</v>
      </c>
      <c r="G49" s="95">
        <f>+G20/G12</f>
        <v>-0.31299220014964324</v>
      </c>
    </row>
    <row r="50" spans="1:7" ht="15.6" x14ac:dyDescent="0.3">
      <c r="A50" s="90"/>
      <c r="B50" s="90"/>
      <c r="C50" s="96"/>
      <c r="D50" s="96"/>
      <c r="E50" s="96"/>
      <c r="F50" s="96"/>
      <c r="G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P1:Q1"/>
    <mergeCell ref="P2:Q2"/>
    <mergeCell ref="P3:Q3"/>
    <mergeCell ref="A5:G5"/>
  </mergeCells>
  <conditionalFormatting sqref="D1:G4 C43:G1048576 D41:G41">
    <cfRule type="cellIs" dxfId="127" priority="20" operator="lessThan">
      <formula>-0.01</formula>
    </cfRule>
  </conditionalFormatting>
  <conditionalFormatting sqref="C1:C4 C41">
    <cfRule type="cellIs" dxfId="126" priority="19" operator="lessThan">
      <formula>-0.01</formula>
    </cfRule>
  </conditionalFormatting>
  <conditionalFormatting sqref="D7:F33 D36:F40 D34:E35">
    <cfRule type="cellIs" dxfId="125" priority="9" operator="lessThan">
      <formula>-0.01</formula>
    </cfRule>
  </conditionalFormatting>
  <conditionalFormatting sqref="C7:C40">
    <cfRule type="cellIs" dxfId="124" priority="8" operator="lessThan">
      <formula>-0.01</formula>
    </cfRule>
  </conditionalFormatting>
  <conditionalFormatting sqref="G7:G40">
    <cfRule type="cellIs" dxfId="123" priority="7" operator="lessThan">
      <formula>-0.01</formula>
    </cfRule>
  </conditionalFormatting>
  <conditionalFormatting sqref="F34:F35">
    <cfRule type="cellIs" dxfId="122" priority="6" operator="lessThan">
      <formula>-0.01</formula>
    </cfRule>
  </conditionalFormatting>
  <conditionalFormatting sqref="G6">
    <cfRule type="cellIs" dxfId="121" priority="1" operator="lessThan">
      <formula>-0.01</formula>
    </cfRule>
  </conditionalFormatting>
  <conditionalFormatting sqref="D6:F6">
    <cfRule type="cellIs" dxfId="120" priority="3" operator="lessThan">
      <formula>-0.01</formula>
    </cfRule>
  </conditionalFormatting>
  <conditionalFormatting sqref="C6">
    <cfRule type="cellIs" dxfId="119" priority="2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80" zoomScaleNormal="50" zoomScaleSheetLayoutView="80" workbookViewId="0">
      <pane xSplit="2" ySplit="6" topLeftCell="C34" activePane="bottomRight" state="frozen"/>
      <selection activeCell="C5" sqref="C5:D5"/>
      <selection pane="topRight" activeCell="C5" sqref="C5:D5"/>
      <selection pane="bottomLeft" activeCell="C5" sqref="C5:D5"/>
      <selection pane="bottomRight" activeCell="C23" sqref="C23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95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>
        <v>3000000</v>
      </c>
      <c r="D7" s="51">
        <v>105296681.22</v>
      </c>
      <c r="E7" s="52">
        <v>31518268.640000001</v>
      </c>
      <c r="F7" s="53">
        <v>57443294.32</v>
      </c>
      <c r="G7" s="51">
        <f>+C7+D7+E7+F7</f>
        <v>197258244.18000001</v>
      </c>
      <c r="H7" s="28"/>
    </row>
    <row r="8" spans="1:31" s="29" customFormat="1" ht="30.75" customHeight="1" x14ac:dyDescent="0.35">
      <c r="A8" s="102"/>
      <c r="B8" s="80" t="s">
        <v>42</v>
      </c>
      <c r="C8" s="54"/>
      <c r="D8" s="54"/>
      <c r="E8" s="55"/>
      <c r="F8" s="56"/>
      <c r="G8" s="51">
        <f>+C8+D8+E8+F8</f>
        <v>0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/>
      <c r="D9" s="57">
        <v>13783204.789999999</v>
      </c>
      <c r="E9" s="55">
        <v>-11648992.279999999</v>
      </c>
      <c r="F9" s="56">
        <v>-26182037.780000001</v>
      </c>
      <c r="G9" s="51">
        <f>+C9+D9+E9+F9</f>
        <v>-24047825.270000003</v>
      </c>
      <c r="H9" s="26"/>
    </row>
    <row r="10" spans="1:31" s="27" customFormat="1" ht="30.75" customHeight="1" x14ac:dyDescent="0.35">
      <c r="A10" s="102"/>
      <c r="B10" s="81" t="s">
        <v>4</v>
      </c>
      <c r="C10" s="54"/>
      <c r="D10" s="54"/>
      <c r="E10" s="55"/>
      <c r="F10" s="56"/>
      <c r="G10" s="51">
        <f>+C10+D10+E10+F10</f>
        <v>0</v>
      </c>
      <c r="H10" s="26"/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3000000</v>
      </c>
      <c r="D12" s="61">
        <f>SUM(D7:D11)</f>
        <v>119079886.00999999</v>
      </c>
      <c r="E12" s="62">
        <f>SUM(E7:E11)</f>
        <v>19869276.359999999</v>
      </c>
      <c r="F12" s="63">
        <f>SUM(F7:F11)</f>
        <v>31261256.539999999</v>
      </c>
      <c r="G12" s="61">
        <f>SUM(G7:G11)</f>
        <v>173210418.91</v>
      </c>
      <c r="H12" s="26"/>
    </row>
    <row r="13" spans="1:31" s="32" customFormat="1" ht="30.75" customHeight="1" x14ac:dyDescent="0.35">
      <c r="A13" s="105">
        <v>60</v>
      </c>
      <c r="B13" s="84" t="s">
        <v>7</v>
      </c>
      <c r="C13" s="51">
        <v>596566.13</v>
      </c>
      <c r="D13" s="64">
        <v>85188913.590000004</v>
      </c>
      <c r="E13" s="65">
        <v>13048746.34</v>
      </c>
      <c r="F13" s="66">
        <v>19538009.93</v>
      </c>
      <c r="G13" s="51">
        <f>+C13+D13+E13+F13</f>
        <v>118372235.99000001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v>1332946.68</v>
      </c>
      <c r="D14" s="58">
        <v>6899497.1500000004</v>
      </c>
      <c r="E14" s="59">
        <v>3093064.96</v>
      </c>
      <c r="F14" s="60">
        <v>1822702.17</v>
      </c>
      <c r="G14" s="58">
        <f>+C14+D14+E14+F14</f>
        <v>13148210.959999999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112"/>
      <c r="D15" s="112"/>
      <c r="E15" s="231"/>
      <c r="F15" s="232"/>
      <c r="G15" s="58">
        <f>+C15+D15+E15+F15</f>
        <v>0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1929512.81</v>
      </c>
      <c r="D16" s="61">
        <f>+D13+D14+D15</f>
        <v>92088410.74000001</v>
      </c>
      <c r="E16" s="62">
        <f>+E13+E14+E15</f>
        <v>16141811.300000001</v>
      </c>
      <c r="F16" s="63">
        <f>+F13+F14+F15</f>
        <v>21360712.100000001</v>
      </c>
      <c r="G16" s="61">
        <f>+G13+G14+G15</f>
        <v>131520446.95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1070487.19</v>
      </c>
      <c r="D17" s="67">
        <f>+D12-D16</f>
        <v>26991475.269999981</v>
      </c>
      <c r="E17" s="68">
        <f>+E12-E16</f>
        <v>3727465.0599999987</v>
      </c>
      <c r="F17" s="69">
        <f>+F12-F16</f>
        <v>9900544.4399999976</v>
      </c>
      <c r="G17" s="67">
        <f>+G12-G16</f>
        <v>41689971.959999993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v>14649707.300000001</v>
      </c>
      <c r="D18" s="64">
        <v>33961358.740000002</v>
      </c>
      <c r="E18" s="65">
        <v>15548418.15</v>
      </c>
      <c r="F18" s="66">
        <v>15112392.35</v>
      </c>
      <c r="G18" s="51">
        <f>+C18+D18+E18+F18</f>
        <v>79271876.540000007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v>248246.84</v>
      </c>
      <c r="D19" s="58">
        <v>1053726</v>
      </c>
      <c r="E19" s="59">
        <v>321609.44</v>
      </c>
      <c r="F19" s="60">
        <v>753242.94</v>
      </c>
      <c r="G19" s="58">
        <f>+C19+D19+E19+F19</f>
        <v>2376825.2199999997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-13827466.950000001</v>
      </c>
      <c r="D20" s="61">
        <f>+D17-D18-D19</f>
        <v>-8023609.4700000212</v>
      </c>
      <c r="E20" s="62">
        <f>+E17-E18-E19</f>
        <v>-12142562.530000001</v>
      </c>
      <c r="F20" s="63">
        <f>+F17-F18-F19</f>
        <v>-5965090.8500000015</v>
      </c>
      <c r="G20" s="61">
        <f>+G17-G18-G19</f>
        <v>-39958729.800000012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v>1.9</v>
      </c>
      <c r="D21" s="51">
        <v>654689.38</v>
      </c>
      <c r="E21" s="52">
        <v>0.3</v>
      </c>
      <c r="F21" s="53"/>
      <c r="G21" s="51">
        <f t="shared" ref="G21:G26" si="0">+C21+D21+E21+F21</f>
        <v>654691.58000000007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v>573.70000000000005</v>
      </c>
      <c r="D22" s="54">
        <v>65.069999999999993</v>
      </c>
      <c r="E22" s="55">
        <v>2.33</v>
      </c>
      <c r="F22" s="56"/>
      <c r="G22" s="54">
        <f t="shared" si="0"/>
        <v>641.1</v>
      </c>
      <c r="H22" s="31"/>
    </row>
    <row r="23" spans="1:12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v>1250484.26</v>
      </c>
      <c r="D25" s="54">
        <v>5842947.8399999999</v>
      </c>
      <c r="E25" s="55">
        <v>555359.31999999995</v>
      </c>
      <c r="F25" s="56">
        <v>583381.09</v>
      </c>
      <c r="G25" s="57">
        <f t="shared" si="0"/>
        <v>8232172.5099999998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-15078523.010000002</v>
      </c>
      <c r="D27" s="61">
        <f>+D20+D21+D26-(D22+D23+D24+D25)</f>
        <v>-13211933.000000022</v>
      </c>
      <c r="E27" s="62">
        <f>+E20+E21+E26-(E22+E23+E24+E25)</f>
        <v>-12697923.880000001</v>
      </c>
      <c r="F27" s="63">
        <f>+F20+F21+F26-(F22+F23+F24+F25)</f>
        <v>-6548471.9400000013</v>
      </c>
      <c r="G27" s="61">
        <f>+G20+G21+G26-(G22+G23+G24+G25)</f>
        <v>-47536851.830000013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/>
      <c r="D28" s="51">
        <v>626824.14</v>
      </c>
      <c r="E28" s="52"/>
      <c r="F28" s="53"/>
      <c r="G28" s="51">
        <f>+C28+D28+E28+F28</f>
        <v>626824.14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/>
      <c r="D29" s="58">
        <v>9236.35</v>
      </c>
      <c r="E29" s="59"/>
      <c r="F29" s="60"/>
      <c r="G29" s="58">
        <f>+C29+D29+E29+F29</f>
        <v>9236.35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0</v>
      </c>
      <c r="D30" s="61">
        <f>+D28-D29</f>
        <v>617587.79</v>
      </c>
      <c r="E30" s="62">
        <f>+E28-E29</f>
        <v>0</v>
      </c>
      <c r="F30" s="63">
        <f>+F28-F29</f>
        <v>0</v>
      </c>
      <c r="G30" s="61">
        <f>+G28-G29</f>
        <v>617587.79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-15078523.010000002</v>
      </c>
      <c r="D31" s="61">
        <f>+D27+D30</f>
        <v>-12594345.210000023</v>
      </c>
      <c r="E31" s="62">
        <f>+E27+E30</f>
        <v>-12697923.880000001</v>
      </c>
      <c r="F31" s="63">
        <f>+F27+F30</f>
        <v>-6548471.9400000013</v>
      </c>
      <c r="G31" s="61">
        <f>+G27+G30</f>
        <v>-46919264.040000014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3000001.9</v>
      </c>
      <c r="D34" s="74">
        <f>+D12+D21+D28+D26</f>
        <v>120361399.52999999</v>
      </c>
      <c r="E34" s="75">
        <f>+E12+E21+E28+E26</f>
        <v>19869276.66</v>
      </c>
      <c r="F34" s="75">
        <f>+F12+F21+F28+F26</f>
        <v>31261256.539999999</v>
      </c>
      <c r="G34" s="74">
        <f>+G12+G21+G28+G26</f>
        <v>174491934.63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18078524.910000004</v>
      </c>
      <c r="D35" s="73">
        <f t="shared" ref="D35:G35" si="1">+D16+D18+D19+D25+D22+D29+D33+D32</f>
        <v>132955744.74000001</v>
      </c>
      <c r="E35" s="77">
        <f t="shared" si="1"/>
        <v>32567200.540000003</v>
      </c>
      <c r="F35" s="77">
        <f t="shared" si="1"/>
        <v>37809728.480000004</v>
      </c>
      <c r="G35" s="73">
        <f t="shared" si="1"/>
        <v>221411198.66999999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-15078523.010000004</v>
      </c>
      <c r="D36" s="61">
        <f>+D34-D35</f>
        <v>-12594345.210000023</v>
      </c>
      <c r="E36" s="62">
        <f>+E34-E35</f>
        <v>-12697923.880000003</v>
      </c>
      <c r="F36" s="63">
        <f>+F34-F35</f>
        <v>-6548471.9400000051</v>
      </c>
      <c r="G36" s="61">
        <f>+G34-G35</f>
        <v>-46919264.039999992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-15078523.010000004</v>
      </c>
      <c r="D40" s="117">
        <f>+D36</f>
        <v>-12594345.210000023</v>
      </c>
      <c r="E40" s="118">
        <f>+E36</f>
        <v>-12697923.880000003</v>
      </c>
      <c r="F40" s="119">
        <f>+F36</f>
        <v>-6548471.9400000051</v>
      </c>
      <c r="G40" s="117">
        <f>+G36</f>
        <v>-46919264.039999992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1.1308987579694203</v>
      </c>
      <c r="E43" s="95">
        <f>+E12/E7</f>
        <v>0.63040507037191107</v>
      </c>
      <c r="F43" s="95">
        <f>+F12/F7</f>
        <v>0.54421071963339307</v>
      </c>
      <c r="G43" s="95">
        <f>+G12/G7</f>
        <v>0.87808963133598539</v>
      </c>
      <c r="H43" s="38"/>
    </row>
    <row r="44" spans="1:8" s="37" customFormat="1" ht="18" x14ac:dyDescent="0.35">
      <c r="A44" s="92">
        <v>2</v>
      </c>
      <c r="B44" s="93" t="s">
        <v>53</v>
      </c>
      <c r="C44" s="94">
        <f>+C13/C7</f>
        <v>0.19885537666666667</v>
      </c>
      <c r="D44" s="95">
        <f>+D13/D7</f>
        <v>0.80903702379766229</v>
      </c>
      <c r="E44" s="95">
        <f>+E13/E7</f>
        <v>0.41400581006025716</v>
      </c>
      <c r="F44" s="95">
        <f>+F13/F7</f>
        <v>0.34012690534702605</v>
      </c>
      <c r="G44" s="95">
        <f>+G13/G7</f>
        <v>0.60008764897037326</v>
      </c>
      <c r="H44" s="36"/>
    </row>
    <row r="45" spans="1:8" s="37" customFormat="1" ht="18" x14ac:dyDescent="0.35">
      <c r="A45" s="92">
        <v>3</v>
      </c>
      <c r="B45" s="93" t="s">
        <v>56</v>
      </c>
      <c r="C45" s="94">
        <f>+C13/C12</f>
        <v>0.19885537666666667</v>
      </c>
      <c r="D45" s="95">
        <f>+D13/D12</f>
        <v>0.71539297226776044</v>
      </c>
      <c r="E45" s="95">
        <f>+E13/E12</f>
        <v>0.65672982264563962</v>
      </c>
      <c r="F45" s="95">
        <f>+F13/F12</f>
        <v>0.62499119013339577</v>
      </c>
      <c r="G45" s="95">
        <f>+G13/G12</f>
        <v>0.68340136081251635</v>
      </c>
      <c r="H45" s="36"/>
    </row>
    <row r="46" spans="1:8" s="37" customFormat="1" ht="18" x14ac:dyDescent="0.35">
      <c r="A46" s="92">
        <v>4</v>
      </c>
      <c r="B46" s="93" t="s">
        <v>57</v>
      </c>
      <c r="C46" s="94">
        <f>+C16/C12</f>
        <v>0.64317093666666669</v>
      </c>
      <c r="D46" s="95">
        <f>+D16/D12</f>
        <v>0.77333304410676618</v>
      </c>
      <c r="E46" s="95">
        <f>+E16/E12</f>
        <v>0.81240056293625384</v>
      </c>
      <c r="F46" s="95">
        <f>+F16/F12</f>
        <v>0.68329665740301049</v>
      </c>
      <c r="G46" s="95">
        <f>+G16/G12</f>
        <v>0.75931025268369068</v>
      </c>
      <c r="H46" s="36"/>
    </row>
    <row r="47" spans="1:8" s="37" customFormat="1" ht="18" x14ac:dyDescent="0.35">
      <c r="A47" s="92">
        <v>5</v>
      </c>
      <c r="B47" s="93" t="s">
        <v>58</v>
      </c>
      <c r="C47" s="94">
        <f>+C18/C12</f>
        <v>4.883235766666667</v>
      </c>
      <c r="D47" s="95">
        <f>+D18/D12</f>
        <v>0.28519811261112582</v>
      </c>
      <c r="E47" s="95">
        <f>+E18/E12</f>
        <v>0.78253570327812383</v>
      </c>
      <c r="F47" s="95">
        <f>+F18/F12</f>
        <v>0.48342242195745083</v>
      </c>
      <c r="G47" s="95">
        <f>+G18/G12</f>
        <v>0.45766228751625854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7.3072257901016208E-2</v>
      </c>
      <c r="D48" s="95">
        <f>+D17/D18</f>
        <v>0.79477018209548755</v>
      </c>
      <c r="E48" s="95">
        <f>+E17/E18</f>
        <v>0.23973275120594814</v>
      </c>
      <c r="F48" s="95">
        <f>+F17/F18</f>
        <v>0.65512754107393179</v>
      </c>
      <c r="G48" s="95">
        <f>+G17/G18</f>
        <v>0.52591125351956991</v>
      </c>
      <c r="H48" s="36"/>
    </row>
    <row r="49" spans="1:8" s="37" customFormat="1" ht="18" x14ac:dyDescent="0.35">
      <c r="A49" s="92">
        <v>7</v>
      </c>
      <c r="B49" s="93" t="s">
        <v>55</v>
      </c>
      <c r="C49" s="94">
        <f>+C20/C12</f>
        <v>-4.6091556499999999</v>
      </c>
      <c r="D49" s="95">
        <f>+D20/D12</f>
        <v>-6.7380056690062848E-2</v>
      </c>
      <c r="E49" s="95">
        <f>+E20/E12</f>
        <v>-0.61112253461051569</v>
      </c>
      <c r="F49" s="95">
        <f>+F20/F12</f>
        <v>-0.19081417416371074</v>
      </c>
      <c r="G49" s="95">
        <f>+G20/G12</f>
        <v>-0.23069472409025543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T1:U1"/>
    <mergeCell ref="T2:U2"/>
    <mergeCell ref="T3:U3"/>
    <mergeCell ref="A5:G5"/>
  </mergeCells>
  <conditionalFormatting sqref="D1:G4 C43:G1048576 D41:G41">
    <cfRule type="cellIs" dxfId="118" priority="15" operator="lessThan">
      <formula>-0.01</formula>
    </cfRule>
  </conditionalFormatting>
  <conditionalFormatting sqref="C1:C4 C41">
    <cfRule type="cellIs" dxfId="117" priority="14" operator="lessThan">
      <formula>-0.01</formula>
    </cfRule>
  </conditionalFormatting>
  <conditionalFormatting sqref="G6">
    <cfRule type="cellIs" dxfId="116" priority="9" operator="lessThan">
      <formula>-0.01</formula>
    </cfRule>
  </conditionalFormatting>
  <conditionalFormatting sqref="D6:F6">
    <cfRule type="cellIs" dxfId="115" priority="11" operator="lessThan">
      <formula>-0.01</formula>
    </cfRule>
  </conditionalFormatting>
  <conditionalFormatting sqref="C6">
    <cfRule type="cellIs" dxfId="114" priority="10" operator="lessThan">
      <formula>-0.01</formula>
    </cfRule>
  </conditionalFormatting>
  <conditionalFormatting sqref="D7:F33 D36:F40 D34:E35">
    <cfRule type="cellIs" dxfId="113" priority="4" operator="lessThan">
      <formula>-0.01</formula>
    </cfRule>
  </conditionalFormatting>
  <conditionalFormatting sqref="C7:C40">
    <cfRule type="cellIs" dxfId="112" priority="3" operator="lessThan">
      <formula>-0.01</formula>
    </cfRule>
  </conditionalFormatting>
  <conditionalFormatting sqref="G7:G40">
    <cfRule type="cellIs" dxfId="111" priority="2" operator="lessThan">
      <formula>-0.01</formula>
    </cfRule>
  </conditionalFormatting>
  <conditionalFormatting sqref="F34:F35">
    <cfRule type="cellIs" dxfId="110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legacy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90" zoomScaleNormal="50" zoomScaleSheetLayoutView="90" workbookViewId="0">
      <pane xSplit="2" ySplit="6" topLeftCell="C34" activePane="bottomRight" state="frozen"/>
      <selection activeCell="C5" sqref="C5:D5"/>
      <selection pane="topRight" activeCell="C5" sqref="C5:D5"/>
      <selection pane="bottomLeft" activeCell="C5" sqref="C5:D5"/>
      <selection pane="bottomRight" activeCell="F25" sqref="F25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7" width="19.77734375" style="96" customWidth="1"/>
    <col min="8" max="8" width="23.5546875" style="128" bestFit="1" customWidth="1"/>
    <col min="9" max="9" width="20.109375" style="1" bestFit="1" customWidth="1"/>
    <col min="10" max="16384" width="11.44140625" style="1"/>
  </cols>
  <sheetData>
    <row r="1" spans="1:31" s="42" customFormat="1" ht="13.8" customHeight="1" x14ac:dyDescent="0.45">
      <c r="A1" s="25"/>
      <c r="B1" s="39"/>
      <c r="C1" s="97"/>
      <c r="D1" s="97"/>
      <c r="E1" s="97"/>
      <c r="F1" s="97"/>
      <c r="G1" s="97"/>
      <c r="H1" s="125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98"/>
      <c r="D2" s="98"/>
      <c r="E2" s="98"/>
      <c r="F2" s="98"/>
      <c r="G2" s="98"/>
      <c r="H2" s="125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99"/>
      <c r="D3" s="99"/>
      <c r="E3" s="99"/>
      <c r="F3" s="99"/>
      <c r="G3" s="99"/>
      <c r="H3" s="126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100"/>
      <c r="D4" s="100"/>
      <c r="E4" s="100"/>
      <c r="F4" s="100"/>
      <c r="G4" s="100"/>
      <c r="H4" s="127"/>
    </row>
    <row r="5" spans="1:31" ht="29.4" thickBot="1" x14ac:dyDescent="0.6">
      <c r="A5" s="347" t="s">
        <v>96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129"/>
    </row>
    <row r="7" spans="1:31" s="29" customFormat="1" ht="30.75" customHeight="1" x14ac:dyDescent="0.35">
      <c r="A7" s="101"/>
      <c r="B7" s="79" t="s">
        <v>2</v>
      </c>
      <c r="C7" s="51">
        <v>4350000</v>
      </c>
      <c r="D7" s="51">
        <v>89344148.939999998</v>
      </c>
      <c r="E7" s="52">
        <v>54354414.719999999</v>
      </c>
      <c r="F7" s="53">
        <v>72319234.560000002</v>
      </c>
      <c r="G7" s="51">
        <f>+C7+D7+E7+F7</f>
        <v>220367798.22</v>
      </c>
      <c r="H7" s="130"/>
    </row>
    <row r="8" spans="1:31" s="29" customFormat="1" ht="30.75" customHeight="1" x14ac:dyDescent="0.35">
      <c r="A8" s="102"/>
      <c r="B8" s="80" t="s">
        <v>42</v>
      </c>
      <c r="C8" s="54"/>
      <c r="D8" s="54">
        <v>857386.78</v>
      </c>
      <c r="E8" s="55"/>
      <c r="F8" s="56"/>
      <c r="G8" s="51">
        <f>+C8+D8+E8+F8</f>
        <v>857386.78</v>
      </c>
      <c r="H8" s="130"/>
      <c r="N8" s="30"/>
    </row>
    <row r="9" spans="1:31" s="27" customFormat="1" ht="30.75" customHeight="1" x14ac:dyDescent="0.35">
      <c r="A9" s="102"/>
      <c r="B9" s="81" t="s">
        <v>3</v>
      </c>
      <c r="C9" s="54"/>
      <c r="D9" s="57">
        <v>8936688.9199999999</v>
      </c>
      <c r="E9" s="55">
        <v>-13906764.689999999</v>
      </c>
      <c r="F9" s="56">
        <v>-31506793.289999999</v>
      </c>
      <c r="G9" s="51">
        <f>+C9+D9+E9+F9</f>
        <v>-36476869.060000002</v>
      </c>
      <c r="H9" s="129"/>
      <c r="I9" s="183"/>
    </row>
    <row r="10" spans="1:31" s="27" customFormat="1" ht="30.75" customHeight="1" x14ac:dyDescent="0.35">
      <c r="A10" s="102"/>
      <c r="B10" s="81" t="s">
        <v>4</v>
      </c>
      <c r="C10" s="54"/>
      <c r="D10" s="54"/>
      <c r="E10" s="55"/>
      <c r="F10" s="56"/>
      <c r="G10" s="51">
        <f>+C10+D10+E10+F10</f>
        <v>0</v>
      </c>
      <c r="H10" s="129"/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H11" s="129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4350000</v>
      </c>
      <c r="D12" s="61">
        <f>SUM(D7:D11)</f>
        <v>99138224.640000001</v>
      </c>
      <c r="E12" s="62">
        <f>SUM(E7:E11)</f>
        <v>40447650.030000001</v>
      </c>
      <c r="F12" s="63">
        <f>SUM(F7:F11)</f>
        <v>40812441.270000003</v>
      </c>
      <c r="G12" s="61">
        <f>SUM(G7:G11)</f>
        <v>184748315.94</v>
      </c>
      <c r="H12" s="129"/>
    </row>
    <row r="13" spans="1:31" s="32" customFormat="1" ht="30.75" customHeight="1" x14ac:dyDescent="0.35">
      <c r="A13" s="105">
        <v>60</v>
      </c>
      <c r="B13" s="84" t="s">
        <v>7</v>
      </c>
      <c r="C13" s="51">
        <v>-551588.5</v>
      </c>
      <c r="D13" s="64">
        <v>82324132.340000004</v>
      </c>
      <c r="E13" s="65">
        <v>12959217.449999999</v>
      </c>
      <c r="F13" s="66">
        <v>27236941.09</v>
      </c>
      <c r="G13" s="51">
        <f>+C13+D13+E13+F13</f>
        <v>121968702.38000001</v>
      </c>
      <c r="H13" s="131"/>
    </row>
    <row r="14" spans="1:31" s="32" customFormat="1" ht="30.75" customHeight="1" x14ac:dyDescent="0.35">
      <c r="A14" s="106" t="s">
        <v>8</v>
      </c>
      <c r="B14" s="82" t="s">
        <v>43</v>
      </c>
      <c r="C14" s="58">
        <v>2364187.17</v>
      </c>
      <c r="D14" s="58">
        <v>6367916.2999999998</v>
      </c>
      <c r="E14" s="59">
        <v>5024518.13</v>
      </c>
      <c r="F14" s="60">
        <v>1983053.85</v>
      </c>
      <c r="G14" s="58">
        <f>+C14+D14+E14+F14</f>
        <v>15739675.449999997</v>
      </c>
      <c r="H14" s="131"/>
      <c r="I14" s="34"/>
    </row>
    <row r="15" spans="1:31" s="32" customFormat="1" ht="30.75" customHeight="1" thickBot="1" x14ac:dyDescent="0.4">
      <c r="A15" s="229"/>
      <c r="B15" s="230" t="s">
        <v>124</v>
      </c>
      <c r="C15" s="112">
        <v>857386.78</v>
      </c>
      <c r="D15" s="112"/>
      <c r="E15" s="231"/>
      <c r="F15" s="232"/>
      <c r="G15" s="58">
        <f>+C15+D15+E15+F15</f>
        <v>857386.78</v>
      </c>
      <c r="H15" s="131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2669985.4500000002</v>
      </c>
      <c r="D16" s="61">
        <f>+D13+D14+D15</f>
        <v>88692048.640000001</v>
      </c>
      <c r="E16" s="62">
        <f>+E13+E14+E15</f>
        <v>17983735.579999998</v>
      </c>
      <c r="F16" s="63">
        <f>+F13+F14+F15</f>
        <v>29219994.940000001</v>
      </c>
      <c r="G16" s="61">
        <f>+G13+G14+G15</f>
        <v>138565764.61000001</v>
      </c>
      <c r="H16" s="129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1680014.5499999998</v>
      </c>
      <c r="D17" s="67">
        <f>+D12-D16</f>
        <v>10446176</v>
      </c>
      <c r="E17" s="68">
        <f>+E12-E16</f>
        <v>22463914.450000003</v>
      </c>
      <c r="F17" s="69">
        <f>+F12-F16</f>
        <v>11592446.330000002</v>
      </c>
      <c r="G17" s="67">
        <f>+G12-G16</f>
        <v>46182551.329999983</v>
      </c>
      <c r="H17" s="129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v>17256683.34</v>
      </c>
      <c r="D18" s="64">
        <v>25593083</v>
      </c>
      <c r="E18" s="65">
        <v>10018925.699999999</v>
      </c>
      <c r="F18" s="66">
        <v>9469872.8000000007</v>
      </c>
      <c r="G18" s="51">
        <f>+C18+D18+E18+F18</f>
        <v>62338564.840000004</v>
      </c>
      <c r="H18" s="1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v>118600.85</v>
      </c>
      <c r="D19" s="58">
        <v>893506</v>
      </c>
      <c r="E19" s="59">
        <v>553030.85</v>
      </c>
      <c r="F19" s="60">
        <v>724211</v>
      </c>
      <c r="G19" s="58">
        <f>+C19+D19+E19+F19</f>
        <v>2289348.7000000002</v>
      </c>
      <c r="H19" s="1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-15695269.639999999</v>
      </c>
      <c r="D20" s="61">
        <f>+D17-D18-D19</f>
        <v>-16040413</v>
      </c>
      <c r="E20" s="62">
        <f>+E17-E18-E19</f>
        <v>11891957.900000004</v>
      </c>
      <c r="F20" s="63">
        <f>+F17-F18-F19</f>
        <v>1398362.5300000012</v>
      </c>
      <c r="G20" s="61">
        <f>+G17-G18-G19</f>
        <v>-18445362.21000002</v>
      </c>
      <c r="H20" s="129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v>64058</v>
      </c>
      <c r="D21" s="51">
        <v>788365.92</v>
      </c>
      <c r="E21" s="52"/>
      <c r="F21" s="53"/>
      <c r="G21" s="51">
        <f t="shared" ref="G21:G26" si="0">+C21+D21+E21+F21</f>
        <v>852423.92</v>
      </c>
      <c r="H21" s="1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v>0.76</v>
      </c>
      <c r="D22" s="54">
        <v>0.13</v>
      </c>
      <c r="E22" s="55"/>
      <c r="F22" s="56">
        <v>674.73</v>
      </c>
      <c r="G22" s="54">
        <f t="shared" si="0"/>
        <v>675.62</v>
      </c>
      <c r="H22" s="131"/>
    </row>
    <row r="23" spans="1:12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H23" s="129"/>
    </row>
    <row r="24" spans="1:12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H24" s="129"/>
    </row>
    <row r="25" spans="1:12" s="32" customFormat="1" ht="30.75" customHeight="1" x14ac:dyDescent="0.35">
      <c r="A25" s="109">
        <v>68</v>
      </c>
      <c r="B25" s="81" t="s">
        <v>20</v>
      </c>
      <c r="C25" s="54">
        <v>1249340.03</v>
      </c>
      <c r="D25" s="54">
        <v>5866520.5999999996</v>
      </c>
      <c r="E25" s="55">
        <v>556405.03</v>
      </c>
      <c r="F25" s="56">
        <v>583001.41</v>
      </c>
      <c r="G25" s="57">
        <f t="shared" si="0"/>
        <v>8255267.0700000003</v>
      </c>
      <c r="H25" s="131"/>
    </row>
    <row r="26" spans="1:12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H26" s="1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-16880552.43</v>
      </c>
      <c r="D27" s="61">
        <f>+D20+D21+D26-(D22+D23+D24+D25)</f>
        <v>-21118567.809999999</v>
      </c>
      <c r="E27" s="62">
        <f>+E20+E21+E26-(E22+E23+E24+E25)</f>
        <v>11335552.870000005</v>
      </c>
      <c r="F27" s="63">
        <f>+F20+F21+F26-(F22+F23+F24+F25)</f>
        <v>814686.39000000118</v>
      </c>
      <c r="G27" s="61">
        <f>+G20+G21+G26-(G22+G23+G24+G25)</f>
        <v>-25848880.980000019</v>
      </c>
      <c r="H27" s="129"/>
    </row>
    <row r="28" spans="1:12" s="32" customFormat="1" ht="30.75" customHeight="1" x14ac:dyDescent="0.35">
      <c r="A28" s="105">
        <v>76</v>
      </c>
      <c r="B28" s="84" t="s">
        <v>24</v>
      </c>
      <c r="C28" s="51"/>
      <c r="D28" s="51">
        <v>83007.09</v>
      </c>
      <c r="E28" s="52"/>
      <c r="F28" s="53"/>
      <c r="G28" s="51">
        <f>+C28+D28+E28+F28</f>
        <v>83007.09</v>
      </c>
      <c r="H28" s="131"/>
    </row>
    <row r="29" spans="1:12" s="32" customFormat="1" ht="30.75" customHeight="1" thickBot="1" x14ac:dyDescent="0.4">
      <c r="A29" s="106">
        <v>66</v>
      </c>
      <c r="B29" s="82" t="s">
        <v>25</v>
      </c>
      <c r="C29" s="73"/>
      <c r="D29" s="58"/>
      <c r="E29" s="59"/>
      <c r="F29" s="60"/>
      <c r="G29" s="58">
        <f>+C29+D29+E29+F29</f>
        <v>0</v>
      </c>
      <c r="H29" s="1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0</v>
      </c>
      <c r="D30" s="61">
        <f>+D28-D29</f>
        <v>83007.09</v>
      </c>
      <c r="E30" s="62">
        <f>+E28-E29</f>
        <v>0</v>
      </c>
      <c r="F30" s="63">
        <f>+F28-F29</f>
        <v>0</v>
      </c>
      <c r="G30" s="61">
        <f>+G28-G29</f>
        <v>83007.09</v>
      </c>
      <c r="H30" s="129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-16880552.43</v>
      </c>
      <c r="D31" s="61">
        <f>+D27+D30</f>
        <v>-21035560.719999999</v>
      </c>
      <c r="E31" s="62">
        <f>+E27+E30</f>
        <v>11335552.870000005</v>
      </c>
      <c r="F31" s="63">
        <f>+F27+F30</f>
        <v>814686.39000000118</v>
      </c>
      <c r="G31" s="61">
        <f>+G27+G30</f>
        <v>-25765873.890000019</v>
      </c>
      <c r="H31" s="129"/>
    </row>
    <row r="32" spans="1:12" s="32" customFormat="1" ht="30.75" customHeight="1" x14ac:dyDescent="0.35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H32" s="131"/>
    </row>
    <row r="33" spans="1:8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H33" s="131"/>
    </row>
    <row r="34" spans="1:8" s="37" customFormat="1" ht="30.75" customHeight="1" x14ac:dyDescent="0.35">
      <c r="A34" s="110"/>
      <c r="B34" s="88" t="s">
        <v>45</v>
      </c>
      <c r="C34" s="74">
        <f>+C12+C21+C28+C26</f>
        <v>4414058</v>
      </c>
      <c r="D34" s="74">
        <f>+D12+D21+D28+D26</f>
        <v>100009597.65000001</v>
      </c>
      <c r="E34" s="75">
        <f>+E12+E21+E28+E26</f>
        <v>40447650.030000001</v>
      </c>
      <c r="F34" s="75">
        <f>+F12+F21+F28+F26</f>
        <v>40812441.270000003</v>
      </c>
      <c r="G34" s="74">
        <f>+G12+G21+G28+G26</f>
        <v>185683746.94999999</v>
      </c>
      <c r="H34" s="124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21294610.430000003</v>
      </c>
      <c r="D35" s="73">
        <f t="shared" ref="D35:G35" si="1">+D16+D18+D19+D25+D22+D29+D33+D32</f>
        <v>121045158.36999999</v>
      </c>
      <c r="E35" s="77">
        <f t="shared" si="1"/>
        <v>29112097.16</v>
      </c>
      <c r="F35" s="77">
        <f t="shared" si="1"/>
        <v>39997754.879999995</v>
      </c>
      <c r="G35" s="73">
        <f t="shared" si="1"/>
        <v>211449620.84</v>
      </c>
      <c r="H35" s="124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-16880552.430000003</v>
      </c>
      <c r="D36" s="61">
        <f>+D34-D35</f>
        <v>-21035560.719999984</v>
      </c>
      <c r="E36" s="62">
        <f>+E34-E35</f>
        <v>11335552.870000001</v>
      </c>
      <c r="F36" s="63">
        <f>+F34-F35</f>
        <v>814686.39000000805</v>
      </c>
      <c r="G36" s="61">
        <f>+G34-G35</f>
        <v>-25765873.890000015</v>
      </c>
      <c r="H36" s="129"/>
    </row>
    <row r="37" spans="1:8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H37" s="1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H38" s="1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129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-16880552.430000003</v>
      </c>
      <c r="D40" s="117">
        <f>+D36</f>
        <v>-21035560.719999984</v>
      </c>
      <c r="E40" s="118">
        <f>+E36</f>
        <v>11335552.870000001</v>
      </c>
      <c r="F40" s="119">
        <f>+F36</f>
        <v>814686.39000000805</v>
      </c>
      <c r="G40" s="117">
        <f>+G36</f>
        <v>-25765873.890000015</v>
      </c>
      <c r="H40" s="129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129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129"/>
    </row>
    <row r="43" spans="1:8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1.1096219037978337</v>
      </c>
      <c r="E43" s="95">
        <f>+E12/E7</f>
        <v>0.74414654703506666</v>
      </c>
      <c r="F43" s="95">
        <f>+F12/F7</f>
        <v>0.56433729585646764</v>
      </c>
      <c r="G43" s="95">
        <f>+G12/G7</f>
        <v>0.83836348791559845</v>
      </c>
      <c r="H43" s="124"/>
    </row>
    <row r="44" spans="1:8" s="37" customFormat="1" ht="18" x14ac:dyDescent="0.35">
      <c r="A44" s="92">
        <v>2</v>
      </c>
      <c r="B44" s="93" t="s">
        <v>53</v>
      </c>
      <c r="C44" s="94">
        <f>+C13/C7</f>
        <v>-0.12680195402298849</v>
      </c>
      <c r="D44" s="95">
        <f>+D13/D7</f>
        <v>0.92142723744881871</v>
      </c>
      <c r="E44" s="95">
        <f>+E13/E7</f>
        <v>0.23842069713670536</v>
      </c>
      <c r="F44" s="95">
        <f>+F13/F7</f>
        <v>0.37662098134352817</v>
      </c>
      <c r="G44" s="95">
        <f>+G13/G7</f>
        <v>0.55347788272692577</v>
      </c>
      <c r="H44" s="124"/>
    </row>
    <row r="45" spans="1:8" s="37" customFormat="1" ht="18" x14ac:dyDescent="0.35">
      <c r="A45" s="92">
        <v>3</v>
      </c>
      <c r="B45" s="93" t="s">
        <v>56</v>
      </c>
      <c r="C45" s="94">
        <f>+C13/C12</f>
        <v>-0.12680195402298849</v>
      </c>
      <c r="D45" s="95">
        <f>+D13/D12</f>
        <v>0.83039748430984217</v>
      </c>
      <c r="E45" s="95">
        <f>+E13/E12</f>
        <v>0.32039481750826448</v>
      </c>
      <c r="F45" s="95">
        <f>+F13/F12</f>
        <v>0.66736858277627842</v>
      </c>
      <c r="G45" s="95">
        <f>+G13/G12</f>
        <v>0.66018843938805549</v>
      </c>
      <c r="H45" s="124"/>
    </row>
    <row r="46" spans="1:8" s="37" customFormat="1" ht="18" x14ac:dyDescent="0.35">
      <c r="A46" s="92">
        <v>4</v>
      </c>
      <c r="B46" s="93" t="s">
        <v>57</v>
      </c>
      <c r="C46" s="94">
        <f>+C16/C12</f>
        <v>0.61378975862068974</v>
      </c>
      <c r="D46" s="95">
        <f>+D16/D12</f>
        <v>0.89463018893133162</v>
      </c>
      <c r="E46" s="95">
        <f>+E16/E12</f>
        <v>0.44461756286611143</v>
      </c>
      <c r="F46" s="95">
        <f>+F16/F12</f>
        <v>0.71595802727632318</v>
      </c>
      <c r="G46" s="95">
        <f>+G16/G12</f>
        <v>0.75002450715167268</v>
      </c>
      <c r="H46" s="124"/>
    </row>
    <row r="47" spans="1:8" s="37" customFormat="1" ht="18" x14ac:dyDescent="0.35">
      <c r="A47" s="92">
        <v>5</v>
      </c>
      <c r="B47" s="93" t="s">
        <v>58</v>
      </c>
      <c r="C47" s="94">
        <f>+C18/C12</f>
        <v>3.9670536413793105</v>
      </c>
      <c r="D47" s="95">
        <f>+D18/D12</f>
        <v>0.25815555092837295</v>
      </c>
      <c r="E47" s="95">
        <f>+E18/E12</f>
        <v>0.24770105785055416</v>
      </c>
      <c r="F47" s="95">
        <f>+F18/F12</f>
        <v>0.23203397065494877</v>
      </c>
      <c r="G47" s="95">
        <f>+G18/G12</f>
        <v>0.33742426567095452</v>
      </c>
      <c r="H47" s="124"/>
    </row>
    <row r="48" spans="1:8" s="37" customFormat="1" ht="18" x14ac:dyDescent="0.35">
      <c r="A48" s="92">
        <v>6</v>
      </c>
      <c r="B48" s="93" t="s">
        <v>54</v>
      </c>
      <c r="C48" s="94">
        <f>+C17/C18</f>
        <v>9.7354428826182532E-2</v>
      </c>
      <c r="D48" s="95">
        <f>+D17/D18</f>
        <v>0.40816403400872026</v>
      </c>
      <c r="E48" s="95">
        <f>+E17/E18</f>
        <v>2.24214802291627</v>
      </c>
      <c r="F48" s="95">
        <f>+F17/F18</f>
        <v>1.224139603015576</v>
      </c>
      <c r="G48" s="95">
        <f>+G17/G18</f>
        <v>0.74083436871755837</v>
      </c>
      <c r="H48" s="124"/>
    </row>
    <row r="49" spans="1:8" s="37" customFormat="1" ht="18" x14ac:dyDescent="0.35">
      <c r="A49" s="92">
        <v>7</v>
      </c>
      <c r="B49" s="93" t="s">
        <v>55</v>
      </c>
      <c r="C49" s="94">
        <f>+C20/C12</f>
        <v>-3.6081079632183903</v>
      </c>
      <c r="D49" s="95">
        <f>+D20/D12</f>
        <v>-0.16179846934164344</v>
      </c>
      <c r="E49" s="95">
        <f>+E20/E12</f>
        <v>0.2940086232742754</v>
      </c>
      <c r="F49" s="95">
        <f>+F20/F12</f>
        <v>3.426314345542214E-2</v>
      </c>
      <c r="G49" s="95">
        <f>+G20/G12</f>
        <v>-9.9840489025028234E-2</v>
      </c>
      <c r="H49" s="124"/>
    </row>
    <row r="50" spans="1:8" x14ac:dyDescent="0.55000000000000004">
      <c r="A50" s="90"/>
      <c r="B50" s="90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T1:U1"/>
    <mergeCell ref="T2:U2"/>
    <mergeCell ref="T3:U3"/>
    <mergeCell ref="A5:G5"/>
  </mergeCells>
  <conditionalFormatting sqref="D1:G4 C43:G1048576 D41:G41">
    <cfRule type="cellIs" dxfId="109" priority="20" operator="lessThan">
      <formula>-0.01</formula>
    </cfRule>
  </conditionalFormatting>
  <conditionalFormatting sqref="C1:C4 C41">
    <cfRule type="cellIs" dxfId="108" priority="19" operator="lessThan">
      <formula>-0.01</formula>
    </cfRule>
  </conditionalFormatting>
  <conditionalFormatting sqref="D6:F6">
    <cfRule type="cellIs" dxfId="107" priority="11" operator="lessThan">
      <formula>-0.01</formula>
    </cfRule>
  </conditionalFormatting>
  <conditionalFormatting sqref="C6">
    <cfRule type="cellIs" dxfId="106" priority="10" operator="lessThan">
      <formula>-0.01</formula>
    </cfRule>
  </conditionalFormatting>
  <conditionalFormatting sqref="G6">
    <cfRule type="cellIs" dxfId="105" priority="9" operator="lessThan">
      <formula>-0.01</formula>
    </cfRule>
  </conditionalFormatting>
  <conditionalFormatting sqref="D7:F33 D36:F40 D34:E35">
    <cfRule type="cellIs" dxfId="104" priority="4" operator="lessThan">
      <formula>-0.01</formula>
    </cfRule>
  </conditionalFormatting>
  <conditionalFormatting sqref="C7:C40">
    <cfRule type="cellIs" dxfId="103" priority="3" operator="lessThan">
      <formula>-0.01</formula>
    </cfRule>
  </conditionalFormatting>
  <conditionalFormatting sqref="G7:G40">
    <cfRule type="cellIs" dxfId="102" priority="2" operator="lessThan">
      <formula>-0.01</formula>
    </cfRule>
  </conditionalFormatting>
  <conditionalFormatting sqref="F34:F35">
    <cfRule type="cellIs" dxfId="101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AE50"/>
  <sheetViews>
    <sheetView view="pageBreakPreview" zoomScale="90" zoomScaleNormal="50" zoomScaleSheetLayoutView="90" workbookViewId="0">
      <pane xSplit="2" ySplit="6" topLeftCell="C31" activePane="bottomRight" state="frozen"/>
      <selection activeCell="C5" sqref="C5:D5"/>
      <selection pane="topRight" activeCell="C5" sqref="C5:D5"/>
      <selection pane="bottomLeft" activeCell="C5" sqref="C5:D5"/>
      <selection pane="bottomRight" activeCell="C36" sqref="C36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97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>
        <f>+'07 2021'!C7+'08 2021'!C7+'09 2021'!C7</f>
        <v>10350000</v>
      </c>
      <c r="D7" s="51">
        <f>+'07 2021'!D7+'08 2021'!D7+'09 2021'!D7</f>
        <v>229882179.97999999</v>
      </c>
      <c r="E7" s="52">
        <f>+'07 2021'!E7+'08 2021'!E7+'09 2021'!E7</f>
        <v>123505718.36</v>
      </c>
      <c r="F7" s="53">
        <f>+'07 2021'!F7+'08 2021'!F7+'09 2021'!F7</f>
        <v>201235603.06999999</v>
      </c>
      <c r="G7" s="51">
        <f>+C7+D7+E7+F7</f>
        <v>564973501.40999997</v>
      </c>
      <c r="H7" s="28"/>
    </row>
    <row r="8" spans="1:31" s="29" customFormat="1" ht="30.75" customHeight="1" x14ac:dyDescent="0.35">
      <c r="A8" s="102"/>
      <c r="B8" s="80" t="s">
        <v>42</v>
      </c>
      <c r="C8" s="54">
        <f>+'07 2021'!C8+'08 2021'!C8+'09 2021'!C8</f>
        <v>0</v>
      </c>
      <c r="D8" s="54">
        <f>+'07 2021'!D8+'08 2021'!D8+'09 2021'!D8</f>
        <v>857386.78</v>
      </c>
      <c r="E8" s="55">
        <f>+'07 2021'!E8+'08 2021'!E8+'09 2021'!E8</f>
        <v>0</v>
      </c>
      <c r="F8" s="56">
        <f>+'07 2021'!F8+'08 2021'!F8+'09 2021'!F8</f>
        <v>0</v>
      </c>
      <c r="G8" s="51">
        <f>+C8+D8+E8+F8</f>
        <v>857386.78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>
        <f>+'07 2021'!C9+'08 2021'!C9+'09 2021'!C9</f>
        <v>0</v>
      </c>
      <c r="D9" s="57">
        <f>+'07 2021'!D9+'08 2021'!D9+'09 2021'!D9</f>
        <v>63567736.550000004</v>
      </c>
      <c r="E9" s="55">
        <f>+'07 2021'!E9+'08 2021'!E9+'09 2021'!E9</f>
        <v>-45030852.669999994</v>
      </c>
      <c r="F9" s="56">
        <f>+'07 2021'!F9+'08 2021'!F9+'09 2021'!F9</f>
        <v>-89194963.74000001</v>
      </c>
      <c r="G9" s="51">
        <f>+C9+D9+E9+F9</f>
        <v>-70658079.859999999</v>
      </c>
      <c r="H9" s="26"/>
    </row>
    <row r="10" spans="1:31" s="27" customFormat="1" ht="30.75" customHeight="1" x14ac:dyDescent="0.35">
      <c r="A10" s="102"/>
      <c r="B10" s="81" t="s">
        <v>4</v>
      </c>
      <c r="C10" s="54">
        <f>+'07 2021'!C10+'08 2021'!C10+'09 2021'!C10</f>
        <v>0</v>
      </c>
      <c r="D10" s="54">
        <f>+'07 2021'!D10+'08 2021'!D10+'09 2021'!D10</f>
        <v>0</v>
      </c>
      <c r="E10" s="55">
        <f>+'07 2021'!E10+'08 2021'!E10+'09 2021'!E10</f>
        <v>0</v>
      </c>
      <c r="F10" s="56">
        <f>+'07 2021'!F10+'08 2021'!F10+'09 2021'!F10</f>
        <v>0</v>
      </c>
      <c r="G10" s="51">
        <f>+C10+D10+E10+F10</f>
        <v>0</v>
      </c>
      <c r="H10" s="26"/>
    </row>
    <row r="11" spans="1:31" s="27" customFormat="1" ht="30.75" customHeight="1" thickBot="1" x14ac:dyDescent="0.4">
      <c r="A11" s="103"/>
      <c r="B11" s="82" t="s">
        <v>5</v>
      </c>
      <c r="C11" s="58">
        <f>+'07 2021'!C11+'08 2021'!C11+'09 2021'!C11</f>
        <v>0</v>
      </c>
      <c r="D11" s="58">
        <f>+'07 2021'!D11+'08 2021'!D11+'09 2021'!D11</f>
        <v>0</v>
      </c>
      <c r="E11" s="59">
        <f>+'07 2021'!E11+'08 2021'!E11+'09 2021'!E11</f>
        <v>0</v>
      </c>
      <c r="F11" s="60">
        <f>+'07 2021'!F11+'08 2021'!F11+'09 2021'!F11</f>
        <v>0</v>
      </c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10350000</v>
      </c>
      <c r="D12" s="61">
        <f>SUM(D7:D11)</f>
        <v>294307303.31</v>
      </c>
      <c r="E12" s="62">
        <f>SUM(E7:E11)</f>
        <v>78474865.689999998</v>
      </c>
      <c r="F12" s="63">
        <f>SUM(F7:F11)</f>
        <v>112040639.32999998</v>
      </c>
      <c r="G12" s="61">
        <f>SUM(G7:G11)</f>
        <v>495172808.32999992</v>
      </c>
      <c r="H12" s="26"/>
    </row>
    <row r="13" spans="1:31" s="32" customFormat="1" ht="30.75" customHeight="1" x14ac:dyDescent="0.35">
      <c r="A13" s="105">
        <v>60</v>
      </c>
      <c r="B13" s="84" t="s">
        <v>7</v>
      </c>
      <c r="C13" s="51">
        <f>+'07 2021'!C13+'08 2021'!C13+'09 2021'!C13</f>
        <v>244420.18999999994</v>
      </c>
      <c r="D13" s="64">
        <f>+'07 2021'!D13+'08 2021'!D13+'09 2021'!D13</f>
        <v>225117939.26000002</v>
      </c>
      <c r="E13" s="65">
        <f>+'07 2021'!E13+'08 2021'!E13+'09 2021'!E13</f>
        <v>33064397.419999998</v>
      </c>
      <c r="F13" s="66">
        <f>+'07 2021'!F13+'08 2021'!F13+'09 2021'!F13</f>
        <v>67514291.849999994</v>
      </c>
      <c r="G13" s="51">
        <f>+C13+D13+E13+F13</f>
        <v>325941048.72000003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f>+'07 2021'!C14+'08 2021'!C14+'09 2021'!C14</f>
        <v>12018818.800000001</v>
      </c>
      <c r="D14" s="58">
        <f>+'07 2021'!D14+'08 2021'!D14+'09 2021'!D14</f>
        <v>17238402.34</v>
      </c>
      <c r="E14" s="59">
        <f>+'07 2021'!E14+'08 2021'!E14+'09 2021'!E14</f>
        <v>11377102.239999998</v>
      </c>
      <c r="F14" s="60">
        <f>+'07 2021'!F14+'08 2021'!F14+'09 2021'!F14</f>
        <v>6866704.7300000004</v>
      </c>
      <c r="G14" s="58">
        <f>+C14+D14+E14+F14</f>
        <v>47501028.109999999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58">
        <f>+'07 2021'!C15+'08 2021'!C15+'09 2021'!C15</f>
        <v>857386.78</v>
      </c>
      <c r="D15" s="58">
        <f>+'07 2021'!D15+'08 2021'!D15+'09 2021'!D15</f>
        <v>0</v>
      </c>
      <c r="E15" s="59">
        <f>+'07 2021'!E15+'08 2021'!E15+'09 2021'!E15</f>
        <v>0</v>
      </c>
      <c r="F15" s="60">
        <f>+'07 2021'!F15+'08 2021'!F15+'09 2021'!F15</f>
        <v>0</v>
      </c>
      <c r="G15" s="58">
        <f>+C15+D15+E15+F15</f>
        <v>857386.78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13120625.77</v>
      </c>
      <c r="D16" s="61">
        <f>+D13+D14+D15</f>
        <v>242356341.60000002</v>
      </c>
      <c r="E16" s="62">
        <f>+E13+E14+E15</f>
        <v>44441499.659999996</v>
      </c>
      <c r="F16" s="63">
        <f>+F13+F14+F15</f>
        <v>74380996.579999998</v>
      </c>
      <c r="G16" s="61">
        <f>+G13+G14+G15</f>
        <v>374299463.61000001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-2770625.7699999996</v>
      </c>
      <c r="D17" s="67">
        <f>+D12-D16</f>
        <v>51950961.709999979</v>
      </c>
      <c r="E17" s="68">
        <f>+E12-E16</f>
        <v>34033366.030000001</v>
      </c>
      <c r="F17" s="69">
        <f>+F12-F16</f>
        <v>37659642.749999985</v>
      </c>
      <c r="G17" s="67">
        <f>+G12-G16</f>
        <v>120873344.71999991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f>+'07 2021'!C18+'08 2021'!C18+'09 2021'!C18</f>
        <v>44889412.210000001</v>
      </c>
      <c r="D18" s="64">
        <f>+'07 2021'!D18+'08 2021'!D18+'09 2021'!D18</f>
        <v>99936388.099999994</v>
      </c>
      <c r="E18" s="65">
        <f>+'07 2021'!E18+'08 2021'!E18+'09 2021'!E18</f>
        <v>36789243.539999999</v>
      </c>
      <c r="F18" s="66">
        <f>+'07 2021'!F18+'08 2021'!F18+'09 2021'!F18</f>
        <v>34432808</v>
      </c>
      <c r="G18" s="51">
        <f>+C18+D18+E18+F18</f>
        <v>216047851.84999999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f>+'07 2021'!C19+'08 2021'!C19+'09 2021'!C19</f>
        <v>426987.68999999994</v>
      </c>
      <c r="D19" s="58">
        <f>+'07 2021'!D19+'08 2021'!D19+'09 2021'!D19</f>
        <v>2300025</v>
      </c>
      <c r="E19" s="59">
        <f>+'07 2021'!E19+'08 2021'!E19+'09 2021'!E19</f>
        <v>1256751.24</v>
      </c>
      <c r="F19" s="60">
        <f>+'07 2021'!F19+'08 2021'!F19+'09 2021'!F19</f>
        <v>2192755.7000000002</v>
      </c>
      <c r="G19" s="58">
        <f>+C19+D19+E19+F19</f>
        <v>6176519.6299999999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-48087025.670000002</v>
      </c>
      <c r="D20" s="61">
        <f>+D17-D18-D19</f>
        <v>-50285451.390000015</v>
      </c>
      <c r="E20" s="62">
        <f>+E17-E18-E19</f>
        <v>-4012628.7499999981</v>
      </c>
      <c r="F20" s="63">
        <f>+F17-F18-F19</f>
        <v>1034079.0499999849</v>
      </c>
      <c r="G20" s="61">
        <f>+G17-G18-G19</f>
        <v>-101351026.76000008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f>+'07 2021'!C21+'08 2021'!C21+'09 2021'!C21</f>
        <v>64059.9</v>
      </c>
      <c r="D21" s="51">
        <f>+'07 2021'!D21+'08 2021'!D21+'09 2021'!D21</f>
        <v>1586471.84</v>
      </c>
      <c r="E21" s="52">
        <f>+'07 2021'!E21+'08 2021'!E21+'09 2021'!E21</f>
        <v>0.3</v>
      </c>
      <c r="F21" s="53">
        <f>+'07 2021'!F21+'08 2021'!F21+'09 2021'!F21</f>
        <v>0</v>
      </c>
      <c r="G21" s="51">
        <f t="shared" ref="G21:G26" si="0">+C21+D21+E21+F21</f>
        <v>1650532.04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f>+'07 2021'!C22+'08 2021'!C22+'09 2021'!C22</f>
        <v>206414.83000000002</v>
      </c>
      <c r="D22" s="54">
        <f>+'07 2021'!D22+'08 2021'!D22+'09 2021'!D22</f>
        <v>65.409999999999982</v>
      </c>
      <c r="E22" s="55">
        <f>+'07 2021'!E22+'08 2021'!E22+'09 2021'!E22</f>
        <v>2.33</v>
      </c>
      <c r="F22" s="56">
        <f>+'07 2021'!F22+'08 2021'!F22+'09 2021'!F22</f>
        <v>674.73</v>
      </c>
      <c r="G22" s="54">
        <f t="shared" si="0"/>
        <v>207157.30000000002</v>
      </c>
      <c r="H22" s="31"/>
    </row>
    <row r="23" spans="1:12" s="27" customFormat="1" ht="30.75" customHeight="1" x14ac:dyDescent="0.35">
      <c r="A23" s="109"/>
      <c r="B23" s="87" t="s">
        <v>18</v>
      </c>
      <c r="C23" s="70">
        <f>+'07 2021'!C23+'08 2021'!C23+'09 2021'!C23</f>
        <v>0</v>
      </c>
      <c r="D23" s="70">
        <f>+'07 2021'!D23+'08 2021'!D23+'09 2021'!D23</f>
        <v>0</v>
      </c>
      <c r="E23" s="71">
        <f>+'07 2021'!E23+'08 2021'!E23+'09 2021'!E23</f>
        <v>0</v>
      </c>
      <c r="F23" s="72">
        <f>+'07 2021'!F23+'08 2021'!F23+'09 2021'!F23</f>
        <v>0</v>
      </c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>
        <f>+'07 2021'!C24+'08 2021'!C24+'09 2021'!C24</f>
        <v>0</v>
      </c>
      <c r="D24" s="70">
        <f>+'07 2021'!D24+'08 2021'!D24+'09 2021'!D24</f>
        <v>0</v>
      </c>
      <c r="E24" s="71">
        <f>+'07 2021'!E24+'08 2021'!E24+'09 2021'!E24</f>
        <v>0</v>
      </c>
      <c r="F24" s="72">
        <f>+'07 2021'!F24+'08 2021'!F24+'09 2021'!F24</f>
        <v>0</v>
      </c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f>+'07 2021'!C25+'08 2021'!C25+'09 2021'!C25</f>
        <v>3758222.51</v>
      </c>
      <c r="D25" s="54">
        <f>+'07 2021'!D25+'08 2021'!D25+'09 2021'!D25</f>
        <v>17553259.130000003</v>
      </c>
      <c r="E25" s="55">
        <f>+'07 2021'!E25+'08 2021'!E25+'09 2021'!E25</f>
        <v>1667123.67</v>
      </c>
      <c r="F25" s="56">
        <f>+'07 2021'!F25+'08 2021'!F25+'09 2021'!F25</f>
        <v>1751014.1600000001</v>
      </c>
      <c r="G25" s="57">
        <f t="shared" si="0"/>
        <v>24729619.470000003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>
        <f>+'07 2021'!C26+'08 2021'!C26+'09 2021'!C26</f>
        <v>0</v>
      </c>
      <c r="D26" s="58">
        <f>+'07 2021'!D26+'08 2021'!D26+'09 2021'!D26</f>
        <v>0</v>
      </c>
      <c r="E26" s="59">
        <f>+'07 2021'!E26+'08 2021'!E26+'09 2021'!E26</f>
        <v>0</v>
      </c>
      <c r="F26" s="60">
        <f>+'07 2021'!F26+'08 2021'!F26+'09 2021'!F26</f>
        <v>0</v>
      </c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-51987603.109999999</v>
      </c>
      <c r="D27" s="61">
        <f>+D20+D21+D26-(D22+D23+D24+D25)</f>
        <v>-66252304.090000018</v>
      </c>
      <c r="E27" s="62">
        <f>+E20+E21+E26-(E22+E23+E24+E25)</f>
        <v>-5679754.4499999983</v>
      </c>
      <c r="F27" s="62">
        <f>+F20+F21+F26-(F22+F23+F24+F25)</f>
        <v>-717609.84000001522</v>
      </c>
      <c r="G27" s="61">
        <f>+G20+G21+G26-(G22+G23+G24+G25)</f>
        <v>-124637271.49000007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>
        <f>+'07 2021'!C28+'08 2021'!C28+'09 2021'!C28</f>
        <v>0</v>
      </c>
      <c r="D28" s="51">
        <f>+'07 2021'!D28+'08 2021'!D28+'09 2021'!D28</f>
        <v>790837.57</v>
      </c>
      <c r="E28" s="52">
        <f>+'07 2021'!E28+'08 2021'!E28+'09 2021'!E28</f>
        <v>4993.26</v>
      </c>
      <c r="F28" s="53">
        <f>+'07 2021'!F28+'08 2021'!F28+'09 2021'!F28</f>
        <v>0</v>
      </c>
      <c r="G28" s="51">
        <f>+C28+D28+E28+F28</f>
        <v>795830.83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>
        <f>+'07 2021'!C29+'08 2021'!C29+'09 2021'!C29</f>
        <v>0</v>
      </c>
      <c r="D29" s="58">
        <f>+'07 2021'!D29+'08 2021'!D29+'09 2021'!D29</f>
        <v>9236.35</v>
      </c>
      <c r="E29" s="59">
        <f>+'07 2021'!E29+'08 2021'!E29+'09 2021'!E29</f>
        <v>0</v>
      </c>
      <c r="F29" s="60">
        <f>+'07 2021'!F29+'08 2021'!F29+'09 2021'!F29</f>
        <v>0</v>
      </c>
      <c r="G29" s="58">
        <f>+C29+D29+E29+F29</f>
        <v>9236.35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0</v>
      </c>
      <c r="D30" s="61">
        <f>+D28-D29</f>
        <v>781601.22</v>
      </c>
      <c r="E30" s="62">
        <f>+E28-E29</f>
        <v>4993.26</v>
      </c>
      <c r="F30" s="63">
        <f>+F28-F29</f>
        <v>0</v>
      </c>
      <c r="G30" s="61">
        <f>+G28-G29</f>
        <v>786594.48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-51987603.109999999</v>
      </c>
      <c r="D31" s="61">
        <f>+D27+D30</f>
        <v>-65470702.87000002</v>
      </c>
      <c r="E31" s="62">
        <f>+E27+E30</f>
        <v>-5674761.1899999985</v>
      </c>
      <c r="F31" s="63">
        <f>+F27+F30</f>
        <v>-717609.84000001522</v>
      </c>
      <c r="G31" s="61">
        <f>+G27+G30</f>
        <v>-123850677.01000006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>
        <f>+'07 2021'!C32+'08 2021'!C32+'09 2021'!C32</f>
        <v>-10000</v>
      </c>
      <c r="D32" s="51">
        <f>+'07 2021'!D32+'08 2021'!D32+'09 2021'!D32</f>
        <v>0</v>
      </c>
      <c r="E32" s="52">
        <f>+'07 2021'!E32+'08 2021'!E32+'09 2021'!E32</f>
        <v>0</v>
      </c>
      <c r="F32" s="53">
        <f>+'07 2021'!F32+'08 2021'!F32+'09 2021'!F32</f>
        <v>0</v>
      </c>
      <c r="G32" s="51">
        <f>+C32+D32+E32+F32</f>
        <v>-10000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>
        <f>+'07 2021'!C33+'08 2021'!C33+'09 2021'!C33</f>
        <v>0</v>
      </c>
      <c r="D33" s="54">
        <f>+'07 2021'!D33+'08 2021'!D33+'09 2021'!D33</f>
        <v>0</v>
      </c>
      <c r="E33" s="55">
        <f>+'07 2021'!E33+'08 2021'!E33+'09 2021'!E33</f>
        <v>0</v>
      </c>
      <c r="F33" s="56">
        <f>+'07 2021'!F33+'08 2021'!F33+'09 2021'!F33</f>
        <v>0</v>
      </c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10414059.9</v>
      </c>
      <c r="D34" s="74">
        <f>+D12+D21+D28+D26</f>
        <v>296684612.71999997</v>
      </c>
      <c r="E34" s="75">
        <f>+E12+E21+E28+E26</f>
        <v>78479859.25</v>
      </c>
      <c r="F34" s="76">
        <f>+F12+F21+F28+F26</f>
        <v>112040639.32999998</v>
      </c>
      <c r="G34" s="74">
        <f>+G12+G21+G28+G26</f>
        <v>497619171.19999993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+C16+C18+C19+C25+C22+C29+C33-C32</f>
        <v>62411663.009999998</v>
      </c>
      <c r="D35" s="73">
        <f>+D16+D18+D19+D25+D22+D29+D33-D32</f>
        <v>362155315.59000009</v>
      </c>
      <c r="E35" s="77">
        <f>+E16+E18+E19+E25+E22+E29+E33-E32</f>
        <v>84154620.439999983</v>
      </c>
      <c r="F35" s="78">
        <f>+F16+F18+F19+F25+F22+F29+F33-F32</f>
        <v>112758249.17</v>
      </c>
      <c r="G35" s="73">
        <f>+G16+G18+G19+G25+G22+G29+G33-G32</f>
        <v>621479848.21000004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-51997603.109999999</v>
      </c>
      <c r="D36" s="61">
        <f t="shared" ref="D36:G36" si="1">+D34-D35</f>
        <v>-65470702.870000124</v>
      </c>
      <c r="E36" s="62">
        <f t="shared" si="1"/>
        <v>-5674761.1899999827</v>
      </c>
      <c r="F36" s="63">
        <f t="shared" si="1"/>
        <v>-717609.84000001848</v>
      </c>
      <c r="G36" s="61">
        <f t="shared" si="1"/>
        <v>-123860677.01000011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f>+'07 2021'!C37+'08 2021'!C37+'09 2021'!C37</f>
        <v>0</v>
      </c>
      <c r="D37" s="51">
        <f>+'07 2021'!D37+'08 2021'!D37+'09 2021'!D37</f>
        <v>0</v>
      </c>
      <c r="E37" s="52">
        <f>+'07 2021'!E37+'08 2021'!E37+'09 2021'!E37</f>
        <v>0</v>
      </c>
      <c r="F37" s="53">
        <f>+'07 2021'!F37+'08 2021'!F37+'09 2021'!F37</f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f>+'07 2021'!C38+'08 2021'!C38+'09 2021'!C38</f>
        <v>0</v>
      </c>
      <c r="D38" s="58">
        <f>+'07 2021'!D38+'08 2021'!D38+'09 2021'!D38</f>
        <v>0</v>
      </c>
      <c r="E38" s="59">
        <f>+'07 2021'!E38+'08 2021'!E38+'09 2021'!E38</f>
        <v>0</v>
      </c>
      <c r="F38" s="60">
        <f>+'07 2021'!F38+'08 2021'!F38+'09 2021'!F38</f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-51997603.109999999</v>
      </c>
      <c r="D40" s="117">
        <f>+D36</f>
        <v>-65470702.870000124</v>
      </c>
      <c r="E40" s="118">
        <f>+E36</f>
        <v>-5674761.1899999827</v>
      </c>
      <c r="F40" s="119">
        <f>+F36</f>
        <v>-717609.84000001848</v>
      </c>
      <c r="G40" s="117">
        <f>+G36</f>
        <v>-123860677.01000011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1.28025279443411</v>
      </c>
      <c r="E43" s="95">
        <f>+E12/E7</f>
        <v>0.63539459331962223</v>
      </c>
      <c r="F43" s="95">
        <f>+F12/F7</f>
        <v>0.55676350318102774</v>
      </c>
      <c r="G43" s="95">
        <f>+G12/G7</f>
        <v>0.87645315593421813</v>
      </c>
      <c r="H43" s="38"/>
    </row>
    <row r="44" spans="1:8" s="37" customFormat="1" ht="18" x14ac:dyDescent="0.35">
      <c r="A44" s="92">
        <v>2</v>
      </c>
      <c r="B44" s="93" t="s">
        <v>53</v>
      </c>
      <c r="C44" s="94">
        <f>+C13/C7</f>
        <v>2.3615477294685983E-2</v>
      </c>
      <c r="D44" s="95">
        <f>+D13/D7</f>
        <v>0.97927529345504527</v>
      </c>
      <c r="E44" s="95">
        <f>+E13/E7</f>
        <v>0.26771551843148195</v>
      </c>
      <c r="F44" s="95">
        <f>+F13/F7</f>
        <v>0.33549874286666403</v>
      </c>
      <c r="G44" s="95">
        <f>+G13/G7</f>
        <v>0.57691386924617083</v>
      </c>
      <c r="H44" s="36"/>
    </row>
    <row r="45" spans="1:8" s="37" customFormat="1" ht="18" x14ac:dyDescent="0.35">
      <c r="A45" s="92">
        <v>3</v>
      </c>
      <c r="B45" s="93" t="s">
        <v>56</v>
      </c>
      <c r="C45" s="94">
        <f>+C13/C12</f>
        <v>2.3615477294685983E-2</v>
      </c>
      <c r="D45" s="95">
        <f>+D13/D12</f>
        <v>0.76490775705582348</v>
      </c>
      <c r="E45" s="95">
        <f>+E13/E12</f>
        <v>0.42133741968561755</v>
      </c>
      <c r="F45" s="95">
        <f>+F13/F12</f>
        <v>0.6025875276483037</v>
      </c>
      <c r="G45" s="95">
        <f>+G13/G12</f>
        <v>0.65823696947184118</v>
      </c>
      <c r="H45" s="36"/>
    </row>
    <row r="46" spans="1:8" s="37" customFormat="1" ht="18" x14ac:dyDescent="0.35">
      <c r="A46" s="92">
        <v>4</v>
      </c>
      <c r="B46" s="93" t="s">
        <v>57</v>
      </c>
      <c r="C46" s="94">
        <f>+C16/C12</f>
        <v>1.2676933111111111</v>
      </c>
      <c r="D46" s="95">
        <f>+D16/D12</f>
        <v>0.82348055544079057</v>
      </c>
      <c r="E46" s="95">
        <f>+E16/E12</f>
        <v>0.5663150776907051</v>
      </c>
      <c r="F46" s="95">
        <f>+F16/F12</f>
        <v>0.66387515302301348</v>
      </c>
      <c r="G46" s="95">
        <f>+G16/G12</f>
        <v>0.75589664317866623</v>
      </c>
      <c r="H46" s="36"/>
    </row>
    <row r="47" spans="1:8" s="37" customFormat="1" ht="18" x14ac:dyDescent="0.35">
      <c r="A47" s="92">
        <v>5</v>
      </c>
      <c r="B47" s="93" t="s">
        <v>58</v>
      </c>
      <c r="C47" s="94">
        <f>+C18/C12</f>
        <v>4.3371412763285022</v>
      </c>
      <c r="D47" s="95">
        <f>+D18/D12</f>
        <v>0.3395647575715609</v>
      </c>
      <c r="E47" s="95">
        <f>+E18/E12</f>
        <v>0.46880288633215245</v>
      </c>
      <c r="F47" s="95">
        <f>+F18/F12</f>
        <v>0.30732427274520446</v>
      </c>
      <c r="G47" s="95">
        <f>+G18/G12</f>
        <v>0.4363079882730927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-6.172114165894086E-2</v>
      </c>
      <c r="D48" s="95">
        <f>+D17/D18</f>
        <v>0.51984029739013538</v>
      </c>
      <c r="E48" s="95">
        <f>+E17/E18</f>
        <v>0.92509012839571969</v>
      </c>
      <c r="F48" s="95">
        <f>+F17/F18</f>
        <v>1.0937139587918587</v>
      </c>
      <c r="G48" s="95">
        <f>+G17/G18</f>
        <v>0.55947487413076036</v>
      </c>
      <c r="H48" s="36"/>
    </row>
    <row r="49" spans="1:8" s="37" customFormat="1" ht="18" x14ac:dyDescent="0.35">
      <c r="A49" s="92">
        <v>7</v>
      </c>
      <c r="B49" s="93" t="s">
        <v>55</v>
      </c>
      <c r="C49" s="94">
        <f>+C20/C12</f>
        <v>-4.6460894367149761</v>
      </c>
      <c r="D49" s="95">
        <f>+D20/D12</f>
        <v>-0.17086035862668791</v>
      </c>
      <c r="E49" s="95">
        <f>+E20/E12</f>
        <v>-5.113266158174929E-2</v>
      </c>
      <c r="F49" s="95">
        <f>+F20/F12</f>
        <v>9.2294997260257521E-3</v>
      </c>
      <c r="G49" s="95">
        <f>+G20/G12</f>
        <v>-0.20467809430370887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selectLockedCells="1" selectUnlockedCells="1"/>
  <mergeCells count="5">
    <mergeCell ref="A42:G42"/>
    <mergeCell ref="T1:U1"/>
    <mergeCell ref="T2:U2"/>
    <mergeCell ref="T3:U3"/>
    <mergeCell ref="A5:G5"/>
  </mergeCells>
  <conditionalFormatting sqref="D1:G4 C43:G1048576 D41:G41 D28:F40 D6:F26">
    <cfRule type="cellIs" dxfId="100" priority="7" operator="lessThan">
      <formula>-0.01</formula>
    </cfRule>
  </conditionalFormatting>
  <conditionalFormatting sqref="C1:C4 C28:C41 C6:C26">
    <cfRule type="cellIs" dxfId="99" priority="6" operator="lessThan">
      <formula>-0.01</formula>
    </cfRule>
  </conditionalFormatting>
  <conditionalFormatting sqref="G28:G40 G7:G26">
    <cfRule type="cellIs" dxfId="98" priority="5" operator="lessThan">
      <formula>-0.01</formula>
    </cfRule>
  </conditionalFormatting>
  <conditionalFormatting sqref="G6">
    <cfRule type="cellIs" dxfId="97" priority="4" operator="lessThan">
      <formula>-0.01</formula>
    </cfRule>
  </conditionalFormatting>
  <conditionalFormatting sqref="D27:F27">
    <cfRule type="cellIs" dxfId="96" priority="3" operator="lessThan">
      <formula>-0.01</formula>
    </cfRule>
  </conditionalFormatting>
  <conditionalFormatting sqref="C27">
    <cfRule type="cellIs" dxfId="95" priority="2" operator="lessThan">
      <formula>-0.01</formula>
    </cfRule>
  </conditionalFormatting>
  <conditionalFormatting sqref="G27">
    <cfRule type="cellIs" dxfId="94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legacyDrawing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90" zoomScaleNormal="50" zoomScaleSheetLayoutView="90" workbookViewId="0">
      <pane xSplit="2" ySplit="6" topLeftCell="D12" activePane="bottomRight" state="frozen"/>
      <selection activeCell="C5" sqref="C5:D5"/>
      <selection pane="topRight" activeCell="C5" sqref="C5:D5"/>
      <selection pane="bottomLeft" activeCell="C5" sqref="C5:D5"/>
      <selection pane="bottomRight" activeCell="J1" sqref="I1:J1048576"/>
    </sheetView>
  </sheetViews>
  <sheetFormatPr baseColWidth="10" defaultColWidth="11.44140625" defaultRowHeight="23.4" x14ac:dyDescent="0.45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11.44140625" style="1"/>
    <col min="9" max="9" width="18.109375" style="327" bestFit="1" customWidth="1"/>
    <col min="10" max="10" width="22.44140625" style="327" bestFit="1" customWidth="1"/>
    <col min="11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40"/>
      <c r="H1" s="41"/>
      <c r="I1" s="333"/>
      <c r="J1" s="333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44"/>
      <c r="H2" s="41"/>
      <c r="I2" s="333"/>
      <c r="J2" s="333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4">
      <c r="A3" s="46"/>
      <c r="B3" s="47"/>
      <c r="C3" s="48"/>
      <c r="D3" s="48"/>
      <c r="E3" s="48"/>
      <c r="F3" s="48"/>
      <c r="G3" s="99"/>
      <c r="H3" s="46"/>
      <c r="I3" s="324"/>
      <c r="J3" s="325"/>
      <c r="K3" s="46"/>
      <c r="L3" s="46"/>
      <c r="M3" s="46"/>
      <c r="Q3" s="46"/>
      <c r="R3" s="46"/>
      <c r="S3" s="346"/>
      <c r="T3" s="3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50"/>
      <c r="H4" s="5"/>
      <c r="I4" s="332"/>
      <c r="J4" s="332"/>
    </row>
    <row r="5" spans="1:31" ht="29.4" thickBot="1" x14ac:dyDescent="0.6">
      <c r="A5" s="347" t="s">
        <v>98</v>
      </c>
      <c r="B5" s="347"/>
      <c r="C5" s="347"/>
      <c r="D5" s="347"/>
      <c r="E5" s="347"/>
      <c r="F5" s="347"/>
      <c r="G5" s="347"/>
      <c r="H5" s="4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I6" s="326"/>
      <c r="J6" s="327"/>
    </row>
    <row r="7" spans="1:31" s="29" customFormat="1" ht="30.75" customHeight="1" x14ac:dyDescent="0.35">
      <c r="A7" s="101"/>
      <c r="B7" s="79" t="s">
        <v>2</v>
      </c>
      <c r="C7" s="51">
        <v>3000000</v>
      </c>
      <c r="D7" s="51">
        <v>109073848.94</v>
      </c>
      <c r="E7" s="52">
        <v>91070764.439999998</v>
      </c>
      <c r="F7" s="53">
        <v>63228315.920000002</v>
      </c>
      <c r="G7" s="51">
        <f>+C7+D7+E7+F7</f>
        <v>266372929.30000001</v>
      </c>
      <c r="I7" s="328">
        <v>63228315.920000002</v>
      </c>
      <c r="J7" s="329">
        <f>+I7-Tableau11[[#This Row],[AZDU]]</f>
        <v>0</v>
      </c>
    </row>
    <row r="8" spans="1:31" s="29" customFormat="1" ht="30.75" customHeight="1" x14ac:dyDescent="0.35">
      <c r="A8" s="102"/>
      <c r="B8" s="80" t="s">
        <v>42</v>
      </c>
      <c r="C8" s="54"/>
      <c r="D8" s="54"/>
      <c r="E8" s="55"/>
      <c r="F8" s="56"/>
      <c r="G8" s="51">
        <f>+C8+D8+E8+F8</f>
        <v>0</v>
      </c>
      <c r="I8" s="328"/>
      <c r="J8" s="329">
        <f>+I8-Tableau11[[#This Row],[AZDU]]</f>
        <v>0</v>
      </c>
      <c r="M8" s="30"/>
    </row>
    <row r="9" spans="1:31" s="27" customFormat="1" ht="30.75" customHeight="1" x14ac:dyDescent="0.35">
      <c r="A9" s="102"/>
      <c r="B9" s="81" t="s">
        <v>3</v>
      </c>
      <c r="C9" s="54"/>
      <c r="D9" s="57">
        <v>86255627.530000001</v>
      </c>
      <c r="E9" s="55">
        <v>-32392715.289999999</v>
      </c>
      <c r="F9" s="56">
        <v>-13472094.810000001</v>
      </c>
      <c r="G9" s="51">
        <f>+C9+D9+E9+F9</f>
        <v>40390817.43</v>
      </c>
      <c r="I9" s="326">
        <v>-14227144.560000001</v>
      </c>
      <c r="J9" s="329">
        <f>+I9-Tableau11[[#This Row],[AZDU]]</f>
        <v>-755049.75</v>
      </c>
    </row>
    <row r="10" spans="1:31" s="27" customFormat="1" ht="30.75" customHeight="1" x14ac:dyDescent="0.35">
      <c r="A10" s="102"/>
      <c r="B10" s="81" t="s">
        <v>4</v>
      </c>
      <c r="C10" s="54"/>
      <c r="D10" s="54"/>
      <c r="E10" s="55"/>
      <c r="F10" s="56"/>
      <c r="G10" s="51">
        <f>+C10+D10+E10+F10</f>
        <v>0</v>
      </c>
      <c r="I10" s="326"/>
      <c r="J10" s="329">
        <f>+I10-Tableau11[[#This Row],[AZDU]]</f>
        <v>0</v>
      </c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I11" s="326"/>
      <c r="J11" s="329">
        <f>+I11-Tableau11[[#This Row],[AZDU]]</f>
        <v>0</v>
      </c>
    </row>
    <row r="12" spans="1:31" s="27" customFormat="1" ht="30.75" customHeight="1" thickBot="1" x14ac:dyDescent="0.4">
      <c r="A12" s="104"/>
      <c r="B12" s="83" t="s">
        <v>6</v>
      </c>
      <c r="C12" s="61">
        <f>SUM(C7:C11)</f>
        <v>3000000</v>
      </c>
      <c r="D12" s="61">
        <f>SUM(D7:D11)</f>
        <v>195329476.47</v>
      </c>
      <c r="E12" s="62">
        <f>SUM(E7:E11)</f>
        <v>58678049.149999999</v>
      </c>
      <c r="F12" s="63">
        <f>SUM(F7:F11)</f>
        <v>49756221.109999999</v>
      </c>
      <c r="G12" s="61">
        <f>SUM(G7:G11)</f>
        <v>306763746.73000002</v>
      </c>
      <c r="I12" s="326">
        <v>49001171.359999999</v>
      </c>
      <c r="J12" s="329">
        <f>+I12-Tableau11[[#This Row],[AZDU]]</f>
        <v>-755049.75</v>
      </c>
    </row>
    <row r="13" spans="1:31" s="32" customFormat="1" ht="30.75" customHeight="1" x14ac:dyDescent="0.35">
      <c r="A13" s="105">
        <v>60</v>
      </c>
      <c r="B13" s="84" t="s">
        <v>7</v>
      </c>
      <c r="C13" s="51">
        <v>304976.90999999997</v>
      </c>
      <c r="D13" s="64">
        <v>153359740.66</v>
      </c>
      <c r="E13" s="65">
        <v>16708490.51</v>
      </c>
      <c r="F13" s="66">
        <v>33834704.810000002</v>
      </c>
      <c r="G13" s="51">
        <f>+C13+D13+E13+F13</f>
        <v>204207912.88999999</v>
      </c>
      <c r="I13" s="330">
        <v>32266512.190000001</v>
      </c>
      <c r="J13" s="329">
        <f>+I13-Tableau11[[#This Row],[AZDU]]</f>
        <v>-1568192.620000001</v>
      </c>
    </row>
    <row r="14" spans="1:31" s="32" customFormat="1" ht="30.75" customHeight="1" x14ac:dyDescent="0.35">
      <c r="A14" s="106" t="s">
        <v>8</v>
      </c>
      <c r="B14" s="82" t="s">
        <v>43</v>
      </c>
      <c r="C14" s="58">
        <v>3241570.61</v>
      </c>
      <c r="D14" s="58">
        <v>5282368.9800000004</v>
      </c>
      <c r="E14" s="59">
        <v>3393370.49</v>
      </c>
      <c r="F14" s="60">
        <v>3784712.82</v>
      </c>
      <c r="G14" s="58">
        <f>+C14+D14+E14+F14</f>
        <v>15702022.9</v>
      </c>
      <c r="H14" s="34"/>
      <c r="I14" s="330">
        <v>3867878.89</v>
      </c>
      <c r="J14" s="329">
        <f>+I14-Tableau11[[#This Row],[AZDU]]</f>
        <v>83166.070000000298</v>
      </c>
    </row>
    <row r="15" spans="1:31" s="32" customFormat="1" ht="30.75" customHeight="1" thickBot="1" x14ac:dyDescent="0.4">
      <c r="A15" s="229"/>
      <c r="B15" s="230" t="s">
        <v>124</v>
      </c>
      <c r="C15" s="112"/>
      <c r="D15" s="112"/>
      <c r="E15" s="231"/>
      <c r="F15" s="232"/>
      <c r="G15" s="58">
        <f>+C15+D15+E15+F15</f>
        <v>0</v>
      </c>
      <c r="H15" s="34"/>
      <c r="I15" s="330"/>
      <c r="J15" s="329">
        <f>+I15-Tableau11[[#This Row],[AZDU]]</f>
        <v>0</v>
      </c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3546547.52</v>
      </c>
      <c r="D16" s="61">
        <f>+D13+D14+D15</f>
        <v>158642109.63999999</v>
      </c>
      <c r="E16" s="62">
        <f>+E13+E14+E15</f>
        <v>20101861</v>
      </c>
      <c r="F16" s="63">
        <f>+F13+F14+F15</f>
        <v>37619417.630000003</v>
      </c>
      <c r="G16" s="61">
        <f>+G13+G14+G15</f>
        <v>219909935.78999999</v>
      </c>
      <c r="H16" s="34"/>
      <c r="I16" s="326">
        <v>36134391.079999998</v>
      </c>
      <c r="J16" s="329">
        <f>+I16-Tableau11[[#This Row],[AZDU]]</f>
        <v>-1485026.5500000045</v>
      </c>
    </row>
    <row r="17" spans="1:11" s="27" customFormat="1" ht="30.75" customHeight="1" thickBot="1" x14ac:dyDescent="0.4">
      <c r="A17" s="108" t="s">
        <v>11</v>
      </c>
      <c r="B17" s="86" t="s">
        <v>12</v>
      </c>
      <c r="C17" s="67">
        <f>+C12-C16</f>
        <v>-546547.52</v>
      </c>
      <c r="D17" s="67">
        <f>+D12-D16</f>
        <v>36687366.830000013</v>
      </c>
      <c r="E17" s="68">
        <f>+E12-E16</f>
        <v>38576188.149999999</v>
      </c>
      <c r="F17" s="69">
        <f>+F12-F16</f>
        <v>12136803.479999997</v>
      </c>
      <c r="G17" s="67">
        <f>+G12-G16</f>
        <v>86853810.940000027</v>
      </c>
      <c r="H17" s="34"/>
      <c r="I17" s="326">
        <v>12866780.280000001</v>
      </c>
      <c r="J17" s="329">
        <f>+I17-Tableau11[[#This Row],[AZDU]]</f>
        <v>729976.80000000447</v>
      </c>
    </row>
    <row r="18" spans="1:11" s="32" customFormat="1" ht="30.75" customHeight="1" x14ac:dyDescent="0.35">
      <c r="A18" s="105">
        <v>63</v>
      </c>
      <c r="B18" s="84" t="s">
        <v>44</v>
      </c>
      <c r="C18" s="64">
        <v>11319395.720000001</v>
      </c>
      <c r="D18" s="64">
        <v>27562896.359999999</v>
      </c>
      <c r="E18" s="65">
        <v>11022407.050000001</v>
      </c>
      <c r="F18" s="66">
        <v>12221637.210000001</v>
      </c>
      <c r="G18" s="51">
        <f>+C18+D18+E18+F18</f>
        <v>62126336.339999996</v>
      </c>
      <c r="H18" s="34"/>
      <c r="I18" s="330">
        <v>11192037.210000001</v>
      </c>
      <c r="J18" s="329">
        <f>+I18-Tableau11[[#This Row],[AZDU]]</f>
        <v>-1029600</v>
      </c>
    </row>
    <row r="19" spans="1:11" s="32" customFormat="1" ht="30.75" customHeight="1" thickBot="1" x14ac:dyDescent="0.4">
      <c r="A19" s="106">
        <v>64</v>
      </c>
      <c r="B19" s="82" t="s">
        <v>13</v>
      </c>
      <c r="C19" s="58">
        <v>61743.63</v>
      </c>
      <c r="D19" s="58">
        <v>1090738</v>
      </c>
      <c r="E19" s="59">
        <v>919737.25</v>
      </c>
      <c r="F19" s="60">
        <v>633763</v>
      </c>
      <c r="G19" s="58">
        <f>+C19+D19+E19+F19</f>
        <v>2705981.88</v>
      </c>
      <c r="H19" s="34"/>
      <c r="I19" s="330">
        <v>633763</v>
      </c>
      <c r="J19" s="329">
        <f>+I19-Tableau11[[#This Row],[AZDU]]</f>
        <v>0</v>
      </c>
    </row>
    <row r="20" spans="1:11" s="27" customFormat="1" ht="30.75" customHeight="1" thickBot="1" x14ac:dyDescent="0.4">
      <c r="A20" s="107" t="s">
        <v>14</v>
      </c>
      <c r="B20" s="85" t="s">
        <v>15</v>
      </c>
      <c r="C20" s="61">
        <f>+C17-C18-C19</f>
        <v>-11927686.870000001</v>
      </c>
      <c r="D20" s="61">
        <f>+D17-D18-D19</f>
        <v>8033732.4700000137</v>
      </c>
      <c r="E20" s="62">
        <f>+E17-E18-E19</f>
        <v>26634043.849999998</v>
      </c>
      <c r="F20" s="63">
        <f>+F17-F18-F19</f>
        <v>-718596.73000000417</v>
      </c>
      <c r="G20" s="61">
        <f>+G17-G18-G19</f>
        <v>22021492.720000032</v>
      </c>
      <c r="H20" s="34"/>
      <c r="I20" s="326">
        <v>1040980.0700000003</v>
      </c>
      <c r="J20" s="329">
        <f>+I20-Tableau11[[#This Row],[AZDU]]</f>
        <v>1759576.8000000045</v>
      </c>
    </row>
    <row r="21" spans="1:11" s="32" customFormat="1" ht="30.75" customHeight="1" x14ac:dyDescent="0.35">
      <c r="A21" s="105">
        <v>75</v>
      </c>
      <c r="B21" s="84" t="s">
        <v>16</v>
      </c>
      <c r="C21" s="51"/>
      <c r="D21" s="51">
        <v>55000.17</v>
      </c>
      <c r="E21" s="52"/>
      <c r="F21" s="53"/>
      <c r="G21" s="51">
        <f t="shared" ref="G21:G26" si="0">+C21+D21+E21+F21</f>
        <v>55000.17</v>
      </c>
      <c r="I21" s="330"/>
      <c r="J21" s="329">
        <f>+I21-Tableau11[[#This Row],[AZDU]]</f>
        <v>0</v>
      </c>
      <c r="K21" s="35"/>
    </row>
    <row r="22" spans="1:11" s="32" customFormat="1" ht="30.75" customHeight="1" x14ac:dyDescent="0.35">
      <c r="A22" s="109">
        <v>65</v>
      </c>
      <c r="B22" s="81" t="s">
        <v>17</v>
      </c>
      <c r="C22" s="54"/>
      <c r="D22" s="54">
        <v>0.25</v>
      </c>
      <c r="E22" s="55"/>
      <c r="F22" s="56"/>
      <c r="G22" s="54">
        <f t="shared" si="0"/>
        <v>0.25</v>
      </c>
      <c r="I22" s="330"/>
      <c r="J22" s="329">
        <f>+I22-Tableau11[[#This Row],[AZDU]]</f>
        <v>0</v>
      </c>
    </row>
    <row r="23" spans="1:11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I23" s="326"/>
      <c r="J23" s="329">
        <f>+I23-Tableau11[[#This Row],[AZDU]]</f>
        <v>0</v>
      </c>
    </row>
    <row r="24" spans="1:11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I24" s="326"/>
      <c r="J24" s="329">
        <f>+I24-Tableau11[[#This Row],[AZDU]]</f>
        <v>0</v>
      </c>
    </row>
    <row r="25" spans="1:11" s="32" customFormat="1" ht="30.75" customHeight="1" x14ac:dyDescent="0.35">
      <c r="A25" s="109">
        <v>68</v>
      </c>
      <c r="B25" s="81" t="s">
        <v>20</v>
      </c>
      <c r="C25" s="54">
        <v>1250639.04</v>
      </c>
      <c r="D25" s="54">
        <v>5866523.5099999998</v>
      </c>
      <c r="E25" s="55">
        <v>669987.09</v>
      </c>
      <c r="F25" s="56">
        <v>583001.41</v>
      </c>
      <c r="G25" s="57">
        <f t="shared" si="0"/>
        <v>8370151.0499999998</v>
      </c>
      <c r="I25" s="330">
        <v>583001.41</v>
      </c>
      <c r="J25" s="329">
        <f>+I25-Tableau11[[#This Row],[AZDU]]</f>
        <v>0</v>
      </c>
    </row>
    <row r="26" spans="1:11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I26" s="330"/>
      <c r="J26" s="329">
        <f>+I26-Tableau11[[#This Row],[AZDU]]</f>
        <v>0</v>
      </c>
    </row>
    <row r="27" spans="1:11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-13178325.91</v>
      </c>
      <c r="D27" s="61">
        <f>+D20+D21+D26-(D22+D23+D24+D25)</f>
        <v>2222208.8800000139</v>
      </c>
      <c r="E27" s="62">
        <f>+E20+E21+E26-(E22+E23+E24+E25)</f>
        <v>25964056.759999998</v>
      </c>
      <c r="F27" s="63">
        <f>+F20+F21+F26-(F22+F23+F24+F25)</f>
        <v>-1301598.1400000043</v>
      </c>
      <c r="G27" s="61">
        <f>+G20+G21+G26-(G22+G23+G24+G25)</f>
        <v>13706341.590000033</v>
      </c>
      <c r="I27" s="326">
        <v>457978.66000000027</v>
      </c>
      <c r="J27" s="329">
        <f>+I27-Tableau11[[#This Row],[AZDU]]</f>
        <v>1759576.8000000045</v>
      </c>
    </row>
    <row r="28" spans="1:11" s="32" customFormat="1" ht="30.75" customHeight="1" x14ac:dyDescent="0.35">
      <c r="A28" s="105">
        <v>76</v>
      </c>
      <c r="B28" s="84" t="s">
        <v>24</v>
      </c>
      <c r="C28" s="51"/>
      <c r="D28" s="51">
        <v>361738.87</v>
      </c>
      <c r="E28" s="52"/>
      <c r="F28" s="53">
        <v>18149.060000000001</v>
      </c>
      <c r="G28" s="51">
        <f>+C28+D28+E28+F28</f>
        <v>379887.93</v>
      </c>
      <c r="I28" s="330"/>
      <c r="J28" s="329">
        <f>+I28-Tableau11[[#This Row],[AZDU]]</f>
        <v>-18149.060000000001</v>
      </c>
    </row>
    <row r="29" spans="1:11" s="32" customFormat="1" ht="30.75" customHeight="1" thickBot="1" x14ac:dyDescent="0.4">
      <c r="A29" s="106">
        <v>66</v>
      </c>
      <c r="B29" s="82" t="s">
        <v>25</v>
      </c>
      <c r="C29" s="73">
        <v>1375455.65</v>
      </c>
      <c r="D29" s="58">
        <v>250296.38</v>
      </c>
      <c r="E29" s="59"/>
      <c r="F29" s="60"/>
      <c r="G29" s="58">
        <f>+C29+D29+E29+F29</f>
        <v>1625752.0299999998</v>
      </c>
      <c r="I29" s="330"/>
      <c r="J29" s="329">
        <f>+I29-Tableau11[[#This Row],[AZDU]]</f>
        <v>0</v>
      </c>
    </row>
    <row r="30" spans="1:11" s="27" customFormat="1" ht="30.75" customHeight="1" thickBot="1" x14ac:dyDescent="0.4">
      <c r="A30" s="107" t="s">
        <v>26</v>
      </c>
      <c r="B30" s="85" t="s">
        <v>27</v>
      </c>
      <c r="C30" s="61">
        <f>+C28-C29</f>
        <v>-1375455.65</v>
      </c>
      <c r="D30" s="61">
        <f>+D28-D29</f>
        <v>111442.48999999999</v>
      </c>
      <c r="E30" s="62">
        <f>+E28-E29</f>
        <v>0</v>
      </c>
      <c r="F30" s="63">
        <f>+F28-F29</f>
        <v>18149.060000000001</v>
      </c>
      <c r="G30" s="61">
        <f>+G28-G29</f>
        <v>-1245864.0999999999</v>
      </c>
      <c r="I30" s="326">
        <v>0</v>
      </c>
      <c r="J30" s="329">
        <f>+I30-Tableau11[[#This Row],[AZDU]]</f>
        <v>-18149.060000000001</v>
      </c>
    </row>
    <row r="31" spans="1:11" s="27" customFormat="1" ht="30.75" customHeight="1" thickBot="1" x14ac:dyDescent="0.4">
      <c r="A31" s="107" t="s">
        <v>28</v>
      </c>
      <c r="B31" s="85" t="s">
        <v>29</v>
      </c>
      <c r="C31" s="61">
        <f>+C27+C30</f>
        <v>-14553781.560000001</v>
      </c>
      <c r="D31" s="61">
        <f>+D27+D30</f>
        <v>2333651.3700000141</v>
      </c>
      <c r="E31" s="62">
        <f>+E27+E30</f>
        <v>25964056.759999998</v>
      </c>
      <c r="F31" s="63">
        <f>+F27+F30</f>
        <v>-1283449.0800000043</v>
      </c>
      <c r="G31" s="61">
        <f>+G27+G30</f>
        <v>12460477.490000034</v>
      </c>
      <c r="I31" s="326">
        <v>457978.66000000027</v>
      </c>
      <c r="J31" s="329">
        <f>+I31-Tableau11[[#This Row],[AZDU]]</f>
        <v>1741427.7400000044</v>
      </c>
    </row>
    <row r="32" spans="1:11" s="32" customFormat="1" ht="30.75" customHeight="1" x14ac:dyDescent="0.35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I32" s="330"/>
      <c r="J32" s="329">
        <f>+I32-Tableau11[[#This Row],[AZDU]]</f>
        <v>0</v>
      </c>
    </row>
    <row r="33" spans="1:10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I33" s="330"/>
      <c r="J33" s="329">
        <f>+I33-Tableau11[[#This Row],[AZDU]]</f>
        <v>0</v>
      </c>
    </row>
    <row r="34" spans="1:10" s="37" customFormat="1" ht="30.75" customHeight="1" x14ac:dyDescent="0.35">
      <c r="A34" s="110"/>
      <c r="B34" s="88" t="s">
        <v>45</v>
      </c>
      <c r="C34" s="74">
        <f>+C12+C21+C28+C26</f>
        <v>3000000</v>
      </c>
      <c r="D34" s="74">
        <f>+D12+D21+D28+D26</f>
        <v>195746215.50999999</v>
      </c>
      <c r="E34" s="75">
        <f>+E12+E21+E28+E26</f>
        <v>58678049.149999999</v>
      </c>
      <c r="F34" s="75">
        <f>+F12+F21+F28+F26</f>
        <v>49774370.170000002</v>
      </c>
      <c r="G34" s="74">
        <f>+G12+G21+G28+G26</f>
        <v>307198634.83000004</v>
      </c>
      <c r="I34" s="331">
        <v>49001171.359999999</v>
      </c>
      <c r="J34" s="329">
        <f>+I34-Tableau11[[#This Row],[AZDU]]</f>
        <v>-773198.81000000238</v>
      </c>
    </row>
    <row r="35" spans="1:10" s="37" customFormat="1" ht="30.75" customHeight="1" thickBot="1" x14ac:dyDescent="0.4">
      <c r="A35" s="111"/>
      <c r="B35" s="89" t="s">
        <v>46</v>
      </c>
      <c r="C35" s="73">
        <f>+C16+C18+C19+C25+C22+C29+C33+C32</f>
        <v>17553781.559999999</v>
      </c>
      <c r="D35" s="73">
        <f t="shared" ref="D35" si="1">+D16+D18+D19+D25+D22+D29+D33+D32</f>
        <v>193412564.13999999</v>
      </c>
      <c r="E35" s="77">
        <f t="shared" ref="E35:G35" si="2">+E16+E18+E19+E25+E22+E29+E33+E32</f>
        <v>32713992.390000001</v>
      </c>
      <c r="F35" s="77">
        <f t="shared" si="2"/>
        <v>51057819.25</v>
      </c>
      <c r="G35" s="73">
        <f t="shared" si="2"/>
        <v>294738157.33999997</v>
      </c>
      <c r="I35" s="331">
        <v>48543192.699999996</v>
      </c>
      <c r="J35" s="329">
        <f>+I35-Tableau11[[#This Row],[AZDU]]</f>
        <v>-2514626.5500000045</v>
      </c>
    </row>
    <row r="36" spans="1:10" s="27" customFormat="1" ht="30.75" customHeight="1" thickBot="1" x14ac:dyDescent="0.4">
      <c r="A36" s="107" t="s">
        <v>34</v>
      </c>
      <c r="B36" s="85" t="s">
        <v>35</v>
      </c>
      <c r="C36" s="61">
        <f>+C34-C35</f>
        <v>-14553781.559999999</v>
      </c>
      <c r="D36" s="61">
        <f>+D34-D35</f>
        <v>2333651.3700000048</v>
      </c>
      <c r="E36" s="62">
        <f>+E34-E35</f>
        <v>25964056.759999998</v>
      </c>
      <c r="F36" s="63">
        <f>+F34-F35</f>
        <v>-1283449.0799999982</v>
      </c>
      <c r="G36" s="61">
        <f>+G34-G35</f>
        <v>12460477.490000069</v>
      </c>
      <c r="I36" s="326">
        <v>457978.66000000387</v>
      </c>
      <c r="J36" s="329">
        <f>+I36-Tableau11[[#This Row],[AZDU]]</f>
        <v>1741427.7400000021</v>
      </c>
    </row>
    <row r="37" spans="1:10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I37" s="330">
        <v>0</v>
      </c>
      <c r="J37" s="329">
        <f>+I37-Tableau11[[#This Row],[AZDU]]</f>
        <v>0</v>
      </c>
    </row>
    <row r="38" spans="1:10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I38" s="330">
        <v>0</v>
      </c>
      <c r="J38" s="329">
        <f>+I38-Tableau11[[#This Row],[AZDU]]</f>
        <v>0</v>
      </c>
    </row>
    <row r="39" spans="1:10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I39" s="326"/>
      <c r="J39" s="329">
        <f>+I39-Tableau11[[#This Row],[AZDU]]</f>
        <v>0</v>
      </c>
    </row>
    <row r="40" spans="1:10" s="27" customFormat="1" ht="30.6" customHeight="1" x14ac:dyDescent="0.35">
      <c r="A40" s="115" t="s">
        <v>40</v>
      </c>
      <c r="B40" s="116" t="s">
        <v>41</v>
      </c>
      <c r="C40" s="117">
        <f>+C36</f>
        <v>-14553781.559999999</v>
      </c>
      <c r="D40" s="117">
        <f>+D36</f>
        <v>2333651.3700000048</v>
      </c>
      <c r="E40" s="118">
        <f>+E36</f>
        <v>25964056.759999998</v>
      </c>
      <c r="F40" s="119">
        <f>+F36</f>
        <v>-1283449.0799999982</v>
      </c>
      <c r="G40" s="117">
        <f>+G36</f>
        <v>12460477.490000069</v>
      </c>
      <c r="I40" s="326">
        <v>457978.66000000387</v>
      </c>
      <c r="J40" s="329">
        <f>+I40-Tableau11[[#This Row],[AZDU]]</f>
        <v>1741427.7400000021</v>
      </c>
    </row>
    <row r="41" spans="1:10" s="27" customFormat="1" ht="11.4" customHeight="1" x14ac:dyDescent="0.35">
      <c r="A41" s="90"/>
      <c r="B41" s="90"/>
      <c r="C41" s="91"/>
      <c r="D41" s="91"/>
      <c r="E41" s="91"/>
      <c r="F41" s="91"/>
      <c r="G41" s="91"/>
      <c r="I41" s="326"/>
      <c r="J41" s="329" t="e">
        <f>+I41-Tableau11[[#This Row],[AZDU]]</f>
        <v>#VALUE!</v>
      </c>
    </row>
    <row r="42" spans="1:10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I42" s="326"/>
      <c r="J42" s="327"/>
    </row>
    <row r="43" spans="1:10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1.790800254765448</v>
      </c>
      <c r="E43" s="95">
        <f>+E12/E7</f>
        <v>0.64431268926768215</v>
      </c>
      <c r="F43" s="95">
        <f>+F12/F7</f>
        <v>0.78692940632729091</v>
      </c>
      <c r="G43" s="95">
        <f>+G12/G7</f>
        <v>1.1516325909548797</v>
      </c>
      <c r="I43" s="331"/>
      <c r="J43" s="332"/>
    </row>
    <row r="44" spans="1:10" s="37" customFormat="1" ht="18" x14ac:dyDescent="0.35">
      <c r="A44" s="92">
        <v>2</v>
      </c>
      <c r="B44" s="93" t="s">
        <v>53</v>
      </c>
      <c r="C44" s="94">
        <f>+C13/C7</f>
        <v>0.10165896999999999</v>
      </c>
      <c r="D44" s="95">
        <f>+D13/D7</f>
        <v>1.4060175023654025</v>
      </c>
      <c r="E44" s="95">
        <f>+E13/E7</f>
        <v>0.18346711606893371</v>
      </c>
      <c r="F44" s="95">
        <f>+F13/F7</f>
        <v>0.53511950014309351</v>
      </c>
      <c r="G44" s="95">
        <f>+G13/G7</f>
        <v>0.76662412140241454</v>
      </c>
      <c r="I44" s="331"/>
      <c r="J44" s="332"/>
    </row>
    <row r="45" spans="1:10" s="37" customFormat="1" ht="18" x14ac:dyDescent="0.35">
      <c r="A45" s="92">
        <v>3</v>
      </c>
      <c r="B45" s="93" t="s">
        <v>56</v>
      </c>
      <c r="C45" s="94">
        <f>+C13/C12</f>
        <v>0.10165896999999999</v>
      </c>
      <c r="D45" s="95">
        <f>+D13/D12</f>
        <v>0.78513362873602954</v>
      </c>
      <c r="E45" s="95">
        <f>+E13/E12</f>
        <v>0.2847485687073153</v>
      </c>
      <c r="F45" s="95">
        <f>+F13/F12</f>
        <v>0.68000953559553801</v>
      </c>
      <c r="G45" s="95">
        <f>+G13/G12</f>
        <v>0.66568463538077338</v>
      </c>
      <c r="I45" s="331"/>
      <c r="J45" s="332"/>
    </row>
    <row r="46" spans="1:10" s="37" customFormat="1" ht="18" x14ac:dyDescent="0.35">
      <c r="A46" s="92">
        <v>4</v>
      </c>
      <c r="B46" s="93" t="s">
        <v>57</v>
      </c>
      <c r="C46" s="94">
        <f>+C16/C12</f>
        <v>1.1821825066666667</v>
      </c>
      <c r="D46" s="95">
        <f>+D16/D12</f>
        <v>0.81217700731597109</v>
      </c>
      <c r="E46" s="95">
        <f>+E16/E12</f>
        <v>0.34257889093437932</v>
      </c>
      <c r="F46" s="95">
        <f>+F16/F12</f>
        <v>0.75607465339523661</v>
      </c>
      <c r="G46" s="95">
        <f>+G16/G12</f>
        <v>0.71687068023574196</v>
      </c>
      <c r="I46" s="331"/>
      <c r="J46" s="332"/>
    </row>
    <row r="47" spans="1:10" s="37" customFormat="1" ht="18" x14ac:dyDescent="0.35">
      <c r="A47" s="92">
        <v>5</v>
      </c>
      <c r="B47" s="93" t="s">
        <v>58</v>
      </c>
      <c r="C47" s="94">
        <f>+C18/C12</f>
        <v>3.7731319066666669</v>
      </c>
      <c r="D47" s="95">
        <f>+D18/D12</f>
        <v>0.14110976416932799</v>
      </c>
      <c r="E47" s="95">
        <f>+E18/E12</f>
        <v>0.18784549264450112</v>
      </c>
      <c r="F47" s="95">
        <f>+F18/F12</f>
        <v>0.24563033400347395</v>
      </c>
      <c r="G47" s="95">
        <f>+G18/G12</f>
        <v>0.20252176798023291</v>
      </c>
      <c r="I47" s="331"/>
      <c r="J47" s="332"/>
    </row>
    <row r="48" spans="1:10" s="37" customFormat="1" ht="18" x14ac:dyDescent="0.35">
      <c r="A48" s="92">
        <v>6</v>
      </c>
      <c r="B48" s="93" t="s">
        <v>54</v>
      </c>
      <c r="C48" s="94">
        <f>+C17/C18</f>
        <v>-4.8284160525841217E-2</v>
      </c>
      <c r="D48" s="95">
        <f>+D17/D18</f>
        <v>1.3310417871483813</v>
      </c>
      <c r="E48" s="95">
        <f>+E17/E18</f>
        <v>3.4997970928682038</v>
      </c>
      <c r="F48" s="95">
        <f>+F17/F18</f>
        <v>0.9930587262129994</v>
      </c>
      <c r="G48" s="95">
        <f>+G17/G18</f>
        <v>1.3980191985677943</v>
      </c>
      <c r="I48" s="331"/>
      <c r="J48" s="332"/>
    </row>
    <row r="49" spans="1:10" s="37" customFormat="1" ht="18" x14ac:dyDescent="0.35">
      <c r="A49" s="92">
        <v>7</v>
      </c>
      <c r="B49" s="93" t="s">
        <v>55</v>
      </c>
      <c r="C49" s="94">
        <f>+C20/C12</f>
        <v>-3.9758956233333338</v>
      </c>
      <c r="D49" s="95">
        <f>+D20/D12</f>
        <v>4.1129135321436687E-2</v>
      </c>
      <c r="E49" s="95">
        <f>+E20/E12</f>
        <v>0.45390131805361833</v>
      </c>
      <c r="F49" s="95">
        <f>+F20/F12</f>
        <v>-1.444234939810533E-2</v>
      </c>
      <c r="G49" s="95">
        <f>+G20/G12</f>
        <v>7.1786490270580719E-2</v>
      </c>
      <c r="I49" s="331"/>
      <c r="J49" s="332"/>
    </row>
    <row r="50" spans="1:10" ht="15.6" x14ac:dyDescent="0.3">
      <c r="A50" s="90"/>
      <c r="B50" s="90"/>
      <c r="C50" s="96"/>
      <c r="D50" s="96"/>
      <c r="E50" s="96"/>
      <c r="F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S3:T3"/>
    <mergeCell ref="A5:G5"/>
    <mergeCell ref="T1:U1"/>
    <mergeCell ref="T2:U2"/>
  </mergeCells>
  <conditionalFormatting sqref="C43:G1048576 D41:G41">
    <cfRule type="cellIs" dxfId="93" priority="25" operator="lessThan">
      <formula>-0.01</formula>
    </cfRule>
  </conditionalFormatting>
  <conditionalFormatting sqref="C41">
    <cfRule type="cellIs" dxfId="92" priority="24" operator="lessThan">
      <formula>-0.01</formula>
    </cfRule>
  </conditionalFormatting>
  <conditionalFormatting sqref="D6:F6">
    <cfRule type="cellIs" dxfId="91" priority="18" operator="lessThan">
      <formula>-0.01</formula>
    </cfRule>
  </conditionalFormatting>
  <conditionalFormatting sqref="C6">
    <cfRule type="cellIs" dxfId="90" priority="17" operator="lessThan">
      <formula>-0.01</formula>
    </cfRule>
  </conditionalFormatting>
  <conditionalFormatting sqref="G6">
    <cfRule type="cellIs" dxfId="89" priority="16" operator="lessThan">
      <formula>-0.01</formula>
    </cfRule>
  </conditionalFormatting>
  <conditionalFormatting sqref="D1:G2 D4:G4">
    <cfRule type="cellIs" dxfId="88" priority="15" operator="lessThan">
      <formula>-0.01</formula>
    </cfRule>
  </conditionalFormatting>
  <conditionalFormatting sqref="C1:C2 C4">
    <cfRule type="cellIs" dxfId="87" priority="14" operator="lessThan">
      <formula>-0.01</formula>
    </cfRule>
  </conditionalFormatting>
  <conditionalFormatting sqref="D3:G3">
    <cfRule type="cellIs" dxfId="86" priority="13" operator="lessThan">
      <formula>-0.01</formula>
    </cfRule>
  </conditionalFormatting>
  <conditionalFormatting sqref="C3">
    <cfRule type="cellIs" dxfId="85" priority="12" operator="lessThan">
      <formula>-0.01</formula>
    </cfRule>
  </conditionalFormatting>
  <conditionalFormatting sqref="D40">
    <cfRule type="cellIs" dxfId="84" priority="7" operator="lessThan">
      <formula>-0.01</formula>
    </cfRule>
  </conditionalFormatting>
  <conditionalFormatting sqref="C7:C40">
    <cfRule type="cellIs" dxfId="83" priority="6" operator="lessThan">
      <formula>-0.01</formula>
    </cfRule>
  </conditionalFormatting>
  <conditionalFormatting sqref="G7:G40">
    <cfRule type="cellIs" dxfId="82" priority="5" operator="lessThan">
      <formula>-0.01</formula>
    </cfRule>
  </conditionalFormatting>
  <conditionalFormatting sqref="E7:F33 E36:F40 E34:E35">
    <cfRule type="cellIs" dxfId="81" priority="3" operator="lessThan">
      <formula>-0.01</formula>
    </cfRule>
  </conditionalFormatting>
  <conditionalFormatting sqref="F34:F35">
    <cfRule type="cellIs" dxfId="80" priority="2" operator="lessThan">
      <formula>-0.01</formula>
    </cfRule>
  </conditionalFormatting>
  <conditionalFormatting sqref="D7:D39">
    <cfRule type="cellIs" dxfId="79" priority="1" operator="lessThan">
      <formula>-0.01</formula>
    </cfRule>
  </conditionalFormatting>
  <pageMargins left="0.14000000000000001" right="0.11" top="0.16" bottom="0.16" header="0.16" footer="0"/>
  <pageSetup paperSize="9" scale="51" orientation="portrait" r:id="rId1"/>
  <drawing r:id="rId2"/>
  <legacyDrawing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90" zoomScaleNormal="50" zoomScaleSheetLayoutView="90" workbookViewId="0">
      <pane xSplit="2" ySplit="6" topLeftCell="C34" activePane="bottomRight" state="frozen"/>
      <selection activeCell="C5" sqref="C5:D5"/>
      <selection pane="topRight" activeCell="C5" sqref="C5:D5"/>
      <selection pane="bottomLeft" activeCell="C5" sqref="C5:D5"/>
      <selection pane="bottomRight" activeCell="F21" sqref="F21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7" width="19.77734375" style="3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40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44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4">
      <c r="A3" s="46"/>
      <c r="B3" s="47"/>
      <c r="C3" s="48"/>
      <c r="D3" s="48"/>
      <c r="E3" s="48"/>
      <c r="F3" s="48"/>
      <c r="G3" s="99"/>
      <c r="H3" s="46"/>
      <c r="I3" s="184"/>
      <c r="J3" s="185"/>
      <c r="K3" s="46"/>
      <c r="L3" s="46"/>
      <c r="M3" s="46"/>
      <c r="Q3" s="46"/>
      <c r="R3" s="46"/>
      <c r="S3" s="346"/>
      <c r="T3" s="3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50"/>
      <c r="H4" s="5"/>
    </row>
    <row r="5" spans="1:31" ht="29.4" thickBot="1" x14ac:dyDescent="0.6">
      <c r="A5" s="347" t="s">
        <v>99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>
        <v>3000000</v>
      </c>
      <c r="D7" s="51">
        <v>126884353.98999999</v>
      </c>
      <c r="E7" s="52">
        <v>78890960.180000007</v>
      </c>
      <c r="F7" s="53">
        <v>85460444.840000004</v>
      </c>
      <c r="G7" s="51">
        <f>+C7+D7+E7+F7</f>
        <v>294235759.00999999</v>
      </c>
      <c r="H7" s="28"/>
    </row>
    <row r="8" spans="1:31" s="29" customFormat="1" ht="30.75" customHeight="1" x14ac:dyDescent="0.35">
      <c r="A8" s="102"/>
      <c r="B8" s="80" t="s">
        <v>42</v>
      </c>
      <c r="C8" s="54"/>
      <c r="D8" s="54"/>
      <c r="E8" s="55"/>
      <c r="F8" s="56"/>
      <c r="G8" s="51">
        <f>+C8+D8+E8+F8</f>
        <v>0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/>
      <c r="D9" s="57">
        <v>29423059.300000001</v>
      </c>
      <c r="E9" s="55">
        <v>-22267906.52</v>
      </c>
      <c r="F9" s="56">
        <v>-28494216.649999999</v>
      </c>
      <c r="G9" s="51">
        <f>+C9+D9+E9+F9</f>
        <v>-21339063.869999997</v>
      </c>
      <c r="H9" s="26"/>
    </row>
    <row r="10" spans="1:31" s="27" customFormat="1" ht="30.75" customHeight="1" x14ac:dyDescent="0.35">
      <c r="A10" s="102"/>
      <c r="B10" s="81" t="s">
        <v>4</v>
      </c>
      <c r="C10" s="54"/>
      <c r="D10" s="54">
        <v>374097.95</v>
      </c>
      <c r="E10" s="55"/>
      <c r="F10" s="56"/>
      <c r="G10" s="51">
        <f>+C10+D10+E10+F10</f>
        <v>374097.95</v>
      </c>
      <c r="H10" s="26"/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3000000</v>
      </c>
      <c r="D12" s="61">
        <f>SUM(D7:D11)</f>
        <v>156681511.23999998</v>
      </c>
      <c r="E12" s="62">
        <f>SUM(E7:E11)</f>
        <v>56623053.660000011</v>
      </c>
      <c r="F12" s="63">
        <f>SUM(F7:F11)</f>
        <v>56966228.190000005</v>
      </c>
      <c r="G12" s="61">
        <f>SUM(G7:G11)</f>
        <v>273270793.08999997</v>
      </c>
      <c r="H12" s="186"/>
    </row>
    <row r="13" spans="1:31" s="32" customFormat="1" ht="30.75" customHeight="1" x14ac:dyDescent="0.35">
      <c r="A13" s="105">
        <v>60</v>
      </c>
      <c r="B13" s="84" t="s">
        <v>7</v>
      </c>
      <c r="C13" s="51">
        <v>466460.47</v>
      </c>
      <c r="D13" s="64">
        <v>103320591.23</v>
      </c>
      <c r="E13" s="65">
        <v>21478970.510000002</v>
      </c>
      <c r="F13" s="66">
        <v>35947143.630000003</v>
      </c>
      <c r="G13" s="51">
        <f>+C13+D13+E13+F13</f>
        <v>161213165.84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v>3255934.83</v>
      </c>
      <c r="D14" s="58">
        <v>5342824.8899999997</v>
      </c>
      <c r="E14" s="59">
        <v>3769959.54</v>
      </c>
      <c r="F14" s="60">
        <v>4295809.37</v>
      </c>
      <c r="G14" s="58">
        <f>+C14+D14+E14+F14</f>
        <v>16664528.629999999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112"/>
      <c r="D15" s="112"/>
      <c r="E15" s="231"/>
      <c r="F15" s="232"/>
      <c r="G15" s="58">
        <f>+C15+D15+E15+F15</f>
        <v>0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3722395.3</v>
      </c>
      <c r="D16" s="61">
        <f>+D13+D14+D15</f>
        <v>108663416.12</v>
      </c>
      <c r="E16" s="62">
        <f>+E13+E14+E15</f>
        <v>25248930.050000001</v>
      </c>
      <c r="F16" s="63">
        <f>+F13+F14+F15</f>
        <v>40242953</v>
      </c>
      <c r="G16" s="61">
        <f>+G13+G14+G15</f>
        <v>177877694.47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-722395.29999999981</v>
      </c>
      <c r="D17" s="67">
        <f>+D12-D16</f>
        <v>48018095.119999975</v>
      </c>
      <c r="E17" s="68">
        <f>+E12-E16</f>
        <v>31374123.610000011</v>
      </c>
      <c r="F17" s="69">
        <f>+F12-F16</f>
        <v>16723275.190000005</v>
      </c>
      <c r="G17" s="67">
        <f>+G12-G16</f>
        <v>95393098.619999975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v>16422787.449999999</v>
      </c>
      <c r="D18" s="64">
        <v>27309523.579999998</v>
      </c>
      <c r="E18" s="65">
        <v>11392522.939999999</v>
      </c>
      <c r="F18" s="66">
        <v>10947747.039999999</v>
      </c>
      <c r="G18" s="51">
        <f>+C18+D18+E18+F18</f>
        <v>66072581.009999998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v>65111.85</v>
      </c>
      <c r="D19" s="58">
        <v>1268843</v>
      </c>
      <c r="E19" s="59">
        <v>795666</v>
      </c>
      <c r="F19" s="60">
        <v>2845524</v>
      </c>
      <c r="G19" s="58">
        <f>+C19+D19+E19+F19</f>
        <v>4975144.8499999996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-17210294.600000001</v>
      </c>
      <c r="D20" s="61">
        <f>+D17-D18-D19</f>
        <v>19439728.539999977</v>
      </c>
      <c r="E20" s="62">
        <f>+E17-E18-E19</f>
        <v>19185934.670000009</v>
      </c>
      <c r="F20" s="63">
        <f>+F17-F18-F19</f>
        <v>2930004.150000006</v>
      </c>
      <c r="G20" s="61">
        <f>+G17-G18-G19</f>
        <v>24345372.759999976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v>317295.90000000002</v>
      </c>
      <c r="D21" s="51">
        <v>34401.980000000003</v>
      </c>
      <c r="E21" s="52"/>
      <c r="F21" s="53">
        <v>33355.980000000003</v>
      </c>
      <c r="G21" s="51">
        <f t="shared" ref="G21:G26" si="0">+C21+D21+E21+F21</f>
        <v>385053.86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v>236022.24</v>
      </c>
      <c r="D22" s="54"/>
      <c r="E22" s="55">
        <v>561266.86</v>
      </c>
      <c r="F22" s="56"/>
      <c r="G22" s="54">
        <f t="shared" si="0"/>
        <v>797289.1</v>
      </c>
      <c r="H22" s="31"/>
    </row>
    <row r="23" spans="1:12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v>1017407.5</v>
      </c>
      <c r="D25" s="54">
        <v>5866520.5999999996</v>
      </c>
      <c r="E25" s="55">
        <v>669987.09</v>
      </c>
      <c r="F25" s="56">
        <v>585346.31000000006</v>
      </c>
      <c r="G25" s="57">
        <f t="shared" si="0"/>
        <v>8139261.5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-18146428.440000001</v>
      </c>
      <c r="D27" s="61">
        <f>+D20+D21+D26-(D22+D23+D24+D25)</f>
        <v>13607609.919999978</v>
      </c>
      <c r="E27" s="62">
        <f>+E20+E21+E26-(E22+E23+E24+E25)</f>
        <v>17954680.72000001</v>
      </c>
      <c r="F27" s="63">
        <f>+F20+F21+F26-(F22+F23+F24+F25)</f>
        <v>2378013.8200000059</v>
      </c>
      <c r="G27" s="61">
        <f>+G20+G21+G26-(G22+G23+G24+G25)</f>
        <v>15793876.019999975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/>
      <c r="D28" s="51"/>
      <c r="E28" s="52"/>
      <c r="F28" s="53"/>
      <c r="G28" s="51">
        <f>+C28+D28+E28+F28</f>
        <v>0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/>
      <c r="D29" s="58"/>
      <c r="E29" s="59"/>
      <c r="F29" s="60"/>
      <c r="G29" s="58">
        <f>+C29+D29+E29+F29</f>
        <v>0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0</v>
      </c>
      <c r="D30" s="61">
        <f>+D28-D29</f>
        <v>0</v>
      </c>
      <c r="E30" s="62">
        <f>+E28-E29</f>
        <v>0</v>
      </c>
      <c r="F30" s="63">
        <f>+F28-F29</f>
        <v>0</v>
      </c>
      <c r="G30" s="61">
        <f>+G28-G29</f>
        <v>0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-18146428.440000001</v>
      </c>
      <c r="D31" s="61">
        <f>+D27+D30</f>
        <v>13607609.919999978</v>
      </c>
      <c r="E31" s="62">
        <f>+E27+E30</f>
        <v>17954680.72000001</v>
      </c>
      <c r="F31" s="63">
        <f>+F27+F30</f>
        <v>2378013.8200000059</v>
      </c>
      <c r="G31" s="61">
        <f>+G27+G30</f>
        <v>15793876.019999975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3317295.9</v>
      </c>
      <c r="D34" s="74">
        <f>+D12+D21+D28+D26</f>
        <v>156715913.21999997</v>
      </c>
      <c r="E34" s="75">
        <f>+E12+E21+E28+E26</f>
        <v>56623053.660000011</v>
      </c>
      <c r="F34" s="75">
        <f>+F12+F21+F28+F26</f>
        <v>56999584.170000002</v>
      </c>
      <c r="G34" s="74">
        <f>+G12+G21+G28+G26</f>
        <v>273655846.94999999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21463724.34</v>
      </c>
      <c r="D35" s="73">
        <f t="shared" ref="D35:F35" si="1">+D16+D18+D19+D25+D22+D29+D33+D32</f>
        <v>143108303.29999998</v>
      </c>
      <c r="E35" s="77">
        <f>+E16+E18+E19+E25+E22+E29+E33+E32</f>
        <v>38668372.940000005</v>
      </c>
      <c r="F35" s="77">
        <f t="shared" si="1"/>
        <v>54621570.350000001</v>
      </c>
      <c r="G35" s="73">
        <f t="shared" ref="G35" si="2">+G16+G18+G19+G25+G22+G29+G33+G32</f>
        <v>257861970.92999998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-18146428.440000001</v>
      </c>
      <c r="D36" s="61">
        <f>+D34-D35</f>
        <v>13607609.919999987</v>
      </c>
      <c r="E36" s="62">
        <f>+E34-E35</f>
        <v>17954680.720000006</v>
      </c>
      <c r="F36" s="63">
        <f>+F34-F35</f>
        <v>2378013.8200000003</v>
      </c>
      <c r="G36" s="61">
        <f>+G34-G35</f>
        <v>15793876.020000011</v>
      </c>
      <c r="H36" s="186"/>
    </row>
    <row r="37" spans="1:8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-18146428.440000001</v>
      </c>
      <c r="D40" s="117">
        <f>+D36</f>
        <v>13607609.919999987</v>
      </c>
      <c r="E40" s="118">
        <f>+E36</f>
        <v>17954680.720000006</v>
      </c>
      <c r="F40" s="119">
        <f>+F36</f>
        <v>2378013.8200000003</v>
      </c>
      <c r="G40" s="117">
        <f>+G36</f>
        <v>15793876.020000011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1.2348371277702872</v>
      </c>
      <c r="E43" s="95">
        <f>+E12/E7</f>
        <v>0.71773817343339641</v>
      </c>
      <c r="F43" s="95">
        <f>+F12/F7</f>
        <v>0.66658005696849354</v>
      </c>
      <c r="G43" s="95">
        <f>+G12/G7</f>
        <v>0.92874772940399986</v>
      </c>
      <c r="H43" s="187"/>
    </row>
    <row r="44" spans="1:8" s="37" customFormat="1" ht="18" x14ac:dyDescent="0.35">
      <c r="A44" s="92">
        <v>2</v>
      </c>
      <c r="B44" s="93" t="s">
        <v>53</v>
      </c>
      <c r="C44" s="94">
        <f>+C13/C7</f>
        <v>0.15548682333333333</v>
      </c>
      <c r="D44" s="95">
        <f>+D13/D7</f>
        <v>0.81428945319879942</v>
      </c>
      <c r="E44" s="95">
        <f>+E13/E7</f>
        <v>0.27226149182356169</v>
      </c>
      <c r="F44" s="95">
        <f>+F13/F7</f>
        <v>0.42062902547840286</v>
      </c>
      <c r="G44" s="95">
        <f>+G13/G7</f>
        <v>0.54790473592477573</v>
      </c>
      <c r="H44" s="187"/>
    </row>
    <row r="45" spans="1:8" s="37" customFormat="1" ht="18" x14ac:dyDescent="0.35">
      <c r="A45" s="92">
        <v>3</v>
      </c>
      <c r="B45" s="93" t="s">
        <v>56</v>
      </c>
      <c r="C45" s="94">
        <f>+C13/C12</f>
        <v>0.15548682333333333</v>
      </c>
      <c r="D45" s="95">
        <f>+D13/D12</f>
        <v>0.65943065274457724</v>
      </c>
      <c r="E45" s="95">
        <f>+E13/E12</f>
        <v>0.37933260609668074</v>
      </c>
      <c r="F45" s="95">
        <f>+F13/F12</f>
        <v>0.63102551761203407</v>
      </c>
      <c r="G45" s="95">
        <f>+G13/G12</f>
        <v>0.58993924677089615</v>
      </c>
      <c r="H45" s="187"/>
    </row>
    <row r="46" spans="1:8" s="37" customFormat="1" ht="18" x14ac:dyDescent="0.35">
      <c r="A46" s="92">
        <v>4</v>
      </c>
      <c r="B46" s="93" t="s">
        <v>57</v>
      </c>
      <c r="C46" s="94">
        <f>+C16/C12</f>
        <v>1.2407984333333333</v>
      </c>
      <c r="D46" s="95">
        <f>+D16/D12</f>
        <v>0.69353055928566254</v>
      </c>
      <c r="E46" s="95">
        <f>+E16/E12</f>
        <v>0.44591254653290624</v>
      </c>
      <c r="F46" s="95">
        <f>+F16/F12</f>
        <v>0.7064352736462961</v>
      </c>
      <c r="G46" s="95">
        <f>+G16/G12</f>
        <v>0.65092098741564797</v>
      </c>
      <c r="H46" s="187"/>
    </row>
    <row r="47" spans="1:8" s="37" customFormat="1" ht="18" x14ac:dyDescent="0.35">
      <c r="A47" s="92">
        <v>5</v>
      </c>
      <c r="B47" s="93" t="s">
        <v>58</v>
      </c>
      <c r="C47" s="94">
        <f>+C18/C12</f>
        <v>5.4742624833333329</v>
      </c>
      <c r="D47" s="95">
        <f>+D18/D12</f>
        <v>0.17429959261860897</v>
      </c>
      <c r="E47" s="95">
        <f>+E18/E12</f>
        <v>0.20119937381702838</v>
      </c>
      <c r="F47" s="95">
        <f>+F18/F12</f>
        <v>0.1921796016314416</v>
      </c>
      <c r="G47" s="95">
        <f>+G18/G12</f>
        <v>0.24178427655179169</v>
      </c>
      <c r="H47" s="187"/>
    </row>
    <row r="48" spans="1:8" s="37" customFormat="1" ht="18" x14ac:dyDescent="0.35">
      <c r="A48" s="92">
        <v>6</v>
      </c>
      <c r="B48" s="93" t="s">
        <v>54</v>
      </c>
      <c r="C48" s="94">
        <f>+C17/C18</f>
        <v>-4.3987374384486709E-2</v>
      </c>
      <c r="D48" s="95">
        <f>+D17/D18</f>
        <v>1.7582912048735191</v>
      </c>
      <c r="E48" s="95">
        <f>+E17/E18</f>
        <v>2.7539223554988963</v>
      </c>
      <c r="F48" s="95">
        <f>+F17/F18</f>
        <v>1.5275540372734084</v>
      </c>
      <c r="G48" s="95">
        <f>+G17/G18</f>
        <v>1.4437622560190642</v>
      </c>
      <c r="H48" s="187"/>
    </row>
    <row r="49" spans="1:8" s="37" customFormat="1" ht="18" x14ac:dyDescent="0.35">
      <c r="A49" s="92">
        <v>7</v>
      </c>
      <c r="B49" s="93" t="s">
        <v>55</v>
      </c>
      <c r="C49" s="94">
        <f>+C20/C12</f>
        <v>-5.7367648666666673</v>
      </c>
      <c r="D49" s="95">
        <f>+D20/D12</f>
        <v>0.12407161755175307</v>
      </c>
      <c r="E49" s="95">
        <f>+E20/E12</f>
        <v>0.33883609996034969</v>
      </c>
      <c r="F49" s="95">
        <f>+F20/F12</f>
        <v>5.1434055634288003E-2</v>
      </c>
      <c r="G49" s="95">
        <f>+G20/G12</f>
        <v>8.9088820962955909E-2</v>
      </c>
      <c r="H49" s="187"/>
    </row>
    <row r="50" spans="1:8" x14ac:dyDescent="0.55000000000000004">
      <c r="A50" s="90"/>
      <c r="B50" s="90"/>
      <c r="C50" s="96"/>
      <c r="D50" s="96"/>
      <c r="E50" s="96"/>
      <c r="F50" s="96"/>
      <c r="G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T1:U1"/>
    <mergeCell ref="T2:U2"/>
    <mergeCell ref="A5:G5"/>
    <mergeCell ref="S3:T3"/>
  </mergeCells>
  <conditionalFormatting sqref="D1:G2 C43:G1048576 D41:G41 D4:G4">
    <cfRule type="cellIs" dxfId="78" priority="20" operator="lessThan">
      <formula>-0.01</formula>
    </cfRule>
  </conditionalFormatting>
  <conditionalFormatting sqref="C1:C2 C41 C4">
    <cfRule type="cellIs" dxfId="77" priority="19" operator="lessThan">
      <formula>-0.01</formula>
    </cfRule>
  </conditionalFormatting>
  <conditionalFormatting sqref="C6">
    <cfRule type="cellIs" dxfId="76" priority="14" operator="lessThan">
      <formula>-0.01</formula>
    </cfRule>
  </conditionalFormatting>
  <conditionalFormatting sqref="D6:F6">
    <cfRule type="cellIs" dxfId="75" priority="15" operator="lessThan">
      <formula>-0.01</formula>
    </cfRule>
  </conditionalFormatting>
  <conditionalFormatting sqref="G6">
    <cfRule type="cellIs" dxfId="74" priority="13" operator="lessThan">
      <formula>-0.01</formula>
    </cfRule>
  </conditionalFormatting>
  <conditionalFormatting sqref="D3:G3">
    <cfRule type="cellIs" dxfId="73" priority="12" operator="lessThan">
      <formula>-0.01</formula>
    </cfRule>
  </conditionalFormatting>
  <conditionalFormatting sqref="C3">
    <cfRule type="cellIs" dxfId="72" priority="11" operator="lessThan">
      <formula>-0.01</formula>
    </cfRule>
  </conditionalFormatting>
  <conditionalFormatting sqref="G7:G40">
    <cfRule type="cellIs" dxfId="71" priority="8" operator="lessThan">
      <formula>-0.01</formula>
    </cfRule>
  </conditionalFormatting>
  <conditionalFormatting sqref="D7:F33 D36:F40 D34:E35">
    <cfRule type="cellIs" dxfId="70" priority="3" operator="lessThan">
      <formula>-0.01</formula>
    </cfRule>
  </conditionalFormatting>
  <conditionalFormatting sqref="C7:C40">
    <cfRule type="cellIs" dxfId="69" priority="2" operator="lessThan">
      <formula>-0.01</formula>
    </cfRule>
  </conditionalFormatting>
  <conditionalFormatting sqref="F34:F35">
    <cfRule type="cellIs" dxfId="68" priority="1" operator="lessThan">
      <formula>-0.01</formula>
    </cfRule>
  </conditionalFormatting>
  <pageMargins left="0.14000000000000001" right="0.11" top="0.16" bottom="0.16" header="0.16" footer="0"/>
  <pageSetup paperSize="9" scale="48" orientation="portrait" r:id="rId1"/>
  <drawing r:id="rId2"/>
  <legacy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90" zoomScaleNormal="50" zoomScaleSheetLayoutView="90" workbookViewId="0">
      <pane xSplit="2" ySplit="6" topLeftCell="C36" activePane="bottomRight" state="frozen"/>
      <selection activeCell="C5" sqref="C5:D5"/>
      <selection pane="topRight" activeCell="C5" sqref="C5:D5"/>
      <selection pane="bottomLeft" activeCell="C5" sqref="C5:D5"/>
      <selection pane="bottomRight" activeCell="C1" sqref="C1:C4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>
        <f>+C40/1000000</f>
        <v>-17.957960580000002</v>
      </c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98">
        <f>+D40/1000000</f>
        <v>21.123236630000026</v>
      </c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227">
        <f>+E40/1000000</f>
        <v>27.012702609999991</v>
      </c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>
        <f>+F40/1000000</f>
        <v>-1.5470718500000089</v>
      </c>
      <c r="D4" s="50"/>
      <c r="E4" s="50"/>
      <c r="F4" s="50"/>
      <c r="G4" s="100"/>
      <c r="H4" s="5"/>
    </row>
    <row r="5" spans="1:31" ht="29.4" thickBot="1" x14ac:dyDescent="0.6">
      <c r="A5" s="347" t="s">
        <v>100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362" t="s">
        <v>146</v>
      </c>
      <c r="I6" s="362" t="s">
        <v>147</v>
      </c>
    </row>
    <row r="7" spans="1:31" s="29" customFormat="1" ht="30.75" customHeight="1" thickBot="1" x14ac:dyDescent="0.4">
      <c r="A7" s="101"/>
      <c r="B7" s="79" t="s">
        <v>2</v>
      </c>
      <c r="C7" s="51">
        <v>4350000</v>
      </c>
      <c r="D7" s="51">
        <v>148347636.41999999</v>
      </c>
      <c r="E7" s="52">
        <v>103352877.61</v>
      </c>
      <c r="F7" s="53">
        <v>78511679.829999998</v>
      </c>
      <c r="G7" s="51">
        <f>+C7+D7+E7+F7</f>
        <v>334562193.85999995</v>
      </c>
      <c r="H7" s="360" t="e">
        <f>+Tableau13[[#This Row],[ENTREPRISE]]/G3</f>
        <v>#DIV/0!</v>
      </c>
      <c r="I7" s="360">
        <f>+Tableau13[[#This Row],[ENTREPRISE]]/1000000</f>
        <v>334.56219385999998</v>
      </c>
    </row>
    <row r="8" spans="1:31" s="29" customFormat="1" ht="30.75" customHeight="1" thickBot="1" x14ac:dyDescent="0.4">
      <c r="A8" s="102"/>
      <c r="B8" s="80" t="s">
        <v>42</v>
      </c>
      <c r="C8" s="54"/>
      <c r="D8" s="54">
        <v>925372.58</v>
      </c>
      <c r="E8" s="55"/>
      <c r="F8" s="56"/>
      <c r="G8" s="51">
        <f>+C8+D8+E8+F8</f>
        <v>925372.58</v>
      </c>
      <c r="H8" s="359" t="e">
        <f>+Tableau13[[#This Row],[ENTREPRISE]]/G4</f>
        <v>#DIV/0!</v>
      </c>
      <c r="I8" s="359">
        <f>+Tableau13[[#This Row],[ENTREPRISE]]/1000000</f>
        <v>0.92537258</v>
      </c>
      <c r="N8" s="30"/>
    </row>
    <row r="9" spans="1:31" s="27" customFormat="1" ht="30.75" customHeight="1" thickBot="1" x14ac:dyDescent="0.4">
      <c r="A9" s="102"/>
      <c r="B9" s="81" t="s">
        <v>3</v>
      </c>
      <c r="C9" s="54"/>
      <c r="D9" s="57">
        <v>104267681.48999999</v>
      </c>
      <c r="E9" s="55">
        <v>-28351866.440000001</v>
      </c>
      <c r="F9" s="56">
        <v>-21955954.109999999</v>
      </c>
      <c r="G9" s="51">
        <f>+C9+D9+E9+F9</f>
        <v>53959860.939999998</v>
      </c>
      <c r="H9" s="359" t="e">
        <f>+Tableau13[[#This Row],[ENTREPRISE]]/G5</f>
        <v>#DIV/0!</v>
      </c>
      <c r="I9" s="359">
        <f>+Tableau13[[#This Row],[ENTREPRISE]]/1000000</f>
        <v>53.959860939999999</v>
      </c>
    </row>
    <row r="10" spans="1:31" s="27" customFormat="1" ht="30.75" customHeight="1" thickBot="1" x14ac:dyDescent="0.4">
      <c r="A10" s="102"/>
      <c r="B10" s="81" t="s">
        <v>4</v>
      </c>
      <c r="C10" s="54"/>
      <c r="D10" s="54"/>
      <c r="E10" s="55"/>
      <c r="F10" s="56"/>
      <c r="G10" s="51">
        <f>+C10+D10+E10+F10</f>
        <v>0</v>
      </c>
      <c r="H10" s="359" t="e">
        <f>+Tableau13[[#This Row],[ENTREPRISE]]/G6</f>
        <v>#VALUE!</v>
      </c>
      <c r="I10" s="359">
        <f>+Tableau13[[#This Row],[ENTREPRISE]]/1000000</f>
        <v>0</v>
      </c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H11" s="359">
        <f>+Tableau13[[#This Row],[ENTREPRISE]]/G7</f>
        <v>0</v>
      </c>
      <c r="I11" s="359">
        <f>+Tableau13[[#This Row],[ENTREPRISE]]/1000000</f>
        <v>0</v>
      </c>
    </row>
    <row r="12" spans="1:31" s="27" customFormat="1" ht="30.75" customHeight="1" thickBot="1" x14ac:dyDescent="0.4">
      <c r="A12" s="104"/>
      <c r="B12" s="83" t="s">
        <v>6</v>
      </c>
      <c r="C12" s="61">
        <f>SUM(C7:C11)</f>
        <v>4350000</v>
      </c>
      <c r="D12" s="61">
        <f>SUM(D7:D11)</f>
        <v>253540690.49000001</v>
      </c>
      <c r="E12" s="62">
        <f>SUM(E7:E11)</f>
        <v>75001011.170000002</v>
      </c>
      <c r="F12" s="63">
        <f>SUM(F7:F11)</f>
        <v>56555725.719999999</v>
      </c>
      <c r="G12" s="61">
        <f>SUM(G7:G11)</f>
        <v>389447427.37999994</v>
      </c>
      <c r="H12" s="359">
        <f>+Tableau13[[#This Row],[ENTREPRISE]]/G8</f>
        <v>420.85473008072051</v>
      </c>
      <c r="I12" s="359">
        <f>+Tableau13[[#This Row],[ENTREPRISE]]/1000000</f>
        <v>389.44742737999991</v>
      </c>
    </row>
    <row r="13" spans="1:31" s="32" customFormat="1" ht="30.75" customHeight="1" thickBot="1" x14ac:dyDescent="0.4">
      <c r="A13" s="105">
        <v>60</v>
      </c>
      <c r="B13" s="84" t="s">
        <v>7</v>
      </c>
      <c r="C13" s="51">
        <v>1122586.53</v>
      </c>
      <c r="D13" s="64">
        <v>189732393.38</v>
      </c>
      <c r="E13" s="65">
        <v>31529071.940000001</v>
      </c>
      <c r="F13" s="66">
        <v>38185816.810000002</v>
      </c>
      <c r="G13" s="51">
        <f>+C13+D13+E13+F13</f>
        <v>260569868.66</v>
      </c>
      <c r="H13" s="359">
        <f>+Tableau13[[#This Row],[ENTREPRISE]]/G9</f>
        <v>4.8289573790736311</v>
      </c>
      <c r="I13" s="359">
        <f>+Tableau13[[#This Row],[ENTREPRISE]]/1000000</f>
        <v>260.56986866</v>
      </c>
    </row>
    <row r="14" spans="1:31" s="32" customFormat="1" ht="30.75" customHeight="1" thickBot="1" x14ac:dyDescent="0.4">
      <c r="A14" s="106" t="s">
        <v>8</v>
      </c>
      <c r="B14" s="82" t="s">
        <v>43</v>
      </c>
      <c r="C14" s="58">
        <v>5586615.1200000001</v>
      </c>
      <c r="D14" s="58">
        <v>6094269.9199999999</v>
      </c>
      <c r="E14" s="59">
        <v>3670453.76</v>
      </c>
      <c r="F14" s="60">
        <v>5571213.3200000003</v>
      </c>
      <c r="G14" s="58">
        <f>+C14+D14+E14+F14</f>
        <v>20922552.119999997</v>
      </c>
      <c r="H14" s="359" t="e">
        <f>+Tableau13[[#This Row],[ENTREPRISE]]/G10</f>
        <v>#DIV/0!</v>
      </c>
      <c r="I14" s="359">
        <f>+Tableau13[[#This Row],[ENTREPRISE]]/1000000</f>
        <v>20.922552119999999</v>
      </c>
    </row>
    <row r="15" spans="1:31" s="32" customFormat="1" ht="30.75" customHeight="1" thickBot="1" x14ac:dyDescent="0.4">
      <c r="A15" s="229"/>
      <c r="B15" s="230" t="s">
        <v>124</v>
      </c>
      <c r="C15" s="112"/>
      <c r="D15" s="112"/>
      <c r="E15" s="231"/>
      <c r="F15" s="232"/>
      <c r="G15" s="58">
        <f>+C15+D15+E15+F15</f>
        <v>0</v>
      </c>
      <c r="H15" s="359" t="e">
        <f>+Tableau13[[#This Row],[ENTREPRISE]]/G11</f>
        <v>#DIV/0!</v>
      </c>
      <c r="I15" s="359">
        <f>+Tableau13[[#This Row],[ENTREPRISE]]/1000000</f>
        <v>0</v>
      </c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6709201.6500000004</v>
      </c>
      <c r="D16" s="61">
        <f>+D13+D14+D15</f>
        <v>195826663.29999998</v>
      </c>
      <c r="E16" s="62">
        <f>+E13+E14+E15</f>
        <v>35199525.700000003</v>
      </c>
      <c r="F16" s="63">
        <f>+F13+F14+F15</f>
        <v>43757030.130000003</v>
      </c>
      <c r="G16" s="61">
        <f>+G13+G14+G15</f>
        <v>281492420.77999997</v>
      </c>
      <c r="H16" s="363">
        <f>+Tableau13[[#This Row],[ENTREPRISE]]/G12</f>
        <v>0.72279953849929068</v>
      </c>
      <c r="I16" s="359">
        <f>+Tableau13[[#This Row],[ENTREPRISE]]/1000000</f>
        <v>281.49242077999997</v>
      </c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-2359201.6500000004</v>
      </c>
      <c r="D17" s="67">
        <f>+D12-D16</f>
        <v>57714027.190000027</v>
      </c>
      <c r="E17" s="68">
        <f>+E12-E16</f>
        <v>39801485.469999999</v>
      </c>
      <c r="F17" s="69">
        <f>+F12-F16</f>
        <v>12798695.589999996</v>
      </c>
      <c r="G17" s="67">
        <f>+G12-G16</f>
        <v>107955006.59999996</v>
      </c>
      <c r="H17" s="359">
        <f>+Tableau13[[#This Row],[ENTREPRISE]]/G13</f>
        <v>0.41430349239981829</v>
      </c>
      <c r="I17" s="359">
        <f>+Tableau13[[#This Row],[ENTREPRISE]]/1000000</f>
        <v>107.95500659999996</v>
      </c>
    </row>
    <row r="18" spans="1:12" s="32" customFormat="1" ht="30.75" customHeight="1" thickBot="1" x14ac:dyDescent="0.4">
      <c r="A18" s="105">
        <v>63</v>
      </c>
      <c r="B18" s="84" t="s">
        <v>44</v>
      </c>
      <c r="C18" s="64">
        <v>14440202.550000001</v>
      </c>
      <c r="D18" s="64">
        <v>29238492.620000001</v>
      </c>
      <c r="E18" s="65">
        <v>11072428.35</v>
      </c>
      <c r="F18" s="66">
        <v>10592560.310000001</v>
      </c>
      <c r="G18" s="51">
        <f>+C18+D18+E18+F18</f>
        <v>65343683.830000006</v>
      </c>
      <c r="H18" s="359">
        <f>+Tableau13[[#This Row],[ENTREPRISE]]/G14</f>
        <v>3.1231220481720094</v>
      </c>
      <c r="I18" s="359">
        <f>+Tableau13[[#This Row],[ENTREPRISE]]/1000000</f>
        <v>65.343683830000003</v>
      </c>
    </row>
    <row r="19" spans="1:12" s="32" customFormat="1" ht="30.75" customHeight="1" thickBot="1" x14ac:dyDescent="0.4">
      <c r="A19" s="106">
        <v>64</v>
      </c>
      <c r="B19" s="82" t="s">
        <v>13</v>
      </c>
      <c r="C19" s="58">
        <v>87000</v>
      </c>
      <c r="D19" s="58">
        <v>1483776</v>
      </c>
      <c r="E19" s="59">
        <v>1043947</v>
      </c>
      <c r="F19" s="60">
        <v>3062328.43</v>
      </c>
      <c r="G19" s="58">
        <f>+C19+D19+E19+F19</f>
        <v>5677051.4299999997</v>
      </c>
      <c r="H19" s="359" t="e">
        <f>+Tableau13[[#This Row],[ENTREPRISE]]/G15</f>
        <v>#DIV/0!</v>
      </c>
      <c r="I19" s="359">
        <f>+Tableau13[[#This Row],[ENTREPRISE]]/1000000</f>
        <v>5.6770514299999997</v>
      </c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-16886404.200000003</v>
      </c>
      <c r="D20" s="61">
        <f>+D17-D18-D19</f>
        <v>26991758.570000026</v>
      </c>
      <c r="E20" s="62">
        <f>+E17-E18-E19</f>
        <v>27685110.119999997</v>
      </c>
      <c r="F20" s="63">
        <f>+F17-F18-F19</f>
        <v>-856193.15000000456</v>
      </c>
      <c r="G20" s="61">
        <f>+G17-G18-G19</f>
        <v>36934271.339999959</v>
      </c>
      <c r="H20" s="359">
        <f>+Tableau13[[#This Row],[ENTREPRISE]]/G16</f>
        <v>0.13120875950285671</v>
      </c>
      <c r="I20" s="359">
        <f>+Tableau13[[#This Row],[ENTREPRISE]]/1000000</f>
        <v>36.93427133999996</v>
      </c>
    </row>
    <row r="21" spans="1:12" s="32" customFormat="1" ht="30.75" customHeight="1" thickBot="1" x14ac:dyDescent="0.4">
      <c r="A21" s="105">
        <v>75</v>
      </c>
      <c r="B21" s="84" t="s">
        <v>16</v>
      </c>
      <c r="C21" s="51"/>
      <c r="D21" s="51">
        <v>30000</v>
      </c>
      <c r="E21" s="52">
        <v>0.3</v>
      </c>
      <c r="F21" s="53"/>
      <c r="G21" s="51">
        <f t="shared" ref="G21:G26" si="0">+C21+D21+E21+F21</f>
        <v>30000.3</v>
      </c>
      <c r="H21" s="359">
        <f>+Tableau13[[#This Row],[ENTREPRISE]]/G17</f>
        <v>2.7789632870996471E-4</v>
      </c>
      <c r="I21" s="359">
        <f>+Tableau13[[#This Row],[ENTREPRISE]]/1000000</f>
        <v>3.0000300000000001E-2</v>
      </c>
      <c r="L21" s="35"/>
    </row>
    <row r="22" spans="1:12" s="32" customFormat="1" ht="30.75" customHeight="1" thickBot="1" x14ac:dyDescent="0.4">
      <c r="A22" s="109">
        <v>65</v>
      </c>
      <c r="B22" s="81" t="s">
        <v>17</v>
      </c>
      <c r="C22" s="54"/>
      <c r="D22" s="54">
        <v>32001.34</v>
      </c>
      <c r="E22" s="55"/>
      <c r="F22" s="56">
        <v>105532.39</v>
      </c>
      <c r="G22" s="54">
        <f t="shared" si="0"/>
        <v>137533.73000000001</v>
      </c>
      <c r="H22" s="359">
        <f>+Tableau13[[#This Row],[ENTREPRISE]]/G18</f>
        <v>2.1047746612788422E-3</v>
      </c>
      <c r="I22" s="359">
        <f>+Tableau13[[#This Row],[ENTREPRISE]]/1000000</f>
        <v>0.13753373000000002</v>
      </c>
    </row>
    <row r="23" spans="1:12" s="27" customFormat="1" ht="30.75" customHeight="1" thickBot="1" x14ac:dyDescent="0.4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H23" s="359">
        <f>+Tableau13[[#This Row],[ENTREPRISE]]/G19</f>
        <v>0</v>
      </c>
      <c r="I23" s="359">
        <f>+Tableau13[[#This Row],[ENTREPRISE]]/1000000</f>
        <v>0</v>
      </c>
    </row>
    <row r="24" spans="1:12" s="27" customFormat="1" ht="30.75" customHeight="1" thickBot="1" x14ac:dyDescent="0.4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H24" s="359">
        <f>+Tableau13[[#This Row],[ENTREPRISE]]/G20</f>
        <v>0</v>
      </c>
      <c r="I24" s="359">
        <f>+Tableau13[[#This Row],[ENTREPRISE]]/1000000</f>
        <v>0</v>
      </c>
    </row>
    <row r="25" spans="1:12" s="32" customFormat="1" ht="30.75" customHeight="1" thickBot="1" x14ac:dyDescent="0.4">
      <c r="A25" s="109">
        <v>68</v>
      </c>
      <c r="B25" s="81" t="s">
        <v>20</v>
      </c>
      <c r="C25" s="54">
        <v>1071556.3799999999</v>
      </c>
      <c r="D25" s="54">
        <v>5866520.5999999996</v>
      </c>
      <c r="E25" s="55">
        <v>672407.81</v>
      </c>
      <c r="F25" s="56">
        <v>585346.31000000006</v>
      </c>
      <c r="G25" s="57">
        <f t="shared" si="0"/>
        <v>8195831.0999999996</v>
      </c>
      <c r="H25" s="359">
        <f>+Tableau13[[#This Row],[ENTREPRISE]]/G21</f>
        <v>273.19163808361918</v>
      </c>
      <c r="I25" s="359">
        <f>+Tableau13[[#This Row],[ENTREPRISE]]/1000000</f>
        <v>8.1958310999999995</v>
      </c>
    </row>
    <row r="26" spans="1:12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H26" s="359">
        <f>+Tableau13[[#This Row],[ENTREPRISE]]/G22</f>
        <v>0</v>
      </c>
      <c r="I26" s="359">
        <f>+Tableau13[[#This Row],[ENTREPRISE]]/1000000</f>
        <v>0</v>
      </c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-17957960.580000002</v>
      </c>
      <c r="D27" s="61">
        <f>+D20+D21+D26-(D22+D23+D24+D25)</f>
        <v>21123236.630000025</v>
      </c>
      <c r="E27" s="62">
        <f>+E20+E21+E26-(E22+E23+E24+E25)</f>
        <v>27012702.609999999</v>
      </c>
      <c r="F27" s="63">
        <f>+F20+F21+F26-(F22+F23+F24+F25)</f>
        <v>-1547071.8500000047</v>
      </c>
      <c r="G27" s="61">
        <f>+G20+G21+G26-(G22+G23+G24+G25)</f>
        <v>28630906.809999958</v>
      </c>
      <c r="H27" s="359" t="e">
        <f>+Tableau13[[#This Row],[ENTREPRISE]]/G23</f>
        <v>#DIV/0!</v>
      </c>
      <c r="I27" s="359">
        <f>+Tableau13[[#This Row],[ENTREPRISE]]/1000000</f>
        <v>28.630906809999956</v>
      </c>
    </row>
    <row r="28" spans="1:12" s="32" customFormat="1" ht="30.75" customHeight="1" thickBot="1" x14ac:dyDescent="0.4">
      <c r="A28" s="105">
        <v>76</v>
      </c>
      <c r="B28" s="84" t="s">
        <v>24</v>
      </c>
      <c r="C28" s="51"/>
      <c r="D28" s="51"/>
      <c r="E28" s="52"/>
      <c r="F28" s="53"/>
      <c r="G28" s="51">
        <f>+C28+D28+E28+F28</f>
        <v>0</v>
      </c>
      <c r="H28" s="359" t="e">
        <f>+Tableau13[[#This Row],[ENTREPRISE]]/G24</f>
        <v>#DIV/0!</v>
      </c>
      <c r="I28" s="359">
        <f>+Tableau13[[#This Row],[ENTREPRISE]]/1000000</f>
        <v>0</v>
      </c>
    </row>
    <row r="29" spans="1:12" s="32" customFormat="1" ht="30.75" customHeight="1" thickBot="1" x14ac:dyDescent="0.4">
      <c r="A29" s="106">
        <v>66</v>
      </c>
      <c r="B29" s="82" t="s">
        <v>25</v>
      </c>
      <c r="C29" s="73"/>
      <c r="D29" s="58"/>
      <c r="E29" s="59"/>
      <c r="F29" s="60"/>
      <c r="G29" s="58">
        <f>+C29+D29+E29+F29</f>
        <v>0</v>
      </c>
      <c r="H29" s="359">
        <f>+Tableau13[[#This Row],[ENTREPRISE]]/G25</f>
        <v>0</v>
      </c>
      <c r="I29" s="359">
        <f>+Tableau13[[#This Row],[ENTREPRISE]]/1000000</f>
        <v>0</v>
      </c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0</v>
      </c>
      <c r="D30" s="61">
        <f>+D28-D29</f>
        <v>0</v>
      </c>
      <c r="E30" s="62">
        <f>+E28-E29</f>
        <v>0</v>
      </c>
      <c r="F30" s="63">
        <f>+F28-F29</f>
        <v>0</v>
      </c>
      <c r="G30" s="61">
        <f>+G28-G29</f>
        <v>0</v>
      </c>
      <c r="H30" s="359" t="e">
        <f>+Tableau13[[#This Row],[ENTREPRISE]]/G26</f>
        <v>#DIV/0!</v>
      </c>
      <c r="I30" s="359">
        <f>+Tableau13[[#This Row],[ENTREPRISE]]/1000000</f>
        <v>0</v>
      </c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-17957960.580000002</v>
      </c>
      <c r="D31" s="61">
        <f>+D27+D30</f>
        <v>21123236.630000025</v>
      </c>
      <c r="E31" s="62">
        <f>+E27+E30</f>
        <v>27012702.609999999</v>
      </c>
      <c r="F31" s="63">
        <f>+F27+F30</f>
        <v>-1547071.8500000047</v>
      </c>
      <c r="G31" s="61">
        <f>+G27+G30</f>
        <v>28630906.809999958</v>
      </c>
      <c r="H31" s="359">
        <f>+Tableau13[[#This Row],[ENTREPRISE]]/G27</f>
        <v>1</v>
      </c>
      <c r="I31" s="359">
        <f>+Tableau13[[#This Row],[ENTREPRISE]]/1000000</f>
        <v>28.630906809999956</v>
      </c>
    </row>
    <row r="32" spans="1:12" s="32" customFormat="1" ht="30.75" customHeight="1" thickBot="1" x14ac:dyDescent="0.4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H32" s="359" t="e">
        <f>+Tableau13[[#This Row],[ENTREPRISE]]/G28</f>
        <v>#DIV/0!</v>
      </c>
      <c r="I32" s="359">
        <f>+Tableau13[[#This Row],[ENTREPRISE]]/1000000</f>
        <v>0</v>
      </c>
    </row>
    <row r="33" spans="1:9" s="32" customFormat="1" ht="30.75" customHeight="1" thickBot="1" x14ac:dyDescent="0.4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H33" s="359" t="e">
        <f>+Tableau13[[#This Row],[ENTREPRISE]]/G29</f>
        <v>#DIV/0!</v>
      </c>
      <c r="I33" s="359">
        <f>+Tableau13[[#This Row],[ENTREPRISE]]/1000000</f>
        <v>0</v>
      </c>
    </row>
    <row r="34" spans="1:9" s="37" customFormat="1" ht="30.75" customHeight="1" thickBot="1" x14ac:dyDescent="0.4">
      <c r="A34" s="110"/>
      <c r="B34" s="88" t="s">
        <v>45</v>
      </c>
      <c r="C34" s="74">
        <f>+C12+C21+C28+C26</f>
        <v>4350000</v>
      </c>
      <c r="D34" s="74">
        <f>+D12+D21+D28+D26</f>
        <v>253570690.49000001</v>
      </c>
      <c r="E34" s="75">
        <f>+E12+E21+E28+E26</f>
        <v>75001011.469999999</v>
      </c>
      <c r="F34" s="75">
        <f>+F12+F21+F28+F26</f>
        <v>56555725.719999999</v>
      </c>
      <c r="G34" s="74">
        <f>+G12+G21+G28+G26</f>
        <v>389477427.67999995</v>
      </c>
      <c r="H34" s="359" t="e">
        <f>+Tableau13[[#This Row],[ENTREPRISE]]/G30</f>
        <v>#DIV/0!</v>
      </c>
      <c r="I34" s="359">
        <f>+Tableau13[[#This Row],[ENTREPRISE]]/1000000</f>
        <v>389.47742767999995</v>
      </c>
    </row>
    <row r="35" spans="1:9" s="37" customFormat="1" ht="30.75" customHeight="1" thickBot="1" x14ac:dyDescent="0.4">
      <c r="A35" s="111"/>
      <c r="B35" s="89" t="s">
        <v>46</v>
      </c>
      <c r="C35" s="73">
        <f>+C16+C18+C19+C25+C22+C29+C33+C32</f>
        <v>22307960.580000002</v>
      </c>
      <c r="D35" s="73">
        <f t="shared" ref="D35:G35" si="1">+D16+D18+D19+D25+D22+D29+D33+D32</f>
        <v>232447453.85999998</v>
      </c>
      <c r="E35" s="77">
        <f t="shared" si="1"/>
        <v>47988308.860000007</v>
      </c>
      <c r="F35" s="77">
        <f t="shared" si="1"/>
        <v>58102797.570000008</v>
      </c>
      <c r="G35" s="73">
        <f t="shared" si="1"/>
        <v>360846520.87</v>
      </c>
      <c r="H35" s="359">
        <f>+Tableau13[[#This Row],[ENTREPRISE]]/G31</f>
        <v>12.603391267508391</v>
      </c>
      <c r="I35" s="359">
        <f>+Tableau13[[#This Row],[ENTREPRISE]]/1000000</f>
        <v>360.84652087000001</v>
      </c>
    </row>
    <row r="36" spans="1:9" s="27" customFormat="1" ht="30.75" customHeight="1" thickBot="1" x14ac:dyDescent="0.4">
      <c r="A36" s="107" t="s">
        <v>34</v>
      </c>
      <c r="B36" s="85" t="s">
        <v>35</v>
      </c>
      <c r="C36" s="61">
        <f>+C34-C35</f>
        <v>-17957960.580000002</v>
      </c>
      <c r="D36" s="61">
        <f>+D34-D35</f>
        <v>21123236.630000025</v>
      </c>
      <c r="E36" s="62">
        <f>+E34-E35</f>
        <v>27012702.609999992</v>
      </c>
      <c r="F36" s="63">
        <f>+F34-F35</f>
        <v>-1547071.8500000089</v>
      </c>
      <c r="G36" s="61">
        <f>+G34-G35</f>
        <v>28630906.809999943</v>
      </c>
      <c r="H36" s="359" t="e">
        <f>+Tableau13[[#This Row],[ENTREPRISE]]/G32</f>
        <v>#DIV/0!</v>
      </c>
      <c r="I36" s="359">
        <f>+Tableau13[[#This Row],[ENTREPRISE]]/1000000</f>
        <v>28.630906809999942</v>
      </c>
    </row>
    <row r="37" spans="1:9" s="32" customFormat="1" ht="30.75" customHeight="1" thickBot="1" x14ac:dyDescent="0.4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H37" s="359" t="e">
        <f>+Tableau13[[#This Row],[ENTREPRISE]]/G33</f>
        <v>#DIV/0!</v>
      </c>
      <c r="I37" s="359">
        <f>+Tableau13[[#This Row],[ENTREPRISE]]/1000000</f>
        <v>0</v>
      </c>
    </row>
    <row r="38" spans="1:9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H38" s="359">
        <f>+Tableau13[[#This Row],[ENTREPRISE]]/G34</f>
        <v>0</v>
      </c>
      <c r="I38" s="359">
        <f>+Tableau13[[#This Row],[ENTREPRISE]]/1000000</f>
        <v>0</v>
      </c>
    </row>
    <row r="39" spans="1:9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359">
        <f>+Tableau13[[#This Row],[ENTREPRISE]]/G35</f>
        <v>0</v>
      </c>
      <c r="I39" s="359">
        <f>+Tableau13[[#This Row],[ENTREPRISE]]/1000000</f>
        <v>0</v>
      </c>
    </row>
    <row r="40" spans="1:9" s="27" customFormat="1" ht="30.6" customHeight="1" x14ac:dyDescent="0.35">
      <c r="A40" s="115" t="s">
        <v>40</v>
      </c>
      <c r="B40" s="116" t="s">
        <v>41</v>
      </c>
      <c r="C40" s="117">
        <f>+C36</f>
        <v>-17957960.580000002</v>
      </c>
      <c r="D40" s="117">
        <f>+D36</f>
        <v>21123236.630000025</v>
      </c>
      <c r="E40" s="118">
        <f>+E36</f>
        <v>27012702.609999992</v>
      </c>
      <c r="F40" s="119">
        <f>+F36</f>
        <v>-1547071.8500000089</v>
      </c>
      <c r="G40" s="117">
        <f>+G36</f>
        <v>28630906.809999943</v>
      </c>
      <c r="H40" s="361">
        <f>+Tableau13[[#This Row],[ENTREPRISE]]/G36</f>
        <v>1</v>
      </c>
      <c r="I40" s="361">
        <f>+Tableau13[[#This Row],[ENTREPRISE]]/1000000</f>
        <v>28.630906809999942</v>
      </c>
    </row>
    <row r="41" spans="1:9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9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9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1.7090982816347593</v>
      </c>
      <c r="E43" s="95">
        <f>+E12/E7</f>
        <v>0.72567898354039839</v>
      </c>
      <c r="F43" s="95">
        <f>+F12/F7</f>
        <v>0.72034792584312479</v>
      </c>
      <c r="G43" s="95">
        <f>+G12/G7</f>
        <v>1.164050913484167</v>
      </c>
      <c r="H43" s="38"/>
    </row>
    <row r="44" spans="1:9" s="37" customFormat="1" ht="18" x14ac:dyDescent="0.35">
      <c r="A44" s="92">
        <v>2</v>
      </c>
      <c r="B44" s="93" t="s">
        <v>53</v>
      </c>
      <c r="C44" s="94">
        <f>+C13/C7</f>
        <v>0.25806586896551725</v>
      </c>
      <c r="D44" s="95">
        <f>+D13/D7</f>
        <v>1.2789714616202714</v>
      </c>
      <c r="E44" s="95">
        <f>+E13/E7</f>
        <v>0.30506235209990301</v>
      </c>
      <c r="F44" s="95">
        <f>+F13/F7</f>
        <v>0.48637116022333365</v>
      </c>
      <c r="G44" s="95">
        <f>+G13/G7</f>
        <v>0.77883835484722286</v>
      </c>
      <c r="H44" s="36"/>
    </row>
    <row r="45" spans="1:9" s="37" customFormat="1" ht="18" x14ac:dyDescent="0.35">
      <c r="A45" s="92">
        <v>3</v>
      </c>
      <c r="B45" s="93" t="s">
        <v>56</v>
      </c>
      <c r="C45" s="94">
        <f>+C13/C12</f>
        <v>0.25806586896551725</v>
      </c>
      <c r="D45" s="95">
        <f>+D13/D12</f>
        <v>0.74833113774880766</v>
      </c>
      <c r="E45" s="95">
        <f>+E13/E12</f>
        <v>0.42038195816500484</v>
      </c>
      <c r="F45" s="95">
        <f>+F13/F12</f>
        <v>0.67518922839135664</v>
      </c>
      <c r="G45" s="95">
        <f>+G13/G12</f>
        <v>0.66907585039906092</v>
      </c>
      <c r="H45" s="36"/>
    </row>
    <row r="46" spans="1:9" s="37" customFormat="1" ht="18" x14ac:dyDescent="0.35">
      <c r="A46" s="92">
        <v>4</v>
      </c>
      <c r="B46" s="93" t="s">
        <v>57</v>
      </c>
      <c r="C46" s="94">
        <f>+C16/C12</f>
        <v>1.5423452068965517</v>
      </c>
      <c r="D46" s="95">
        <f>+D16/D12</f>
        <v>0.77236779201610506</v>
      </c>
      <c r="E46" s="95">
        <f>+E16/E12</f>
        <v>0.4693206818267488</v>
      </c>
      <c r="F46" s="95">
        <f>+F16/F12</f>
        <v>0.77369761545692717</v>
      </c>
      <c r="G46" s="95">
        <f>+G16/G12</f>
        <v>0.72279953849929068</v>
      </c>
      <c r="H46" s="36"/>
    </row>
    <row r="47" spans="1:9" s="37" customFormat="1" ht="18" x14ac:dyDescent="0.35">
      <c r="A47" s="92">
        <v>5</v>
      </c>
      <c r="B47" s="93" t="s">
        <v>58</v>
      </c>
      <c r="C47" s="94">
        <f>+C18/C12</f>
        <v>3.3195867931034484</v>
      </c>
      <c r="D47" s="95">
        <f>+D18/D12</f>
        <v>0.11532071070522389</v>
      </c>
      <c r="E47" s="95">
        <f>+E18/E12</f>
        <v>0.14763038760774616</v>
      </c>
      <c r="F47" s="95">
        <f>+F18/F12</f>
        <v>0.18729421601700208</v>
      </c>
      <c r="G47" s="95">
        <f>+G18/G12</f>
        <v>0.16778563481494377</v>
      </c>
      <c r="H47" s="36"/>
    </row>
    <row r="48" spans="1:9" s="37" customFormat="1" ht="18" x14ac:dyDescent="0.35">
      <c r="A48" s="92">
        <v>6</v>
      </c>
      <c r="B48" s="93" t="s">
        <v>54</v>
      </c>
      <c r="C48" s="94">
        <f>+C17/C18</f>
        <v>-0.16337732395588872</v>
      </c>
      <c r="D48" s="95">
        <f>+D17/D18</f>
        <v>1.9739056982206364</v>
      </c>
      <c r="E48" s="95">
        <f>+E17/E18</f>
        <v>3.5946482751455329</v>
      </c>
      <c r="F48" s="95">
        <f>+F17/F18</f>
        <v>1.2082721471896907</v>
      </c>
      <c r="G48" s="95">
        <f>+G17/G18</f>
        <v>1.6521108127429545</v>
      </c>
      <c r="H48" s="36"/>
    </row>
    <row r="49" spans="1:8" s="37" customFormat="1" ht="18" x14ac:dyDescent="0.35">
      <c r="A49" s="92">
        <v>7</v>
      </c>
      <c r="B49" s="93" t="s">
        <v>55</v>
      </c>
      <c r="C49" s="94">
        <f>+C20/C12</f>
        <v>-3.8819320000000008</v>
      </c>
      <c r="D49" s="95">
        <f>+D20/D12</f>
        <v>0.10645927688307143</v>
      </c>
      <c r="E49" s="95">
        <f>+E20/E12</f>
        <v>0.36912982489326612</v>
      </c>
      <c r="F49" s="95">
        <f>+F20/F12</f>
        <v>-1.5138929597312655E-2</v>
      </c>
      <c r="G49" s="95">
        <f>+G20/G12</f>
        <v>9.483763081572924E-2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T1:U1"/>
    <mergeCell ref="T2:U2"/>
    <mergeCell ref="T3:U3"/>
    <mergeCell ref="A5:G5"/>
  </mergeCells>
  <conditionalFormatting sqref="D1:G4 C43:G1048576 D41:G41">
    <cfRule type="cellIs" dxfId="67" priority="11" operator="lessThan">
      <formula>-0.01</formula>
    </cfRule>
  </conditionalFormatting>
  <conditionalFormatting sqref="C1:C4 C41">
    <cfRule type="cellIs" dxfId="66" priority="10" operator="lessThan">
      <formula>-0.01</formula>
    </cfRule>
  </conditionalFormatting>
  <conditionalFormatting sqref="G6">
    <cfRule type="cellIs" dxfId="65" priority="5" operator="lessThan">
      <formula>-0.01</formula>
    </cfRule>
  </conditionalFormatting>
  <conditionalFormatting sqref="D6:F6">
    <cfRule type="cellIs" dxfId="64" priority="7" operator="lessThan">
      <formula>-0.01</formula>
    </cfRule>
  </conditionalFormatting>
  <conditionalFormatting sqref="C6">
    <cfRule type="cellIs" dxfId="63" priority="6" operator="lessThan">
      <formula>-0.01</formula>
    </cfRule>
  </conditionalFormatting>
  <conditionalFormatting sqref="D7:F33 D36:F40 D34:E35">
    <cfRule type="cellIs" dxfId="62" priority="4" operator="lessThan">
      <formula>-0.01</formula>
    </cfRule>
  </conditionalFormatting>
  <conditionalFormatting sqref="C7:C40">
    <cfRule type="cellIs" dxfId="61" priority="3" operator="lessThan">
      <formula>-0.01</formula>
    </cfRule>
  </conditionalFormatting>
  <conditionalFormatting sqref="G7:G40">
    <cfRule type="cellIs" dxfId="60" priority="2" operator="lessThan">
      <formula>-0.01</formula>
    </cfRule>
  </conditionalFormatting>
  <conditionalFormatting sqref="F34:F35">
    <cfRule type="cellIs" dxfId="59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E50"/>
  <sheetViews>
    <sheetView view="pageBreakPreview" zoomScale="90" zoomScaleNormal="50" zoomScaleSheetLayoutView="90" workbookViewId="0">
      <pane xSplit="2" ySplit="6" topLeftCell="C31" activePane="bottomRight" state="frozen"/>
      <selection activeCell="C5" sqref="C5:D5"/>
      <selection pane="topRight" activeCell="C5" sqref="C5:D5"/>
      <selection pane="bottomLeft" activeCell="C5" sqref="C5:D5"/>
      <selection pane="bottomRight" activeCell="G7" sqref="G7:G40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101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>
        <f>+'10 2021'!C7+'11 2021'!C7+'12 2021'!C7</f>
        <v>10350000</v>
      </c>
      <c r="D7" s="51">
        <f>+'10 2021'!D7+'11 2021'!D7+'12 2021'!D7</f>
        <v>384305839.35000002</v>
      </c>
      <c r="E7" s="52">
        <f>+'10 2021'!E7+'11 2021'!E7+'12 2021'!E7</f>
        <v>273314602.23000002</v>
      </c>
      <c r="F7" s="53">
        <f>+'10 2021'!F7+'11 2021'!F7+'12 2021'!F7</f>
        <v>227200440.58999997</v>
      </c>
      <c r="G7" s="51">
        <f>+C7+D7+E7+F7</f>
        <v>895170882.17000008</v>
      </c>
      <c r="H7" s="28"/>
    </row>
    <row r="8" spans="1:31" s="29" customFormat="1" ht="30.75" customHeight="1" x14ac:dyDescent="0.35">
      <c r="A8" s="102"/>
      <c r="B8" s="80" t="s">
        <v>42</v>
      </c>
      <c r="C8" s="54">
        <f>+'10 2021'!C8+'11 2021'!C8+'12 2021'!C8</f>
        <v>0</v>
      </c>
      <c r="D8" s="54">
        <f>+'10 2021'!D8+'11 2021'!D8+'12 2021'!D8</f>
        <v>925372.58</v>
      </c>
      <c r="E8" s="55">
        <f>+'10 2021'!E8+'11 2021'!E8+'12 2021'!E8</f>
        <v>0</v>
      </c>
      <c r="F8" s="56">
        <f>+'10 2021'!F8+'11 2021'!F8+'12 2021'!F8</f>
        <v>0</v>
      </c>
      <c r="G8" s="51">
        <f>+C8+D8+E8+F8</f>
        <v>925372.58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>
        <f>+'10 2021'!C9+'11 2021'!C9+'12 2021'!C9</f>
        <v>0</v>
      </c>
      <c r="D9" s="57">
        <f>+'10 2021'!D9+'11 2021'!D9+'12 2021'!D9</f>
        <v>219946368.31999999</v>
      </c>
      <c r="E9" s="55">
        <f>+'10 2021'!E9+'11 2021'!E9+'12 2021'!E9</f>
        <v>-83012488.25</v>
      </c>
      <c r="F9" s="56">
        <f>+'10 2021'!F9+'11 2021'!F9+'12 2021'!F9</f>
        <v>-63922265.57</v>
      </c>
      <c r="G9" s="51">
        <f>+C9+D9+E9+F9</f>
        <v>73011614.5</v>
      </c>
      <c r="H9" s="26"/>
    </row>
    <row r="10" spans="1:31" s="27" customFormat="1" ht="30.75" customHeight="1" x14ac:dyDescent="0.35">
      <c r="A10" s="102"/>
      <c r="B10" s="81" t="s">
        <v>4</v>
      </c>
      <c r="C10" s="54">
        <f>+'10 2021'!C10+'11 2021'!C10+'12 2021'!C10</f>
        <v>0</v>
      </c>
      <c r="D10" s="54">
        <f>+'10 2021'!D10+'11 2021'!D10+'12 2021'!D10</f>
        <v>374097.95</v>
      </c>
      <c r="E10" s="55">
        <f>+'10 2021'!E10+'11 2021'!E10+'12 2021'!E10</f>
        <v>0</v>
      </c>
      <c r="F10" s="56">
        <f>+'10 2021'!F10+'11 2021'!F10+'12 2021'!F10</f>
        <v>0</v>
      </c>
      <c r="G10" s="51">
        <f>+C10+D10+E10+F10</f>
        <v>374097.95</v>
      </c>
      <c r="H10" s="26"/>
    </row>
    <row r="11" spans="1:31" s="27" customFormat="1" ht="30.75" customHeight="1" thickBot="1" x14ac:dyDescent="0.4">
      <c r="A11" s="103"/>
      <c r="B11" s="82" t="s">
        <v>5</v>
      </c>
      <c r="C11" s="58">
        <f>+'10 2021'!C11+'11 2021'!C11+'12 2021'!C11</f>
        <v>0</v>
      </c>
      <c r="D11" s="58">
        <f>+'10 2021'!D11+'11 2021'!D11+'12 2021'!D11</f>
        <v>0</v>
      </c>
      <c r="E11" s="59">
        <f>+'10 2021'!E11+'11 2021'!E11+'12 2021'!E11</f>
        <v>0</v>
      </c>
      <c r="F11" s="60">
        <f>+'10 2021'!F11+'11 2021'!F11+'12 2021'!F11</f>
        <v>0</v>
      </c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10350000</v>
      </c>
      <c r="D12" s="61">
        <f>SUM(D7:D11)</f>
        <v>605551678.20000005</v>
      </c>
      <c r="E12" s="62">
        <f>SUM(E7:E11)</f>
        <v>190302113.98000002</v>
      </c>
      <c r="F12" s="63">
        <f>SUM(F7:F11)</f>
        <v>163278175.01999998</v>
      </c>
      <c r="G12" s="61">
        <f>SUM(G7:G11)</f>
        <v>969481967.20000017</v>
      </c>
      <c r="H12" s="26"/>
    </row>
    <row r="13" spans="1:31" s="32" customFormat="1" ht="30.75" customHeight="1" x14ac:dyDescent="0.35">
      <c r="A13" s="105">
        <v>60</v>
      </c>
      <c r="B13" s="84" t="s">
        <v>7</v>
      </c>
      <c r="C13" s="51">
        <f>+'10 2021'!C13+'11 2021'!C13+'12 2021'!C13</f>
        <v>1894023.91</v>
      </c>
      <c r="D13" s="64">
        <f>+'10 2021'!D13+'11 2021'!D13+'12 2021'!D13</f>
        <v>446412725.26999998</v>
      </c>
      <c r="E13" s="65">
        <f>+'10 2021'!E13+'11 2021'!E13+'12 2021'!E13</f>
        <v>69716532.960000008</v>
      </c>
      <c r="F13" s="66">
        <f>+'10 2021'!F13+'11 2021'!F13+'12 2021'!F13</f>
        <v>107967665.25</v>
      </c>
      <c r="G13" s="51">
        <f>+C13+D13+E13+F13</f>
        <v>625990947.38999999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f>+'10 2021'!C14+'11 2021'!C14+'12 2021'!C14</f>
        <v>12084120.559999999</v>
      </c>
      <c r="D14" s="58">
        <f>+'10 2021'!D14+'11 2021'!D14+'12 2021'!D14</f>
        <v>16719463.790000001</v>
      </c>
      <c r="E14" s="59">
        <f>+'10 2021'!E14+'11 2021'!E14+'12 2021'!E14</f>
        <v>10833783.789999999</v>
      </c>
      <c r="F14" s="60">
        <f>+'10 2021'!F14+'11 2021'!F14+'12 2021'!F14</f>
        <v>13651735.51</v>
      </c>
      <c r="G14" s="58">
        <f>+C14+D14+E14+F14</f>
        <v>53289103.649999999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58">
        <f>+'10 2021'!C15+'11 2021'!C15+'12 2021'!C15</f>
        <v>0</v>
      </c>
      <c r="D15" s="58">
        <f>+'10 2021'!D15+'11 2021'!D15+'12 2021'!D15</f>
        <v>0</v>
      </c>
      <c r="E15" s="59">
        <f>+'10 2021'!E15+'11 2021'!E15+'12 2021'!E15</f>
        <v>0</v>
      </c>
      <c r="F15" s="60">
        <f>+'10 2021'!F15+'11 2021'!F15+'12 2021'!F15</f>
        <v>0</v>
      </c>
      <c r="G15" s="58">
        <f>+C15+D15+E15+F15</f>
        <v>0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13978144.469999999</v>
      </c>
      <c r="D16" s="61">
        <f>+D13+D14+D15</f>
        <v>463132189.06</v>
      </c>
      <c r="E16" s="62">
        <f>+E13+E14+E15</f>
        <v>80550316.75</v>
      </c>
      <c r="F16" s="63">
        <f>+F13+F14+F15</f>
        <v>121619400.76000001</v>
      </c>
      <c r="G16" s="61">
        <f>+G13+G14+G15</f>
        <v>679280051.03999996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-3628144.4699999988</v>
      </c>
      <c r="D17" s="67">
        <f>+D12-D16</f>
        <v>142419489.14000005</v>
      </c>
      <c r="E17" s="68">
        <f>+E12-E16</f>
        <v>109751797.23000002</v>
      </c>
      <c r="F17" s="69">
        <f>+F12-F16</f>
        <v>41658774.259999976</v>
      </c>
      <c r="G17" s="67">
        <f>+G12-G16</f>
        <v>290201916.16000021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f>+'10 2021'!C18+'11 2021'!C18+'12 2021'!C18</f>
        <v>42182385.719999999</v>
      </c>
      <c r="D18" s="64">
        <f>+'10 2021'!D18+'11 2021'!D18+'12 2021'!D18</f>
        <v>84110912.560000002</v>
      </c>
      <c r="E18" s="65">
        <f>+'10 2021'!E18+'11 2021'!E18+'12 2021'!E18</f>
        <v>33487358.340000004</v>
      </c>
      <c r="F18" s="66">
        <f>+'10 2021'!F18+'11 2021'!F18+'12 2021'!F18</f>
        <v>33761944.560000002</v>
      </c>
      <c r="G18" s="51">
        <f>+C18+D18+E18+F18</f>
        <v>193542601.18000001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f>+'10 2021'!C19+'11 2021'!C19+'12 2021'!C19</f>
        <v>213855.47999999998</v>
      </c>
      <c r="D19" s="58">
        <f>+'10 2021'!D19+'11 2021'!D19+'12 2021'!D19</f>
        <v>3843357</v>
      </c>
      <c r="E19" s="59">
        <f>+'10 2021'!E19+'11 2021'!E19+'12 2021'!E19</f>
        <v>2759350.25</v>
      </c>
      <c r="F19" s="60">
        <f>+'10 2021'!F19+'11 2021'!F19+'12 2021'!F19</f>
        <v>6541615.4299999997</v>
      </c>
      <c r="G19" s="58">
        <f>+C19+D19+E19+F19</f>
        <v>13358178.16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-46024385.669999994</v>
      </c>
      <c r="D20" s="61">
        <f>+D17-D18-D19</f>
        <v>54465219.580000043</v>
      </c>
      <c r="E20" s="62">
        <f>+E17-E18-E19</f>
        <v>73505088.640000015</v>
      </c>
      <c r="F20" s="63">
        <f>+F17-F18-F19</f>
        <v>1355214.2699999735</v>
      </c>
      <c r="G20" s="61">
        <f>+G17-G18-G19</f>
        <v>83301136.820000201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f>+'10 2021'!C21+'11 2021'!C21+'12 2021'!C21</f>
        <v>317295.90000000002</v>
      </c>
      <c r="D21" s="51">
        <f>+'10 2021'!D21+'11 2021'!D21+'12 2021'!D21</f>
        <v>119402.15</v>
      </c>
      <c r="E21" s="52">
        <f>+'10 2021'!E21+'11 2021'!E21+'12 2021'!E21</f>
        <v>0.3</v>
      </c>
      <c r="F21" s="53">
        <f>+'10 2021'!F21+'11 2021'!F21+'12 2021'!F21</f>
        <v>33355.980000000003</v>
      </c>
      <c r="G21" s="51">
        <f t="shared" ref="G21:G26" si="0">+C21+D21+E21+F21</f>
        <v>470054.33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f>+'10 2021'!C22+'11 2021'!C22+'12 2021'!C22</f>
        <v>236022.24</v>
      </c>
      <c r="D22" s="54">
        <f>+'10 2021'!D22+'11 2021'!D22+'12 2021'!D22</f>
        <v>32001.59</v>
      </c>
      <c r="E22" s="55">
        <f>+'10 2021'!E22+'11 2021'!E22+'12 2021'!E22</f>
        <v>561266.86</v>
      </c>
      <c r="F22" s="56">
        <f>+'10 2021'!F22+'11 2021'!F22+'12 2021'!F22</f>
        <v>105532.39</v>
      </c>
      <c r="G22" s="54">
        <f t="shared" si="0"/>
        <v>934823.08</v>
      </c>
      <c r="H22" s="31"/>
    </row>
    <row r="23" spans="1:12" s="27" customFormat="1" ht="30.75" customHeight="1" x14ac:dyDescent="0.35">
      <c r="A23" s="109"/>
      <c r="B23" s="87" t="s">
        <v>18</v>
      </c>
      <c r="C23" s="70">
        <f>+'10 2021'!C23+'11 2021'!C23+'12 2021'!C23</f>
        <v>0</v>
      </c>
      <c r="D23" s="70">
        <f>+'10 2021'!D23+'11 2021'!D23+'12 2021'!D23</f>
        <v>0</v>
      </c>
      <c r="E23" s="71">
        <f>+'10 2021'!E23+'11 2021'!E23+'12 2021'!E23</f>
        <v>0</v>
      </c>
      <c r="F23" s="72">
        <f>+'10 2021'!F23+'11 2021'!F23+'12 2021'!F23</f>
        <v>0</v>
      </c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>
        <f>+'10 2021'!C24+'11 2021'!C24+'12 2021'!C24</f>
        <v>0</v>
      </c>
      <c r="D24" s="70">
        <f>+'10 2021'!D24+'11 2021'!D24+'12 2021'!D24</f>
        <v>0</v>
      </c>
      <c r="E24" s="71">
        <f>+'10 2021'!E24+'11 2021'!E24+'12 2021'!E24</f>
        <v>0</v>
      </c>
      <c r="F24" s="72">
        <f>+'10 2021'!F24+'11 2021'!F24+'12 2021'!F24</f>
        <v>0</v>
      </c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f>+'10 2021'!C25+'11 2021'!C25+'12 2021'!C25</f>
        <v>3339602.92</v>
      </c>
      <c r="D25" s="54">
        <f>+'10 2021'!D25+'11 2021'!D25+'12 2021'!D25</f>
        <v>17599564.710000001</v>
      </c>
      <c r="E25" s="55">
        <f>+'10 2021'!E25+'11 2021'!E25+'12 2021'!E25</f>
        <v>2012381.99</v>
      </c>
      <c r="F25" s="56">
        <f>+'10 2021'!F25+'11 2021'!F25+'12 2021'!F25</f>
        <v>1753694.0300000003</v>
      </c>
      <c r="G25" s="57">
        <f t="shared" si="0"/>
        <v>24705243.650000002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>
        <f>+'10 2021'!C26+'11 2021'!C26+'12 2021'!C26</f>
        <v>0</v>
      </c>
      <c r="D26" s="58">
        <f>+'10 2021'!D26+'11 2021'!D26+'12 2021'!D26</f>
        <v>0</v>
      </c>
      <c r="E26" s="59">
        <f>+'10 2021'!E26+'11 2021'!E26+'12 2021'!E26</f>
        <v>0</v>
      </c>
      <c r="F26" s="60">
        <f>+'10 2021'!F26+'11 2021'!F26+'12 2021'!F26</f>
        <v>0</v>
      </c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-49282714.929999992</v>
      </c>
      <c r="D27" s="61">
        <f>+D20+D21+D26-(D22+D23+D24+D25)</f>
        <v>36953055.430000037</v>
      </c>
      <c r="E27" s="62">
        <f>+E20+E21+E26-(E22+E23+E24+E25)</f>
        <v>70931440.090000018</v>
      </c>
      <c r="F27" s="62">
        <f>+F20+F21+F26-(F22+F23+F24+F25)</f>
        <v>-470656.1700000267</v>
      </c>
      <c r="G27" s="61">
        <f>+G20+G21+G26-(G22+G23+G24+G25)</f>
        <v>58131124.420000196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>
        <f>+'10 2021'!C28+'11 2021'!C28+'12 2021'!C28</f>
        <v>0</v>
      </c>
      <c r="D28" s="51">
        <f>+'10 2021'!D28+'11 2021'!D28+'12 2021'!D28</f>
        <v>361738.87</v>
      </c>
      <c r="E28" s="52">
        <f>+'10 2021'!E28+'11 2021'!E28+'12 2021'!E28</f>
        <v>0</v>
      </c>
      <c r="F28" s="53">
        <f>+'10 2021'!F28+'11 2021'!F28+'12 2021'!F28</f>
        <v>18149.060000000001</v>
      </c>
      <c r="G28" s="51">
        <f>+C28+D28+E28+F28</f>
        <v>379887.93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>
        <f>+'10 2021'!C29+'11 2021'!C29+'12 2021'!C29</f>
        <v>1375455.65</v>
      </c>
      <c r="D29" s="58">
        <f>+'10 2021'!D29+'11 2021'!D29+'12 2021'!D29</f>
        <v>250296.38</v>
      </c>
      <c r="E29" s="59">
        <f>+'10 2021'!E29+'11 2021'!E29+'12 2021'!E29</f>
        <v>0</v>
      </c>
      <c r="F29" s="60">
        <f>+'10 2021'!F29+'11 2021'!F29+'12 2021'!F29</f>
        <v>0</v>
      </c>
      <c r="G29" s="58">
        <f>+C29+D29+E29+F29</f>
        <v>1625752.0299999998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-1375455.65</v>
      </c>
      <c r="D30" s="61">
        <f>+D28-D29</f>
        <v>111442.48999999999</v>
      </c>
      <c r="E30" s="62">
        <f>+E28-E29</f>
        <v>0</v>
      </c>
      <c r="F30" s="63">
        <f>+F28-F29</f>
        <v>18149.060000000001</v>
      </c>
      <c r="G30" s="61">
        <f>+G28-G29</f>
        <v>-1245864.0999999999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-50658170.579999991</v>
      </c>
      <c r="D31" s="61">
        <f>+D27+D30</f>
        <v>37064497.920000039</v>
      </c>
      <c r="E31" s="62">
        <f>+E27+E30</f>
        <v>70931440.090000018</v>
      </c>
      <c r="F31" s="63">
        <f>+F27+F30</f>
        <v>-452507.1100000267</v>
      </c>
      <c r="G31" s="61">
        <f>+G27+G30</f>
        <v>56885260.320000194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>
        <f>+'10 2021'!C32+'11 2021'!C32+'12 2021'!C32</f>
        <v>0</v>
      </c>
      <c r="D32" s="51">
        <f>+'10 2021'!D32+'11 2021'!D32+'12 2021'!D32</f>
        <v>0</v>
      </c>
      <c r="E32" s="52">
        <f>+'10 2021'!E32+'11 2021'!E32+'12 2021'!E32</f>
        <v>0</v>
      </c>
      <c r="F32" s="53">
        <f>+'10 2021'!F32+'11 2021'!F32+'12 2021'!F32</f>
        <v>0</v>
      </c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>
        <f>+'10 2021'!C33+'11 2021'!C33+'12 2021'!C33</f>
        <v>0</v>
      </c>
      <c r="D33" s="54">
        <f>+'10 2021'!D33+'11 2021'!D33+'12 2021'!D33</f>
        <v>0</v>
      </c>
      <c r="E33" s="55">
        <f>+'10 2021'!E33+'11 2021'!E33+'12 2021'!E33</f>
        <v>0</v>
      </c>
      <c r="F33" s="56">
        <f>+'10 2021'!F33+'11 2021'!F33+'12 2021'!F33</f>
        <v>0</v>
      </c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10667295.9</v>
      </c>
      <c r="D34" s="74">
        <f>+D12+D21+D28+D26</f>
        <v>606032819.22000003</v>
      </c>
      <c r="E34" s="75">
        <f>+E12+E21+E28+E26</f>
        <v>190302114.28000003</v>
      </c>
      <c r="F34" s="76">
        <f>+F12+F21+F28+F26</f>
        <v>163329680.05999997</v>
      </c>
      <c r="G34" s="74">
        <f>+G12+G21+G28+G26</f>
        <v>970331909.46000016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61325466.479999997</v>
      </c>
      <c r="D35" s="73">
        <f t="shared" ref="D35:G35" si="1">+D16+D18+D19+D25+D22+D29+D33+D32</f>
        <v>568968321.30000007</v>
      </c>
      <c r="E35" s="77">
        <f t="shared" si="1"/>
        <v>119370674.19</v>
      </c>
      <c r="F35" s="78">
        <f t="shared" si="1"/>
        <v>163782187.16999999</v>
      </c>
      <c r="G35" s="73">
        <f t="shared" si="1"/>
        <v>913446649.13999999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-50658170.579999998</v>
      </c>
      <c r="D36" s="61">
        <f>+D34-D35</f>
        <v>37064497.919999957</v>
      </c>
      <c r="E36" s="62">
        <f>+E34-E35</f>
        <v>70931440.090000033</v>
      </c>
      <c r="F36" s="63">
        <f>+F34-F35</f>
        <v>-452507.11000001431</v>
      </c>
      <c r="G36" s="61">
        <f>+G34-G35</f>
        <v>56885260.320000172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f>+'10 2021'!C37+'11 2021'!C37+'12 2021'!C37</f>
        <v>0</v>
      </c>
      <c r="D37" s="51">
        <f>+'10 2021'!D37+'11 2021'!D37+'12 2021'!D37</f>
        <v>0</v>
      </c>
      <c r="E37" s="52">
        <f>+'10 2021'!E37+'11 2021'!E37+'12 2021'!E37</f>
        <v>0</v>
      </c>
      <c r="F37" s="53">
        <f>+'10 2021'!F37+'11 2021'!F37+'12 2021'!F37</f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f>+'10 2021'!C38+'11 2021'!C38+'12 2021'!C38</f>
        <v>0</v>
      </c>
      <c r="D38" s="58">
        <f>+'10 2021'!D38+'11 2021'!D38+'12 2021'!D38</f>
        <v>0</v>
      </c>
      <c r="E38" s="59">
        <f>+'10 2021'!E38+'11 2021'!E38+'12 2021'!E38</f>
        <v>0</v>
      </c>
      <c r="F38" s="60">
        <f>+'10 2021'!F38+'11 2021'!F38+'12 2021'!F38</f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-50658170.579999998</v>
      </c>
      <c r="D40" s="117">
        <f>+D36</f>
        <v>37064497.919999957</v>
      </c>
      <c r="E40" s="118">
        <f>+E36</f>
        <v>70931440.090000033</v>
      </c>
      <c r="F40" s="119">
        <f>+F36</f>
        <v>-452507.11000001431</v>
      </c>
      <c r="G40" s="117">
        <f>+G36</f>
        <v>56885260.320000172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1.5757025165795207</v>
      </c>
      <c r="E43" s="95">
        <f>+E12/E7</f>
        <v>0.69627496089600349</v>
      </c>
      <c r="F43" s="95">
        <f>+F12/F7</f>
        <v>0.71865254572568171</v>
      </c>
      <c r="G43" s="95">
        <f>+G12/G7</f>
        <v>1.083013295573088</v>
      </c>
      <c r="H43" s="38"/>
    </row>
    <row r="44" spans="1:8" s="37" customFormat="1" ht="18" x14ac:dyDescent="0.35">
      <c r="A44" s="92">
        <v>2</v>
      </c>
      <c r="B44" s="93" t="s">
        <v>53</v>
      </c>
      <c r="C44" s="94">
        <f>+C13/C7</f>
        <v>0.18299747922705314</v>
      </c>
      <c r="D44" s="95">
        <f>+D13/D7</f>
        <v>1.1616079683437679</v>
      </c>
      <c r="E44" s="95">
        <f>+E13/E7</f>
        <v>0.25507796653078957</v>
      </c>
      <c r="F44" s="95">
        <f>+F13/F7</f>
        <v>0.47520887270124468</v>
      </c>
      <c r="G44" s="95">
        <f>+G13/G7</f>
        <v>0.69929770936307034</v>
      </c>
      <c r="H44" s="36"/>
    </row>
    <row r="45" spans="1:8" s="37" customFormat="1" ht="18" x14ac:dyDescent="0.35">
      <c r="A45" s="92">
        <v>3</v>
      </c>
      <c r="B45" s="93" t="s">
        <v>56</v>
      </c>
      <c r="C45" s="94">
        <f>+C13/C12</f>
        <v>0.18299747922705314</v>
      </c>
      <c r="D45" s="95">
        <f>+D13/D12</f>
        <v>0.73720004640555215</v>
      </c>
      <c r="E45" s="95">
        <f>+E13/E12</f>
        <v>0.36634660278827452</v>
      </c>
      <c r="F45" s="95">
        <f>+F13/F12</f>
        <v>0.66124982862391146</v>
      </c>
      <c r="G45" s="95">
        <f>+G13/G12</f>
        <v>0.64569632914158226</v>
      </c>
      <c r="H45" s="36"/>
    </row>
    <row r="46" spans="1:8" s="37" customFormat="1" ht="18" x14ac:dyDescent="0.35">
      <c r="A46" s="92">
        <v>4</v>
      </c>
      <c r="B46" s="93" t="s">
        <v>57</v>
      </c>
      <c r="C46" s="94">
        <f>+C16/C12</f>
        <v>1.3505453594202896</v>
      </c>
      <c r="D46" s="95">
        <f>+D16/D12</f>
        <v>0.76481034688345439</v>
      </c>
      <c r="E46" s="95">
        <f>+E16/E12</f>
        <v>0.42327599554919032</v>
      </c>
      <c r="F46" s="95">
        <f>+F16/F12</f>
        <v>0.74486011829261822</v>
      </c>
      <c r="G46" s="95">
        <f>+G16/G12</f>
        <v>0.70066290454257341</v>
      </c>
      <c r="H46" s="36"/>
    </row>
    <row r="47" spans="1:8" s="37" customFormat="1" ht="18" x14ac:dyDescent="0.35">
      <c r="A47" s="92">
        <v>5</v>
      </c>
      <c r="B47" s="93" t="s">
        <v>58</v>
      </c>
      <c r="C47" s="94">
        <f>+C18/C12</f>
        <v>4.0755928231884058</v>
      </c>
      <c r="D47" s="95">
        <f>+D18/D12</f>
        <v>0.1388996440568365</v>
      </c>
      <c r="E47" s="95">
        <f>+E18/E12</f>
        <v>0.17596945004782968</v>
      </c>
      <c r="F47" s="95">
        <f>+F18/F12</f>
        <v>0.2067756119632308</v>
      </c>
      <c r="G47" s="95">
        <f>+G18/G12</f>
        <v>0.19963507081929349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-8.6010888385570403E-2</v>
      </c>
      <c r="D48" s="95">
        <f>+D17/D18</f>
        <v>1.6932343830939414</v>
      </c>
      <c r="E48" s="95">
        <f>+E17/E18</f>
        <v>3.2774098247965893</v>
      </c>
      <c r="F48" s="95">
        <f>+F17/F18</f>
        <v>1.2338973599688883</v>
      </c>
      <c r="G48" s="95">
        <f>+G17/G18</f>
        <v>1.4994213903847677</v>
      </c>
      <c r="H48" s="36"/>
    </row>
    <row r="49" spans="1:8" s="37" customFormat="1" ht="18" x14ac:dyDescent="0.35">
      <c r="A49" s="92">
        <v>7</v>
      </c>
      <c r="B49" s="93" t="s">
        <v>55</v>
      </c>
      <c r="C49" s="94">
        <f>+C20/C12</f>
        <v>-4.4468005478260864</v>
      </c>
      <c r="D49" s="95">
        <f>+D20/D12</f>
        <v>8.9943140347488904E-2</v>
      </c>
      <c r="E49" s="95">
        <f>+E20/E12</f>
        <v>0.38625471416321261</v>
      </c>
      <c r="F49" s="95">
        <f>+F20/F12</f>
        <v>8.3000331785553893E-3</v>
      </c>
      <c r="G49" s="95">
        <f>+G20/G12</f>
        <v>8.5923348384277398E-2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selectLockedCells="1" selectUnlockedCells="1"/>
  <mergeCells count="5">
    <mergeCell ref="A42:G42"/>
    <mergeCell ref="T1:U1"/>
    <mergeCell ref="T2:U2"/>
    <mergeCell ref="T3:U3"/>
    <mergeCell ref="A5:G5"/>
  </mergeCells>
  <conditionalFormatting sqref="D1:G4 C43:G1048576 D41:G41 D28:F40 D6:F26">
    <cfRule type="cellIs" dxfId="58" priority="10" operator="lessThan">
      <formula>-0.01</formula>
    </cfRule>
  </conditionalFormatting>
  <conditionalFormatting sqref="C1:C4 C28:C41 C6:C26">
    <cfRule type="cellIs" dxfId="57" priority="9" operator="lessThan">
      <formula>-0.01</formula>
    </cfRule>
  </conditionalFormatting>
  <conditionalFormatting sqref="G28:G40 G7:G26">
    <cfRule type="cellIs" dxfId="56" priority="8" operator="lessThan">
      <formula>-0.01</formula>
    </cfRule>
  </conditionalFormatting>
  <conditionalFormatting sqref="G6">
    <cfRule type="cellIs" dxfId="55" priority="7" operator="lessThan">
      <formula>-0.01</formula>
    </cfRule>
  </conditionalFormatting>
  <conditionalFormatting sqref="D27:F27">
    <cfRule type="cellIs" dxfId="54" priority="3" operator="lessThan">
      <formula>-0.01</formula>
    </cfRule>
  </conditionalFormatting>
  <conditionalFormatting sqref="C27">
    <cfRule type="cellIs" dxfId="53" priority="2" operator="lessThan">
      <formula>-0.01</formula>
    </cfRule>
  </conditionalFormatting>
  <conditionalFormatting sqref="G27">
    <cfRule type="cellIs" dxfId="52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Z51"/>
  <sheetViews>
    <sheetView view="pageBreakPreview" zoomScale="80" zoomScaleNormal="50" zoomScaleSheetLayoutView="80" workbookViewId="0">
      <pane xSplit="2" ySplit="6" topLeftCell="G7" activePane="bottomRight" state="frozen"/>
      <selection activeCell="C5" sqref="C5:D5"/>
      <selection pane="topRight" activeCell="C5" sqref="C5:D5"/>
      <selection pane="bottomLeft" activeCell="C5" sqref="C5:D5"/>
      <selection pane="bottomRight" activeCell="K20" sqref="K20"/>
    </sheetView>
  </sheetViews>
  <sheetFormatPr baseColWidth="10" defaultColWidth="11.44140625" defaultRowHeight="23.4" x14ac:dyDescent="0.45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16384" width="11.44140625" style="1"/>
  </cols>
  <sheetData>
    <row r="1" spans="1:26" s="42" customFormat="1" ht="13.8" customHeight="1" x14ac:dyDescent="0.45">
      <c r="A1" s="25"/>
      <c r="B1" s="39"/>
      <c r="C1" s="40"/>
      <c r="D1" s="40"/>
      <c r="E1" s="40"/>
      <c r="F1" s="40"/>
      <c r="G1" s="97"/>
      <c r="H1" s="39"/>
      <c r="I1" s="39"/>
      <c r="M1" s="39"/>
      <c r="N1" s="39"/>
      <c r="O1" s="344"/>
      <c r="P1" s="344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s="42" customFormat="1" ht="13.8" customHeight="1" x14ac:dyDescent="0.45">
      <c r="A2" s="25"/>
      <c r="B2" s="43"/>
      <c r="C2" s="44"/>
      <c r="D2" s="44"/>
      <c r="E2" s="44"/>
      <c r="F2" s="44"/>
      <c r="G2" s="98"/>
      <c r="H2" s="39"/>
      <c r="I2" s="39"/>
      <c r="M2" s="43"/>
      <c r="N2" s="45"/>
      <c r="O2" s="345"/>
      <c r="P2" s="345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42" customFormat="1" ht="13.8" customHeight="1" x14ac:dyDescent="0.4">
      <c r="A3" s="46"/>
      <c r="B3" s="47"/>
      <c r="C3" s="48"/>
      <c r="D3" s="48"/>
      <c r="E3" s="48"/>
      <c r="F3" s="48"/>
      <c r="G3" s="99"/>
      <c r="H3" s="46"/>
      <c r="I3" s="46"/>
      <c r="M3" s="46"/>
      <c r="N3" s="46"/>
      <c r="O3" s="346"/>
      <c r="P3" s="3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s="42" customFormat="1" ht="13.8" customHeight="1" x14ac:dyDescent="0.4">
      <c r="A4" s="46"/>
      <c r="B4" s="46"/>
      <c r="C4" s="50"/>
      <c r="D4" s="50"/>
      <c r="E4" s="50"/>
      <c r="F4" s="50"/>
      <c r="G4" s="321" t="s">
        <v>145</v>
      </c>
    </row>
    <row r="5" spans="1:26" ht="26.4" thickBot="1" x14ac:dyDescent="0.55000000000000004">
      <c r="A5" s="347" t="s">
        <v>102</v>
      </c>
      <c r="B5" s="347"/>
      <c r="C5" s="347"/>
      <c r="D5" s="347"/>
      <c r="E5" s="347"/>
      <c r="F5" s="347"/>
      <c r="G5" s="347"/>
    </row>
    <row r="6" spans="1:26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</row>
    <row r="7" spans="1:26" s="29" customFormat="1" ht="30.75" customHeight="1" x14ac:dyDescent="0.35">
      <c r="A7" s="101"/>
      <c r="B7" s="79" t="s">
        <v>2</v>
      </c>
      <c r="C7" s="51">
        <f>+'T01 2021'!C7+'T02 2021'!C7+'T03 2021'!C7+'T04 2021'!C7</f>
        <v>41400000</v>
      </c>
      <c r="D7" s="51">
        <f>+'T01 2021'!D7+'T02 2021'!D7+'T03 2021'!D7+'T04 2021'!D7</f>
        <v>1113868678.1600001</v>
      </c>
      <c r="E7" s="52">
        <f>+'T01 2021'!E7+'T02 2021'!E7+'T03 2021'!E7+'T04 2021'!E7</f>
        <v>716981418.81000006</v>
      </c>
      <c r="F7" s="53">
        <f>+'T01 2021'!F7+'T02 2021'!F7+'T03 2021'!F7+'T04 2021'!F7</f>
        <v>762120129.38</v>
      </c>
      <c r="G7" s="51">
        <f>+C7+D7+E7+F7</f>
        <v>2634370226.3500004</v>
      </c>
    </row>
    <row r="8" spans="1:26" s="29" customFormat="1" ht="30.75" customHeight="1" x14ac:dyDescent="0.35">
      <c r="A8" s="102"/>
      <c r="B8" s="80" t="s">
        <v>42</v>
      </c>
      <c r="C8" s="54">
        <f>+'T01 2021'!C8+'T02 2021'!C8+'T03 2021'!C8+'T04 2021'!C8</f>
        <v>0</v>
      </c>
      <c r="D8" s="54">
        <f>+'T01 2021'!D8+'T02 2021'!D8+'T03 2021'!D8+'T04 2021'!D8</f>
        <v>2449149</v>
      </c>
      <c r="E8" s="55">
        <f>+'T01 2021'!E8+'T02 2021'!E8+'T03 2021'!E8+'T04 2021'!E8</f>
        <v>0</v>
      </c>
      <c r="F8" s="56">
        <f>+'T01 2021'!F8+'T02 2021'!F8+'T03 2021'!F8+'T04 2021'!F8</f>
        <v>0</v>
      </c>
      <c r="G8" s="51">
        <f>+C8+D8+E8+F8</f>
        <v>2449149</v>
      </c>
      <c r="I8" s="30"/>
    </row>
    <row r="9" spans="1:26" s="27" customFormat="1" ht="30.75" customHeight="1" x14ac:dyDescent="0.35">
      <c r="A9" s="102"/>
      <c r="B9" s="81" t="s">
        <v>3</v>
      </c>
      <c r="C9" s="54">
        <f>+'T01 2021'!C9+'T02 2021'!C9+'T03 2021'!C9+'T04 2021'!C9</f>
        <v>0</v>
      </c>
      <c r="D9" s="57">
        <f>+'T01 2021'!D9+'T02 2021'!D9+'T03 2021'!D9+'T04 2021'!D9</f>
        <v>583896772.02999997</v>
      </c>
      <c r="E9" s="55">
        <f>+'T01 2021'!E9+'T02 2021'!E9+'T03 2021'!E9+'T04 2021'!E9</f>
        <v>-252400609.19999999</v>
      </c>
      <c r="F9" s="56">
        <f>+'T01 2021'!F9+'T02 2021'!F9+'T03 2021'!F9+'T04 2021'!F9</f>
        <v>-220251447.81</v>
      </c>
      <c r="G9" s="51">
        <f>+C9+D9+E9+F9</f>
        <v>111244715.01999998</v>
      </c>
    </row>
    <row r="10" spans="1:26" s="27" customFormat="1" ht="30.75" customHeight="1" x14ac:dyDescent="0.35">
      <c r="A10" s="102"/>
      <c r="B10" s="81" t="s">
        <v>4</v>
      </c>
      <c r="C10" s="54">
        <f>+'T01 2021'!C10+'T02 2021'!C10+'T03 2021'!C10+'T04 2021'!C10</f>
        <v>0</v>
      </c>
      <c r="D10" s="54">
        <f>+'T01 2021'!D10+'T02 2021'!D10+'T03 2021'!D10+'T04 2021'!D10</f>
        <v>1074900.48</v>
      </c>
      <c r="E10" s="55">
        <f>+'T01 2021'!E10+'T02 2021'!E10+'T03 2021'!E10+'T04 2021'!E10</f>
        <v>0</v>
      </c>
      <c r="F10" s="56">
        <f>+'T01 2021'!F10+'T02 2021'!F10+'T03 2021'!F10+'T04 2021'!F10</f>
        <v>0</v>
      </c>
      <c r="G10" s="51">
        <f>+C10+D10+E10+F10</f>
        <v>1074900.48</v>
      </c>
    </row>
    <row r="11" spans="1:26" s="27" customFormat="1" ht="30.75" customHeight="1" thickBot="1" x14ac:dyDescent="0.4">
      <c r="A11" s="103"/>
      <c r="B11" s="82" t="s">
        <v>5</v>
      </c>
      <c r="C11" s="58">
        <f>+'T01 2021'!C11+'T02 2021'!C11+'T03 2021'!C11+'T04 2021'!C11</f>
        <v>0</v>
      </c>
      <c r="D11" s="58">
        <f>+'T01 2021'!D11+'T02 2021'!D11+'T03 2021'!D11+'T04 2021'!D11</f>
        <v>0</v>
      </c>
      <c r="E11" s="59">
        <f>+'T01 2021'!E11+'T02 2021'!E11+'T03 2021'!E11+'T04 2021'!E11</f>
        <v>0</v>
      </c>
      <c r="F11" s="60">
        <f>+'T01 2021'!F11+'T02 2021'!F11+'T03 2021'!F11+'T04 2021'!F11</f>
        <v>0</v>
      </c>
      <c r="G11" s="112">
        <f>+C11+D11+E11+F11</f>
        <v>0</v>
      </c>
    </row>
    <row r="12" spans="1:26" s="27" customFormat="1" ht="30.75" customHeight="1" thickBot="1" x14ac:dyDescent="0.4">
      <c r="A12" s="104"/>
      <c r="B12" s="83" t="s">
        <v>6</v>
      </c>
      <c r="C12" s="61">
        <f>SUM(C7:C11)</f>
        <v>41400000</v>
      </c>
      <c r="D12" s="61">
        <f>SUM(D7:D11)</f>
        <v>1701289499.6700001</v>
      </c>
      <c r="E12" s="62">
        <f>SUM(E7:E11)</f>
        <v>464580809.61000007</v>
      </c>
      <c r="F12" s="63">
        <f>SUM(F7:F11)</f>
        <v>541868681.56999993</v>
      </c>
      <c r="G12" s="61">
        <f>SUM(G7:G11)</f>
        <v>2749138990.8500004</v>
      </c>
    </row>
    <row r="13" spans="1:26" s="32" customFormat="1" ht="30.75" customHeight="1" x14ac:dyDescent="0.35">
      <c r="A13" s="105">
        <v>60</v>
      </c>
      <c r="B13" s="84" t="s">
        <v>7</v>
      </c>
      <c r="C13" s="51">
        <f>+'T01 2021'!C13+'T02 2021'!C13+'T03 2021'!C13+'T04 2021'!C13</f>
        <v>5831097.7599999998</v>
      </c>
      <c r="D13" s="64">
        <f>+'T01 2021'!D13+'T02 2021'!D13+'T03 2021'!D13+'T04 2021'!D13</f>
        <v>1306065229.8699999</v>
      </c>
      <c r="E13" s="65">
        <f>+'T01 2021'!E13+'T02 2021'!E13+'T03 2021'!E13+'T04 2021'!E13</f>
        <v>193415543.59000003</v>
      </c>
      <c r="F13" s="66">
        <f>+'T01 2021'!F13+'T02 2021'!F13+'T03 2021'!F13+'T04 2021'!F13</f>
        <v>363470846.74000001</v>
      </c>
      <c r="G13" s="51">
        <f>+C13+D13+E13+F13</f>
        <v>1868782717.9599998</v>
      </c>
    </row>
    <row r="14" spans="1:26" s="32" customFormat="1" ht="30.75" customHeight="1" x14ac:dyDescent="0.35">
      <c r="A14" s="106" t="s">
        <v>8</v>
      </c>
      <c r="B14" s="82" t="s">
        <v>43</v>
      </c>
      <c r="C14" s="58">
        <f>+'T01 2021'!C14+'T02 2021'!C14+'T03 2021'!C14+'T04 2021'!C14</f>
        <v>41077612.890000001</v>
      </c>
      <c r="D14" s="58">
        <f>+'T01 2021'!D14+'T02 2021'!D14+'T03 2021'!D14+'T04 2021'!D14</f>
        <v>65420348.710000001</v>
      </c>
      <c r="E14" s="59">
        <f>+'T01 2021'!E14+'T02 2021'!E14+'T03 2021'!E14+'T04 2021'!E14</f>
        <v>35016419.170000002</v>
      </c>
      <c r="F14" s="60">
        <f>+'T01 2021'!F14+'T02 2021'!F14+'T03 2021'!F14+'T04 2021'!F14</f>
        <v>32658014.75</v>
      </c>
      <c r="G14" s="58">
        <f>+C14+D14+E14+F14</f>
        <v>174172395.51999998</v>
      </c>
    </row>
    <row r="15" spans="1:26" s="32" customFormat="1" ht="30.75" customHeight="1" thickBot="1" x14ac:dyDescent="0.4">
      <c r="A15" s="229"/>
      <c r="B15" s="230" t="s">
        <v>124</v>
      </c>
      <c r="C15" s="58">
        <f>+'T01 2021'!C15+'T02 2021'!C15+'T03 2021'!C15+'T04 2021'!C15</f>
        <v>1523776.42</v>
      </c>
      <c r="D15" s="58">
        <f>+'T01 2021'!D15+'T02 2021'!D15+'T03 2021'!D15+'T04 2021'!D15</f>
        <v>0</v>
      </c>
      <c r="E15" s="59">
        <f>+'T01 2021'!E15+'T02 2021'!E15+'T03 2021'!E15+'T04 2021'!E15</f>
        <v>0</v>
      </c>
      <c r="F15" s="60">
        <f>+'T01 2021'!F15+'T02 2021'!F15+'T03 2021'!F15+'T04 2021'!F15</f>
        <v>0</v>
      </c>
      <c r="G15" s="58">
        <f>+C15+D15+E15+F15</f>
        <v>1523776.42</v>
      </c>
    </row>
    <row r="16" spans="1:26" s="27" customFormat="1" ht="30.75" customHeight="1" thickBot="1" x14ac:dyDescent="0.4">
      <c r="A16" s="107" t="s">
        <v>9</v>
      </c>
      <c r="B16" s="85" t="s">
        <v>10</v>
      </c>
      <c r="C16" s="61">
        <f>+C13+C14+C15</f>
        <v>48432487.07</v>
      </c>
      <c r="D16" s="61">
        <f>+D13+D14+D15</f>
        <v>1371485578.5799999</v>
      </c>
      <c r="E16" s="62">
        <f>+E13+E14+E15</f>
        <v>228431962.76000005</v>
      </c>
      <c r="F16" s="63">
        <f>+F13+F14+F15</f>
        <v>396128861.49000001</v>
      </c>
      <c r="G16" s="61">
        <f>+G13+G14+G15</f>
        <v>2044478889.8999999</v>
      </c>
    </row>
    <row r="17" spans="1:7" s="27" customFormat="1" ht="30.75" customHeight="1" thickBot="1" x14ac:dyDescent="0.4">
      <c r="A17" s="108" t="s">
        <v>11</v>
      </c>
      <c r="B17" s="86" t="s">
        <v>12</v>
      </c>
      <c r="C17" s="67">
        <f>+C12-C16</f>
        <v>-7032487.0700000003</v>
      </c>
      <c r="D17" s="67">
        <f>+D12-D16</f>
        <v>329803921.09000015</v>
      </c>
      <c r="E17" s="68">
        <f>+E12-E16</f>
        <v>236148846.85000002</v>
      </c>
      <c r="F17" s="69">
        <f>+F12-F16</f>
        <v>145739820.07999992</v>
      </c>
      <c r="G17" s="67">
        <f>+G12-G16</f>
        <v>704660100.95000052</v>
      </c>
    </row>
    <row r="18" spans="1:7" s="32" customFormat="1" ht="30.75" customHeight="1" x14ac:dyDescent="0.35">
      <c r="A18" s="105">
        <v>63</v>
      </c>
      <c r="B18" s="84" t="s">
        <v>44</v>
      </c>
      <c r="C18" s="64">
        <f>+'T01 2021'!C18+'T02 2021'!C18+'T03 2021'!C18+'T04 2021'!C18</f>
        <v>158687238.25</v>
      </c>
      <c r="D18" s="64">
        <f>+'T01 2021'!D18+'T02 2021'!D18+'T03 2021'!D18+'T04 2021'!D18</f>
        <v>354894617.08999997</v>
      </c>
      <c r="E18" s="65">
        <f>+'T01 2021'!E18+'T02 2021'!E18+'T03 2021'!E18+'T04 2021'!E18</f>
        <v>139213088.90000001</v>
      </c>
      <c r="F18" s="66">
        <f>+'T01 2021'!F18+'T02 2021'!F18+'T03 2021'!F18+'T04 2021'!F18</f>
        <v>131336087.52000001</v>
      </c>
      <c r="G18" s="51">
        <f>+C18+D18+E18+F18</f>
        <v>784131031.75999999</v>
      </c>
    </row>
    <row r="19" spans="1:7" s="32" customFormat="1" ht="30.75" customHeight="1" thickBot="1" x14ac:dyDescent="0.4">
      <c r="A19" s="106">
        <v>64</v>
      </c>
      <c r="B19" s="82" t="s">
        <v>13</v>
      </c>
      <c r="C19" s="58">
        <f>+'T01 2021'!C19+'T02 2021'!C19+'T03 2021'!C19+'T04 2021'!C19</f>
        <v>1347095.8199999998</v>
      </c>
      <c r="D19" s="58">
        <f>+'T01 2021'!D19+'T02 2021'!D19+'T03 2021'!D19+'T04 2021'!D19</f>
        <v>11159958.07</v>
      </c>
      <c r="E19" s="59">
        <f>+'T01 2021'!E19+'T02 2021'!E19+'T03 2021'!E19+'T04 2021'!E19</f>
        <v>7424669.21</v>
      </c>
      <c r="F19" s="60">
        <f>+'T01 2021'!F19+'T02 2021'!F19+'T03 2021'!F19+'T04 2021'!F19</f>
        <v>12097231.02</v>
      </c>
      <c r="G19" s="58">
        <f>+C19+D19+E19+F19</f>
        <v>32028954.120000001</v>
      </c>
    </row>
    <row r="20" spans="1:7" s="27" customFormat="1" ht="30.75" customHeight="1" thickBot="1" x14ac:dyDescent="0.4">
      <c r="A20" s="107" t="s">
        <v>14</v>
      </c>
      <c r="B20" s="85" t="s">
        <v>15</v>
      </c>
      <c r="C20" s="61">
        <f>+C17-C18-C19</f>
        <v>-167066821.13999999</v>
      </c>
      <c r="D20" s="61">
        <f>+D17-D18-D19</f>
        <v>-36250654.069999821</v>
      </c>
      <c r="E20" s="62">
        <f>+E17-E18-E19</f>
        <v>89511088.740000024</v>
      </c>
      <c r="F20" s="63">
        <f>+F17-F18-F19</f>
        <v>2306501.5399999134</v>
      </c>
      <c r="G20" s="61">
        <f>+G17-G18-G19</f>
        <v>-111499884.92999947</v>
      </c>
    </row>
    <row r="21" spans="1:7" s="32" customFormat="1" ht="30.75" customHeight="1" x14ac:dyDescent="0.35">
      <c r="A21" s="105">
        <v>75</v>
      </c>
      <c r="B21" s="84" t="s">
        <v>16</v>
      </c>
      <c r="C21" s="51">
        <f>+'T01 2021'!C21+'T02 2021'!C21+'T03 2021'!C21+'T04 2021'!C21</f>
        <v>78628241.430000007</v>
      </c>
      <c r="D21" s="51">
        <f>+'T01 2021'!D21+'T02 2021'!D21+'T03 2021'!D21+'T04 2021'!D21</f>
        <v>8871981.8399999999</v>
      </c>
      <c r="E21" s="52">
        <f>+'T01 2021'!E21+'T02 2021'!E21+'T03 2021'!E21+'T04 2021'!E21</f>
        <v>1.44</v>
      </c>
      <c r="F21" s="53">
        <f>+'T01 2021'!F21+'T02 2021'!F21+'T03 2021'!F21+'T04 2021'!F21</f>
        <v>132176.28</v>
      </c>
      <c r="G21" s="51">
        <f t="shared" ref="G21:G26" si="0">+C21+D21+E21+F21</f>
        <v>87632400.99000001</v>
      </c>
    </row>
    <row r="22" spans="1:7" s="32" customFormat="1" ht="30.75" customHeight="1" x14ac:dyDescent="0.35">
      <c r="A22" s="109">
        <v>65</v>
      </c>
      <c r="B22" s="81" t="s">
        <v>17</v>
      </c>
      <c r="C22" s="54">
        <f>+'T01 2021'!C22+'T02 2021'!C22+'T03 2021'!C22+'T04 2021'!C22</f>
        <v>1454722.7</v>
      </c>
      <c r="D22" s="54">
        <f>+'T01 2021'!D22+'T02 2021'!D22+'T03 2021'!D22+'T04 2021'!D22</f>
        <v>99753.650000000009</v>
      </c>
      <c r="E22" s="55">
        <f>+'T01 2021'!E22+'T02 2021'!E22+'T03 2021'!E22+'T04 2021'!E22</f>
        <v>849647</v>
      </c>
      <c r="F22" s="56">
        <f>+'T01 2021'!F22+'T02 2021'!F22+'T03 2021'!F22+'T04 2021'!F22</f>
        <v>119187.41</v>
      </c>
      <c r="G22" s="54">
        <f t="shared" si="0"/>
        <v>2523310.7599999998</v>
      </c>
    </row>
    <row r="23" spans="1:7" s="27" customFormat="1" ht="30.75" customHeight="1" x14ac:dyDescent="0.35">
      <c r="A23" s="109"/>
      <c r="B23" s="87" t="s">
        <v>18</v>
      </c>
      <c r="C23" s="70">
        <f>+'T01 2021'!C23+'T02 2021'!C23+'T03 2021'!C23+'T04 2021'!C23</f>
        <v>0</v>
      </c>
      <c r="D23" s="70">
        <f>+'T01 2021'!D23+'T02 2021'!D23+'T03 2021'!D23+'T04 2021'!D23</f>
        <v>0</v>
      </c>
      <c r="E23" s="71">
        <f>+'T01 2021'!E23+'T02 2021'!E23+'T03 2021'!E23+'T04 2021'!E23</f>
        <v>0</v>
      </c>
      <c r="F23" s="72">
        <f>+'T01 2021'!F23+'T02 2021'!F23+'T03 2021'!F23+'T04 2021'!F23</f>
        <v>0</v>
      </c>
      <c r="G23" s="70">
        <f t="shared" si="0"/>
        <v>0</v>
      </c>
    </row>
    <row r="24" spans="1:7" s="27" customFormat="1" ht="30.75" customHeight="1" x14ac:dyDescent="0.35">
      <c r="A24" s="109"/>
      <c r="B24" s="87" t="s">
        <v>19</v>
      </c>
      <c r="C24" s="70">
        <f>+'T01 2021'!C24+'T02 2021'!C24+'T03 2021'!C24+'T04 2021'!C24</f>
        <v>0</v>
      </c>
      <c r="D24" s="70">
        <f>+'T01 2021'!D24+'T02 2021'!D24+'T03 2021'!D24+'T04 2021'!D24</f>
        <v>0</v>
      </c>
      <c r="E24" s="71">
        <f>+'T01 2021'!E24+'T02 2021'!E24+'T03 2021'!E24+'T04 2021'!E24</f>
        <v>0</v>
      </c>
      <c r="F24" s="72">
        <f>+'T01 2021'!F24+'T02 2021'!F24+'T03 2021'!F24+'T04 2021'!F24</f>
        <v>0</v>
      </c>
      <c r="G24" s="70">
        <f t="shared" si="0"/>
        <v>0</v>
      </c>
    </row>
    <row r="25" spans="1:7" s="32" customFormat="1" ht="30.75" customHeight="1" x14ac:dyDescent="0.35">
      <c r="A25" s="109">
        <v>68</v>
      </c>
      <c r="B25" s="81" t="s">
        <v>20</v>
      </c>
      <c r="C25" s="54">
        <f>+'T01 2021'!C25+'T02 2021'!C25+'T03 2021'!C25+'T04 2021'!C25</f>
        <v>14586984.250000002</v>
      </c>
      <c r="D25" s="54">
        <f>+'T01 2021'!D25+'T02 2021'!D25+'T03 2021'!D25+'T04 2021'!D25</f>
        <v>70248311.390000001</v>
      </c>
      <c r="E25" s="55">
        <f>+'T01 2021'!E25+'T02 2021'!E25+'T03 2021'!E25+'T04 2021'!E25</f>
        <v>6951934.5199999996</v>
      </c>
      <c r="F25" s="56">
        <f>+'T01 2021'!F25+'T02 2021'!F25+'T03 2021'!F25+'T04 2021'!F25</f>
        <v>6974169.8900000006</v>
      </c>
      <c r="G25" s="57">
        <f t="shared" si="0"/>
        <v>98761400.049999997</v>
      </c>
    </row>
    <row r="26" spans="1:7" s="32" customFormat="1" ht="30.75" customHeight="1" thickBot="1" x14ac:dyDescent="0.4">
      <c r="A26" s="106">
        <v>78</v>
      </c>
      <c r="B26" s="82" t="s">
        <v>21</v>
      </c>
      <c r="C26" s="58">
        <f>+'T01 2021'!C26+'T02 2021'!C26+'T03 2021'!C26+'T04 2021'!C26</f>
        <v>0</v>
      </c>
      <c r="D26" s="58">
        <f>+'T01 2021'!D26+'T02 2021'!D26+'T03 2021'!D26+'T04 2021'!D26</f>
        <v>0</v>
      </c>
      <c r="E26" s="59">
        <f>+'T01 2021'!E26+'T02 2021'!E26+'T03 2021'!E26+'T04 2021'!E26</f>
        <v>0</v>
      </c>
      <c r="F26" s="60">
        <f>+'T01 2021'!F26+'T02 2021'!F26+'T03 2021'!F26+'T04 2021'!F26</f>
        <v>0</v>
      </c>
      <c r="G26" s="58">
        <f t="shared" si="0"/>
        <v>0</v>
      </c>
    </row>
    <row r="27" spans="1:7" s="27" customFormat="1" ht="30.75" customHeight="1" thickBot="1" x14ac:dyDescent="0.4">
      <c r="A27" s="107" t="s">
        <v>22</v>
      </c>
      <c r="B27" s="85" t="s">
        <v>23</v>
      </c>
      <c r="C27" s="61">
        <f t="shared" ref="C27:E27" si="1">+C20+C21+C26-(C22+C23+C24+C25)</f>
        <v>-104480286.65999998</v>
      </c>
      <c r="D27" s="61">
        <f t="shared" si="1"/>
        <v>-97726737.269999832</v>
      </c>
      <c r="E27" s="62">
        <f t="shared" si="1"/>
        <v>81709508.660000026</v>
      </c>
      <c r="F27" s="62">
        <f>+F20+F21+F26-(F22+F23+F24+F25)</f>
        <v>-4654679.480000088</v>
      </c>
      <c r="G27" s="61">
        <f>+G20+G21+G26-(G22+G23+G24+G25)</f>
        <v>-125152194.74999946</v>
      </c>
    </row>
    <row r="28" spans="1:7" s="32" customFormat="1" ht="30.75" customHeight="1" x14ac:dyDescent="0.35">
      <c r="A28" s="105">
        <v>76</v>
      </c>
      <c r="B28" s="84" t="s">
        <v>24</v>
      </c>
      <c r="C28" s="51">
        <f>+'T01 2021'!C28+'T02 2021'!C28+'T03 2021'!C28+'T04 2021'!C28</f>
        <v>151180271.78</v>
      </c>
      <c r="D28" s="51">
        <f>+'T01 2021'!D28+'T02 2021'!D28+'T03 2021'!D28+'T04 2021'!D28</f>
        <v>1462004.8599999999</v>
      </c>
      <c r="E28" s="52">
        <f>+'T01 2021'!E28+'T02 2021'!E28+'T03 2021'!E28+'T04 2021'!E28</f>
        <v>31471.129999999997</v>
      </c>
      <c r="F28" s="53">
        <f>+'T01 2021'!F28+'T02 2021'!F28+'T03 2021'!F28+'T04 2021'!F28</f>
        <v>18149.060000000001</v>
      </c>
      <c r="G28" s="51">
        <f>+C28+D28+E28+F28</f>
        <v>152691896.83000001</v>
      </c>
    </row>
    <row r="29" spans="1:7" s="32" customFormat="1" ht="30.75" customHeight="1" thickBot="1" x14ac:dyDescent="0.4">
      <c r="A29" s="106">
        <v>66</v>
      </c>
      <c r="B29" s="82" t="s">
        <v>25</v>
      </c>
      <c r="C29" s="73">
        <f>+'T01 2021'!C29+'T02 2021'!C29+'T03 2021'!C29+'T04 2021'!C29</f>
        <v>1375455.65</v>
      </c>
      <c r="D29" s="58">
        <f>+'T01 2021'!D29+'T02 2021'!D29+'T03 2021'!D29+'T04 2021'!D29</f>
        <v>2203693.96</v>
      </c>
      <c r="E29" s="59">
        <f>+'T01 2021'!E29+'T02 2021'!E29+'T03 2021'!E29+'T04 2021'!E29</f>
        <v>0</v>
      </c>
      <c r="F29" s="60">
        <f>+'T01 2021'!F29+'T02 2021'!F29+'T03 2021'!F29+'T04 2021'!F29</f>
        <v>0</v>
      </c>
      <c r="G29" s="58">
        <f>+C29+D29+E29+F29</f>
        <v>3579149.61</v>
      </c>
    </row>
    <row r="30" spans="1:7" s="27" customFormat="1" ht="30.75" customHeight="1" thickBot="1" x14ac:dyDescent="0.4">
      <c r="A30" s="107" t="s">
        <v>26</v>
      </c>
      <c r="B30" s="85" t="s">
        <v>27</v>
      </c>
      <c r="C30" s="61">
        <f>+C28-C29</f>
        <v>149804816.13</v>
      </c>
      <c r="D30" s="61">
        <f>+D28-D29</f>
        <v>-741689.10000000009</v>
      </c>
      <c r="E30" s="62">
        <f>+E28-E29</f>
        <v>31471.129999999997</v>
      </c>
      <c r="F30" s="63">
        <f>+F28-F29</f>
        <v>18149.060000000001</v>
      </c>
      <c r="G30" s="61">
        <f>+G28-G29</f>
        <v>149112747.22</v>
      </c>
    </row>
    <row r="31" spans="1:7" s="27" customFormat="1" ht="30.75" customHeight="1" thickBot="1" x14ac:dyDescent="0.4">
      <c r="A31" s="107" t="s">
        <v>28</v>
      </c>
      <c r="B31" s="85" t="s">
        <v>29</v>
      </c>
      <c r="C31" s="61">
        <f>+C27+C30</f>
        <v>45324529.470000014</v>
      </c>
      <c r="D31" s="61">
        <f>+D27+D30</f>
        <v>-98468426.369999826</v>
      </c>
      <c r="E31" s="62">
        <f>+E27+E30</f>
        <v>81740979.790000021</v>
      </c>
      <c r="F31" s="63">
        <f>+F27+F30</f>
        <v>-4636530.4200000884</v>
      </c>
      <c r="G31" s="61">
        <f>+G27+G30</f>
        <v>23960552.470000535</v>
      </c>
    </row>
    <row r="32" spans="1:7" s="32" customFormat="1" ht="30.75" customHeight="1" x14ac:dyDescent="0.35">
      <c r="A32" s="105" t="s">
        <v>30</v>
      </c>
      <c r="B32" s="84" t="s">
        <v>31</v>
      </c>
      <c r="C32" s="51">
        <f>+'T01 2021'!C32+'T02 2021'!C32+'T03 2021'!C32+'T04 2021'!C32</f>
        <v>-10000</v>
      </c>
      <c r="D32" s="51">
        <f>+'T01 2021'!D32+'T02 2021'!D32+'T03 2021'!D32+'T04 2021'!D32</f>
        <v>0</v>
      </c>
      <c r="E32" s="52">
        <f>+'T01 2021'!E32+'T02 2021'!E32+'T03 2021'!E32+'T04 2021'!E32</f>
        <v>0</v>
      </c>
      <c r="F32" s="53">
        <f>+'T01 2021'!F32+'T02 2021'!F32+'T03 2021'!F32+'T04 2021'!F32</f>
        <v>0</v>
      </c>
      <c r="G32" s="51">
        <f>+C32+D32+E32+F32</f>
        <v>-10000</v>
      </c>
    </row>
    <row r="33" spans="1:7" s="32" customFormat="1" ht="30.75" customHeight="1" x14ac:dyDescent="0.35">
      <c r="A33" s="109" t="s">
        <v>32</v>
      </c>
      <c r="B33" s="81" t="s">
        <v>33</v>
      </c>
      <c r="C33" s="54">
        <f>+'T01 2021'!C33+'T02 2021'!C33+'T03 2021'!C33+'T04 2021'!C33</f>
        <v>0</v>
      </c>
      <c r="D33" s="54">
        <f>+'T01 2021'!D33+'T02 2021'!D33+'T03 2021'!D33+'T04 2021'!D33</f>
        <v>0</v>
      </c>
      <c r="E33" s="55">
        <f>+'T01 2021'!E33+'T02 2021'!E33+'T03 2021'!E33+'T04 2021'!E33</f>
        <v>0</v>
      </c>
      <c r="F33" s="56">
        <f>+'T01 2021'!F33+'T02 2021'!F33+'T03 2021'!F33+'T04 2021'!F33</f>
        <v>0</v>
      </c>
      <c r="G33" s="54">
        <f>+C33+D33+E33+F33</f>
        <v>0</v>
      </c>
    </row>
    <row r="34" spans="1:7" s="37" customFormat="1" ht="30.75" customHeight="1" x14ac:dyDescent="0.35">
      <c r="A34" s="110"/>
      <c r="B34" s="88" t="s">
        <v>45</v>
      </c>
      <c r="C34" s="74">
        <f t="shared" ref="C34:E34" si="2">+C12+C21+C28+C26</f>
        <v>271208513.21000004</v>
      </c>
      <c r="D34" s="74">
        <f t="shared" si="2"/>
        <v>1711623486.3699999</v>
      </c>
      <c r="E34" s="75">
        <f t="shared" si="2"/>
        <v>464612282.18000007</v>
      </c>
      <c r="F34" s="76">
        <f>+F12+F21+F28+F26</f>
        <v>542019006.90999985</v>
      </c>
      <c r="G34" s="74">
        <f t="shared" ref="G34" si="3">+G12+G21+G28+G26</f>
        <v>2989463288.6700001</v>
      </c>
    </row>
    <row r="35" spans="1:7" s="37" customFormat="1" ht="30.75" customHeight="1" thickBot="1" x14ac:dyDescent="0.4">
      <c r="A35" s="111"/>
      <c r="B35" s="89" t="s">
        <v>46</v>
      </c>
      <c r="C35" s="73">
        <f>+C16+C18+C19+C25+C22+C29+C33-C32</f>
        <v>225893983.73999998</v>
      </c>
      <c r="D35" s="73">
        <f>+D16+D18+D19+D25+D22+D29+D33-D32</f>
        <v>1810091912.74</v>
      </c>
      <c r="E35" s="77">
        <f>+E16+E18+E19+E25+E22+E29+E33-E32</f>
        <v>382871302.39000005</v>
      </c>
      <c r="F35" s="78">
        <f>+F16+F18+F19+F25+F22+F29+F33-F32</f>
        <v>546655537.32999992</v>
      </c>
      <c r="G35" s="73">
        <f>+G16+G18+G19+G25+G22+G29+G33-G32</f>
        <v>2965512736.2000003</v>
      </c>
    </row>
    <row r="36" spans="1:7" s="27" customFormat="1" ht="30.75" customHeight="1" thickBot="1" x14ac:dyDescent="0.4">
      <c r="A36" s="107" t="s">
        <v>34</v>
      </c>
      <c r="B36" s="85" t="s">
        <v>35</v>
      </c>
      <c r="C36" s="61">
        <f>+C34-C35</f>
        <v>45314529.470000058</v>
      </c>
      <c r="D36" s="61">
        <f>+D34-D35</f>
        <v>-98468426.370000124</v>
      </c>
      <c r="E36" s="62">
        <f>+E34-E35</f>
        <v>81740979.790000021</v>
      </c>
      <c r="F36" s="63">
        <f>+F34-F35</f>
        <v>-4636530.4200000763</v>
      </c>
      <c r="G36" s="61">
        <f>+G34-G35</f>
        <v>23950552.46999979</v>
      </c>
    </row>
    <row r="37" spans="1:7" s="32" customFormat="1" ht="30.75" customHeight="1" x14ac:dyDescent="0.35">
      <c r="A37" s="105">
        <v>77</v>
      </c>
      <c r="B37" s="84" t="s">
        <v>36</v>
      </c>
      <c r="C37" s="51">
        <f>+'T01 2021'!C37+'T02 2021'!C37+'T03 2021'!C37+'T04 2021'!C37</f>
        <v>0</v>
      </c>
      <c r="D37" s="51">
        <f>+'T01 2021'!D37+'T02 2021'!D37+'T03 2021'!D37+'T04 2021'!D37</f>
        <v>0</v>
      </c>
      <c r="E37" s="52">
        <f>+'T01 2021'!E37+'T02 2021'!E37+'T03 2021'!E37+'T04 2021'!E37</f>
        <v>0</v>
      </c>
      <c r="F37" s="53">
        <f>+'T01 2021'!F37+'T02 2021'!F37+'T03 2021'!F37+'T04 2021'!F37</f>
        <v>0</v>
      </c>
      <c r="G37" s="51">
        <f>+C37+D37+E37+F37</f>
        <v>0</v>
      </c>
    </row>
    <row r="38" spans="1:7" s="32" customFormat="1" ht="30.75" customHeight="1" thickBot="1" x14ac:dyDescent="0.4">
      <c r="A38" s="106">
        <v>67</v>
      </c>
      <c r="B38" s="82" t="s">
        <v>37</v>
      </c>
      <c r="C38" s="58">
        <f>+'T01 2021'!C38+'T02 2021'!C38+'T03 2021'!C38+'T04 2021'!C38</f>
        <v>0</v>
      </c>
      <c r="D38" s="58">
        <f>+'T01 2021'!D38+'T02 2021'!D38+'T03 2021'!D38+'T04 2021'!D38</f>
        <v>0</v>
      </c>
      <c r="E38" s="59">
        <f>+'T01 2021'!E38+'T02 2021'!E38+'T03 2021'!E38+'T04 2021'!E38</f>
        <v>0</v>
      </c>
      <c r="F38" s="60">
        <f>+'T01 2021'!F38+'T02 2021'!F38+'T03 2021'!F38+'T04 2021'!F38</f>
        <v>0</v>
      </c>
      <c r="G38" s="58">
        <f>+C38+D38+E38+F38</f>
        <v>0</v>
      </c>
    </row>
    <row r="39" spans="1:7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</row>
    <row r="40" spans="1:7" s="27" customFormat="1" ht="30.6" customHeight="1" x14ac:dyDescent="0.35">
      <c r="A40" s="115" t="s">
        <v>40</v>
      </c>
      <c r="B40" s="116" t="s">
        <v>41</v>
      </c>
      <c r="C40" s="117">
        <f>+C36</f>
        <v>45314529.470000058</v>
      </c>
      <c r="D40" s="117">
        <f>+D36</f>
        <v>-98468426.370000124</v>
      </c>
      <c r="E40" s="118">
        <f>+E36</f>
        <v>81740979.790000021</v>
      </c>
      <c r="F40" s="119">
        <f>+F36</f>
        <v>-4636530.4200000763</v>
      </c>
      <c r="G40" s="117">
        <f>+G36</f>
        <v>23950552.46999979</v>
      </c>
    </row>
    <row r="41" spans="1:7" s="27" customFormat="1" ht="11.4" customHeight="1" x14ac:dyDescent="0.35">
      <c r="A41" s="90"/>
      <c r="B41" s="90"/>
      <c r="C41" s="91"/>
      <c r="D41" s="91"/>
      <c r="E41" s="91"/>
      <c r="F41" s="91"/>
      <c r="G41" s="91"/>
    </row>
    <row r="42" spans="1:7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</row>
    <row r="43" spans="1:7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1.5273699072680278</v>
      </c>
      <c r="E43" s="95">
        <f>+E12/E7</f>
        <v>0.64796771216342208</v>
      </c>
      <c r="F43" s="95">
        <f>+F12/F7</f>
        <v>0.71100166585393954</v>
      </c>
      <c r="G43" s="95">
        <f>+G12/G7</f>
        <v>1.0435659207472199</v>
      </c>
    </row>
    <row r="44" spans="1:7" s="37" customFormat="1" ht="18" x14ac:dyDescent="0.35">
      <c r="A44" s="92">
        <v>2</v>
      </c>
      <c r="B44" s="93" t="s">
        <v>53</v>
      </c>
      <c r="C44" s="94">
        <f>+C13/C7</f>
        <v>0.14084777198067633</v>
      </c>
      <c r="D44" s="95">
        <f>+D13/D7</f>
        <v>1.1725486634811291</v>
      </c>
      <c r="E44" s="95">
        <f>+E13/E7</f>
        <v>0.26976367659711292</v>
      </c>
      <c r="F44" s="95">
        <f>+F13/F7</f>
        <v>0.47692067526899051</v>
      </c>
      <c r="G44" s="95">
        <f>+G13/G7</f>
        <v>0.70938499807950484</v>
      </c>
    </row>
    <row r="45" spans="1:7" s="37" customFormat="1" ht="18" x14ac:dyDescent="0.35">
      <c r="A45" s="92">
        <v>3</v>
      </c>
      <c r="B45" s="93" t="s">
        <v>56</v>
      </c>
      <c r="C45" s="94">
        <f>+C13/C12</f>
        <v>0.14084777198067633</v>
      </c>
      <c r="D45" s="95">
        <f>+D13/D12</f>
        <v>0.76769134831158248</v>
      </c>
      <c r="E45" s="95">
        <f>+E13/E12</f>
        <v>0.41632271413097294</v>
      </c>
      <c r="F45" s="95">
        <f>+F13/F12</f>
        <v>0.67077293651090253</v>
      </c>
      <c r="G45" s="95">
        <f>+G13/G12</f>
        <v>0.67977018411215173</v>
      </c>
    </row>
    <row r="46" spans="1:7" s="37" customFormat="1" ht="18" x14ac:dyDescent="0.35">
      <c r="A46" s="92">
        <v>4</v>
      </c>
      <c r="B46" s="93" t="s">
        <v>57</v>
      </c>
      <c r="C46" s="94">
        <f>+C16/C12</f>
        <v>1.1698668374396135</v>
      </c>
      <c r="D46" s="95">
        <f>+D16/D12</f>
        <v>0.80614473835642175</v>
      </c>
      <c r="E46" s="95">
        <f>+E16/E12</f>
        <v>0.49169478815055012</v>
      </c>
      <c r="F46" s="95">
        <f>+F16/F12</f>
        <v>0.73104217859992171</v>
      </c>
      <c r="G46" s="95">
        <f>+G16/G12</f>
        <v>0.74367971088572415</v>
      </c>
    </row>
    <row r="47" spans="1:7" s="37" customFormat="1" ht="18" x14ac:dyDescent="0.35">
      <c r="A47" s="92">
        <v>5</v>
      </c>
      <c r="B47" s="93" t="s">
        <v>58</v>
      </c>
      <c r="C47" s="94">
        <f>+C18/C12</f>
        <v>3.8330250785024154</v>
      </c>
      <c r="D47" s="95">
        <f>+D18/D12</f>
        <v>0.20860330776087141</v>
      </c>
      <c r="E47" s="95">
        <f>+E18/E12</f>
        <v>0.29965311958723545</v>
      </c>
      <c r="F47" s="95">
        <f>+F18/F12</f>
        <v>0.24237622875614317</v>
      </c>
      <c r="G47" s="95">
        <f>+G18/G12</f>
        <v>0.28522786020271612</v>
      </c>
    </row>
    <row r="48" spans="1:7" s="37" customFormat="1" ht="18" x14ac:dyDescent="0.35">
      <c r="A48" s="92">
        <v>6</v>
      </c>
      <c r="B48" s="93" t="s">
        <v>54</v>
      </c>
      <c r="C48" s="94">
        <f>+C17/C18</f>
        <v>-4.4316651720416468E-2</v>
      </c>
      <c r="D48" s="95">
        <f>+D17/D18</f>
        <v>0.92930099586819903</v>
      </c>
      <c r="E48" s="95">
        <f>+E17/E18</f>
        <v>1.6963120976335151</v>
      </c>
      <c r="F48" s="95">
        <f>+F17/F18</f>
        <v>1.109670790656121</v>
      </c>
      <c r="G48" s="95">
        <f>+G17/G18</f>
        <v>0.89865095552764296</v>
      </c>
    </row>
    <row r="49" spans="1:7" s="37" customFormat="1" ht="18" x14ac:dyDescent="0.35">
      <c r="A49" s="92">
        <v>7</v>
      </c>
      <c r="B49" s="93" t="s">
        <v>55</v>
      </c>
      <c r="C49" s="94">
        <f>+C20/C12</f>
        <v>-4.03543046231884</v>
      </c>
      <c r="D49" s="95">
        <f>+D20/D12</f>
        <v>-2.13077516066674E-2</v>
      </c>
      <c r="E49" s="95">
        <f>+E20/E12</f>
        <v>0.19267065468145697</v>
      </c>
      <c r="F49" s="95">
        <f>+F20/F12</f>
        <v>4.2565691992331057E-3</v>
      </c>
      <c r="G49" s="95">
        <f>+G20/G12</f>
        <v>-4.0558111212676468E-2</v>
      </c>
    </row>
    <row r="50" spans="1:7" ht="18" x14ac:dyDescent="0.35">
      <c r="A50" s="90"/>
      <c r="B50" s="90"/>
      <c r="C50" s="186"/>
      <c r="D50" s="186"/>
      <c r="E50" s="186"/>
      <c r="F50" s="186"/>
      <c r="G50" s="186"/>
    </row>
    <row r="51" spans="1:7" s="311" customFormat="1" x14ac:dyDescent="0.45">
      <c r="A51" s="308"/>
      <c r="B51" s="308"/>
      <c r="C51" s="309"/>
      <c r="D51" s="309"/>
      <c r="E51" s="310"/>
      <c r="F51" s="310"/>
      <c r="G51" s="309"/>
    </row>
  </sheetData>
  <sheetProtection selectLockedCells="1" selectUnlockedCells="1"/>
  <mergeCells count="5">
    <mergeCell ref="A42:G42"/>
    <mergeCell ref="O1:P1"/>
    <mergeCell ref="O2:P2"/>
    <mergeCell ref="O3:P3"/>
    <mergeCell ref="A5:G5"/>
  </mergeCells>
  <conditionalFormatting sqref="D1:G3 D41:G41 D28:F40 D6:F26 C43:G1048576 D4:F4">
    <cfRule type="cellIs" dxfId="51" priority="11" operator="lessThan">
      <formula>-0.01</formula>
    </cfRule>
  </conditionalFormatting>
  <conditionalFormatting sqref="C1:C4 C28:C41 C6:C26">
    <cfRule type="cellIs" dxfId="50" priority="10" operator="lessThan">
      <formula>-0.01</formula>
    </cfRule>
  </conditionalFormatting>
  <conditionalFormatting sqref="G28:G40 G7:G26">
    <cfRule type="cellIs" dxfId="49" priority="9" operator="lessThan">
      <formula>-0.01</formula>
    </cfRule>
  </conditionalFormatting>
  <conditionalFormatting sqref="G6">
    <cfRule type="cellIs" dxfId="48" priority="8" operator="lessThan">
      <formula>-0.01</formula>
    </cfRule>
  </conditionalFormatting>
  <conditionalFormatting sqref="D27:F27">
    <cfRule type="cellIs" dxfId="47" priority="4" operator="lessThan">
      <formula>-0.01</formula>
    </cfRule>
  </conditionalFormatting>
  <conditionalFormatting sqref="C27">
    <cfRule type="cellIs" dxfId="46" priority="3" operator="lessThan">
      <formula>-0.01</formula>
    </cfRule>
  </conditionalFormatting>
  <conditionalFormatting sqref="G27">
    <cfRule type="cellIs" dxfId="45" priority="2" operator="lessThan">
      <formula>-0.01</formula>
    </cfRule>
  </conditionalFormatting>
  <conditionalFormatting sqref="G4">
    <cfRule type="cellIs" dxfId="44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49"/>
  <sheetViews>
    <sheetView view="pageBreakPreview" zoomScale="60" zoomScaleNormal="50" workbookViewId="0">
      <pane xSplit="2" ySplit="6" topLeftCell="F7" activePane="bottomRight" state="frozen"/>
      <selection activeCell="C5" sqref="C5:D5"/>
      <selection pane="topRight" activeCell="C5" sqref="C5:D5"/>
      <selection pane="bottomLeft" activeCell="C5" sqref="C5:D5"/>
      <selection pane="bottomRight" activeCell="S1" sqref="B1:S1048576"/>
    </sheetView>
  </sheetViews>
  <sheetFormatPr baseColWidth="10" defaultColWidth="11.44140625" defaultRowHeight="23.4" x14ac:dyDescent="0.45"/>
  <cols>
    <col min="1" max="1" width="7.6640625" style="2" customWidth="1"/>
    <col min="2" max="2" width="76.5546875" style="2" customWidth="1"/>
    <col min="3" max="5" width="19.77734375" style="3" hidden="1" customWidth="1"/>
    <col min="6" max="6" width="19.77734375" style="215" customWidth="1"/>
    <col min="7" max="9" width="19.77734375" style="3" hidden="1" customWidth="1"/>
    <col min="10" max="10" width="19.77734375" style="215" customWidth="1"/>
    <col min="11" max="13" width="19.77734375" style="3" hidden="1" customWidth="1"/>
    <col min="14" max="14" width="19.77734375" style="215" customWidth="1"/>
    <col min="15" max="17" width="19.77734375" style="3" hidden="1" customWidth="1"/>
    <col min="18" max="18" width="19.77734375" style="215" customWidth="1"/>
    <col min="19" max="19" width="19.77734375" style="141" customWidth="1"/>
    <col min="20" max="16384" width="11.44140625" style="1"/>
  </cols>
  <sheetData>
    <row r="1" spans="1:42" s="42" customFormat="1" ht="13.8" customHeight="1" x14ac:dyDescent="0.45">
      <c r="A1" s="25"/>
      <c r="B1" s="39"/>
      <c r="C1" s="40"/>
      <c r="D1" s="40"/>
      <c r="E1" s="40"/>
      <c r="F1" s="210"/>
      <c r="G1" s="40"/>
      <c r="H1" s="40"/>
      <c r="I1" s="40"/>
      <c r="J1" s="210"/>
      <c r="K1" s="40"/>
      <c r="L1" s="40"/>
      <c r="M1" s="40"/>
      <c r="N1" s="210"/>
      <c r="O1" s="40"/>
      <c r="P1" s="40"/>
      <c r="Q1" s="40"/>
      <c r="R1" s="210"/>
      <c r="S1" s="161"/>
      <c r="T1" s="39"/>
      <c r="U1" s="39"/>
      <c r="V1" s="39"/>
      <c r="W1" s="39"/>
      <c r="X1" s="39"/>
      <c r="Y1" s="39"/>
      <c r="AC1" s="39"/>
      <c r="AD1" s="39"/>
      <c r="AE1" s="344"/>
      <c r="AF1" s="344"/>
      <c r="AG1" s="39"/>
      <c r="AH1" s="39"/>
      <c r="AI1" s="39"/>
      <c r="AJ1" s="39"/>
      <c r="AK1" s="39"/>
      <c r="AL1" s="39"/>
      <c r="AM1" s="39"/>
      <c r="AN1" s="39"/>
      <c r="AO1" s="39"/>
      <c r="AP1" s="39"/>
    </row>
    <row r="2" spans="1:42" s="42" customFormat="1" ht="13.8" customHeight="1" x14ac:dyDescent="0.45">
      <c r="A2" s="25"/>
      <c r="B2" s="43"/>
      <c r="C2" s="44"/>
      <c r="D2" s="44"/>
      <c r="E2" s="44"/>
      <c r="F2" s="211"/>
      <c r="G2" s="44"/>
      <c r="H2" s="44"/>
      <c r="I2" s="44"/>
      <c r="J2" s="211"/>
      <c r="K2" s="44"/>
      <c r="L2" s="44"/>
      <c r="M2" s="44"/>
      <c r="N2" s="211"/>
      <c r="O2" s="44"/>
      <c r="P2" s="44"/>
      <c r="Q2" s="44"/>
      <c r="R2" s="211"/>
      <c r="S2" s="162"/>
      <c r="T2" s="39"/>
      <c r="U2" s="39"/>
      <c r="V2" s="39"/>
      <c r="W2" s="39"/>
      <c r="X2" s="39"/>
      <c r="Y2" s="39"/>
      <c r="AC2" s="43"/>
      <c r="AD2" s="45"/>
      <c r="AE2" s="345"/>
      <c r="AF2" s="345"/>
      <c r="AG2" s="39"/>
      <c r="AH2" s="39"/>
      <c r="AI2" s="39"/>
      <c r="AJ2" s="39"/>
      <c r="AK2" s="39"/>
      <c r="AL2" s="39"/>
      <c r="AM2" s="39"/>
      <c r="AN2" s="39"/>
      <c r="AO2" s="39"/>
      <c r="AP2" s="39"/>
    </row>
    <row r="3" spans="1:42" s="42" customFormat="1" ht="13.8" customHeight="1" x14ac:dyDescent="0.4">
      <c r="A3" s="46"/>
      <c r="B3" s="47"/>
      <c r="C3" s="48"/>
      <c r="D3" s="48"/>
      <c r="E3" s="48"/>
      <c r="F3" s="212"/>
      <c r="G3" s="48"/>
      <c r="H3" s="48"/>
      <c r="I3" s="48"/>
      <c r="J3" s="212"/>
      <c r="K3" s="48"/>
      <c r="L3" s="48"/>
      <c r="M3" s="48"/>
      <c r="N3" s="212"/>
      <c r="O3" s="48"/>
      <c r="P3" s="48"/>
      <c r="Q3" s="48"/>
      <c r="R3" s="212"/>
      <c r="S3" s="163"/>
      <c r="T3" s="46"/>
      <c r="U3" s="46"/>
      <c r="V3" s="46"/>
      <c r="W3" s="46"/>
      <c r="X3" s="46"/>
      <c r="Y3" s="46"/>
      <c r="AC3" s="46"/>
      <c r="AD3" s="46"/>
      <c r="AE3" s="346"/>
      <c r="AF3" s="346"/>
      <c r="AG3" s="46"/>
      <c r="AH3" s="46"/>
      <c r="AI3" s="46"/>
      <c r="AJ3" s="46"/>
      <c r="AK3" s="46"/>
      <c r="AL3" s="46"/>
      <c r="AM3" s="46"/>
      <c r="AN3" s="46"/>
      <c r="AO3" s="46"/>
      <c r="AP3" s="46"/>
    </row>
    <row r="4" spans="1:42" s="42" customFormat="1" ht="13.8" customHeight="1" x14ac:dyDescent="0.4">
      <c r="A4" s="46"/>
      <c r="B4" s="46"/>
      <c r="C4" s="50"/>
      <c r="D4" s="50"/>
      <c r="E4" s="50"/>
      <c r="F4" s="213"/>
      <c r="G4" s="50"/>
      <c r="H4" s="50"/>
      <c r="I4" s="50"/>
      <c r="J4" s="213"/>
      <c r="K4" s="50"/>
      <c r="L4" s="50"/>
      <c r="M4" s="50"/>
      <c r="N4" s="213"/>
      <c r="O4" s="50"/>
      <c r="P4" s="50"/>
      <c r="Q4" s="50"/>
      <c r="R4" s="213"/>
      <c r="S4" s="164"/>
    </row>
    <row r="5" spans="1:42" ht="26.4" thickBot="1" x14ac:dyDescent="0.55000000000000004">
      <c r="A5" s="347" t="s">
        <v>103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</row>
    <row r="6" spans="1:42" s="27" customFormat="1" ht="52.2" customHeight="1" thickBot="1" x14ac:dyDescent="0.4">
      <c r="A6" s="238" t="s">
        <v>0</v>
      </c>
      <c r="B6" s="239" t="s">
        <v>1</v>
      </c>
      <c r="C6" s="243" t="s">
        <v>112</v>
      </c>
      <c r="D6" s="244" t="s">
        <v>113</v>
      </c>
      <c r="E6" s="245" t="s">
        <v>114</v>
      </c>
      <c r="F6" s="245" t="s">
        <v>108</v>
      </c>
      <c r="G6" s="245" t="s">
        <v>115</v>
      </c>
      <c r="H6" s="245" t="s">
        <v>116</v>
      </c>
      <c r="I6" s="245" t="s">
        <v>117</v>
      </c>
      <c r="J6" s="245" t="s">
        <v>109</v>
      </c>
      <c r="K6" s="245" t="s">
        <v>118</v>
      </c>
      <c r="L6" s="245" t="s">
        <v>119</v>
      </c>
      <c r="M6" s="245" t="s">
        <v>120</v>
      </c>
      <c r="N6" s="245" t="s">
        <v>110</v>
      </c>
      <c r="O6" s="245" t="s">
        <v>121</v>
      </c>
      <c r="P6" s="245" t="s">
        <v>122</v>
      </c>
      <c r="Q6" s="243" t="s">
        <v>123</v>
      </c>
      <c r="R6" s="248" t="s">
        <v>111</v>
      </c>
      <c r="S6" s="240" t="s">
        <v>85</v>
      </c>
    </row>
    <row r="7" spans="1:42" s="29" customFormat="1" ht="30.75" customHeight="1" x14ac:dyDescent="0.35">
      <c r="A7" s="101"/>
      <c r="B7" s="79" t="s">
        <v>2</v>
      </c>
      <c r="C7" s="52">
        <f>+'SIEGE 2021'!C7+'KDU 2021'!C7+'SKDU 2021'!C7+'AZDU 2021'!C7</f>
        <v>92184710.270000011</v>
      </c>
      <c r="D7" s="52">
        <f>+'SIEGE 2021'!D7+'KDU 2021'!D7+'SKDU 2021'!D7+'AZDU 2021'!D7</f>
        <v>98325431.25</v>
      </c>
      <c r="E7" s="52">
        <f>+'SIEGE 2021'!E7+'KDU 2021'!E7+'SKDU 2021'!E7+'AZDU 2021'!E7</f>
        <v>192752217.75999999</v>
      </c>
      <c r="F7" s="133">
        <f>SUM(Tableau132024[[#This Row],[janvier-21]:[mars-21]])</f>
        <v>383262359.27999997</v>
      </c>
      <c r="G7" s="52">
        <f>+'SIEGE 2021'!F7+'KDU 2021'!F7+'SKDU 2021'!F7+'AZDU 2021'!F7</f>
        <v>197581645.63</v>
      </c>
      <c r="H7" s="52">
        <f>+'SIEGE 2021'!G7+'KDU 2021'!G7+'SKDU 2021'!G7+'AZDU 2021'!G7</f>
        <v>248024601.59999999</v>
      </c>
      <c r="I7" s="52">
        <f>+'SIEGE 2021'!H7+'KDU 2021'!H7+'SKDU 2021'!H7+'AZDU 2021'!H7</f>
        <v>345357236.25999999</v>
      </c>
      <c r="J7" s="133">
        <f>SUM(Tableau132024[[#This Row],[avril-21]:[juin-21]])</f>
        <v>790963483.49000001</v>
      </c>
      <c r="K7" s="52">
        <f>+'SIEGE 2021'!I7+'KDU 2021'!I7+'SKDU 2021'!I7+'AZDU 2021'!I7</f>
        <v>147347459.00999999</v>
      </c>
      <c r="L7" s="52">
        <f>+'SIEGE 2021'!J7+'KDU 2021'!J7+'SKDU 2021'!J7+'AZDU 2021'!J7</f>
        <v>197258244.18000001</v>
      </c>
      <c r="M7" s="52">
        <f>+'SIEGE 2021'!K7+'KDU 2021'!K7+'SKDU 2021'!K7+'AZDU 2021'!K7</f>
        <v>220367798.22</v>
      </c>
      <c r="N7" s="133">
        <f>SUM(Tableau132024[[#This Row],[juillet-21]:[septembre-21]])</f>
        <v>564973501.40999997</v>
      </c>
      <c r="O7" s="52">
        <f>+'SIEGE 2021'!L7+'KDU 2021'!L7+'SKDU 2021'!L7+'AZDU 2021'!L7</f>
        <v>266372929.30000001</v>
      </c>
      <c r="P7" s="52">
        <f>+'SIEGE 2021'!M7+'KDU 2021'!M7+'SKDU 2021'!M7+'AZDU 2021'!M7</f>
        <v>294235759.00999999</v>
      </c>
      <c r="Q7" s="52">
        <f>+'SIEGE 2021'!N7+'KDU 2021'!N7+'SKDU 2021'!N7+'AZDU 2021'!N7</f>
        <v>334562193.85999995</v>
      </c>
      <c r="R7" s="133">
        <f>+Tableau132024[[#This Row],[octobre-21]]+Tableau132024[[#This Row],[novembre-21]]+Tableau132024[[#This Row],[décembre-21]]</f>
        <v>895170882.16999984</v>
      </c>
      <c r="S7" s="133">
        <f>+Tableau132024[[#This Row],[T1 2021]]+Tableau132024[[#This Row],[T2 2021]]+Tableau132024[[#This Row],[T3 2021]]+Tableau132024[[#This Row],[T4 2021]]</f>
        <v>2634370226.3499994</v>
      </c>
    </row>
    <row r="8" spans="1:42" s="29" customFormat="1" ht="30.75" customHeight="1" x14ac:dyDescent="0.35">
      <c r="A8" s="102"/>
      <c r="B8" s="80" t="s">
        <v>42</v>
      </c>
      <c r="C8" s="55">
        <f>+'SIEGE 2021'!C8+'KDU 2021'!C8+'SKDU 2021'!C8+'AZDU 2021'!C8</f>
        <v>0</v>
      </c>
      <c r="D8" s="55">
        <f>+'SIEGE 2021'!D8+'KDU 2021'!D8+'SKDU 2021'!D8+'AZDU 2021'!D8</f>
        <v>104457.01</v>
      </c>
      <c r="E8" s="55">
        <f>+'SIEGE 2021'!E8+'KDU 2021'!E8+'SKDU 2021'!E8+'AZDU 2021'!E8</f>
        <v>0</v>
      </c>
      <c r="F8" s="134">
        <f>SUM(Tableau132024[[#This Row],[janvier-21]:[mars-21]])</f>
        <v>104457.01</v>
      </c>
      <c r="G8" s="55">
        <f>+'SIEGE 2021'!F8+'KDU 2021'!F8+'SKDU 2021'!F8+'AZDU 2021'!F8</f>
        <v>0</v>
      </c>
      <c r="H8" s="55">
        <f>+'SIEGE 2021'!G8+'KDU 2021'!G8+'SKDU 2021'!G8+'AZDU 2021'!G8</f>
        <v>561932.63</v>
      </c>
      <c r="I8" s="55">
        <f>+'SIEGE 2021'!H8+'KDU 2021'!H8+'SKDU 2021'!H8+'AZDU 2021'!H8</f>
        <v>0</v>
      </c>
      <c r="J8" s="134">
        <f>SUM(Tableau132024[[#This Row],[avril-21]:[juin-21]])</f>
        <v>561932.63</v>
      </c>
      <c r="K8" s="55">
        <f>+'SIEGE 2021'!I8+'KDU 2021'!I8+'SKDU 2021'!I8+'AZDU 2021'!I8</f>
        <v>0</v>
      </c>
      <c r="L8" s="55">
        <f>+'SIEGE 2021'!J8+'KDU 2021'!J8+'SKDU 2021'!J8+'AZDU 2021'!J8</f>
        <v>0</v>
      </c>
      <c r="M8" s="55">
        <f>+'SIEGE 2021'!K8+'KDU 2021'!K8+'SKDU 2021'!K8+'AZDU 2021'!K8</f>
        <v>857386.78</v>
      </c>
      <c r="N8" s="134">
        <f>SUM(Tableau132024[[#This Row],[juillet-21]:[septembre-21]])</f>
        <v>857386.78</v>
      </c>
      <c r="O8" s="55">
        <f>+'SIEGE 2021'!L8+'KDU 2021'!L8+'SKDU 2021'!L8+'AZDU 2021'!L8</f>
        <v>0</v>
      </c>
      <c r="P8" s="55">
        <f>+'SIEGE 2021'!M8+'KDU 2021'!M8+'SKDU 2021'!M8+'AZDU 2021'!M8</f>
        <v>0</v>
      </c>
      <c r="Q8" s="55">
        <f>+'SIEGE 2021'!N8+'KDU 2021'!N8+'SKDU 2021'!N8+'AZDU 2021'!N8</f>
        <v>925372.58</v>
      </c>
      <c r="R8" s="134">
        <f>+Tableau132024[[#This Row],[octobre-21]]+Tableau132024[[#This Row],[novembre-21]]+Tableau132024[[#This Row],[décembre-21]]</f>
        <v>925372.58</v>
      </c>
      <c r="S8" s="134">
        <f>+Tableau132024[[#This Row],[T1 2021]]+Tableau132024[[#This Row],[T2 2021]]+Tableau132024[[#This Row],[T3 2021]]+Tableau132024[[#This Row],[T4 2021]]</f>
        <v>2449149</v>
      </c>
      <c r="Y8" s="30"/>
    </row>
    <row r="9" spans="1:42" s="27" customFormat="1" ht="30.75" customHeight="1" x14ac:dyDescent="0.35">
      <c r="A9" s="102"/>
      <c r="B9" s="81" t="s">
        <v>3</v>
      </c>
      <c r="C9" s="55">
        <f>+'SIEGE 2021'!C9+'KDU 2021'!C9+'SKDU 2021'!C9+'AZDU 2021'!C9</f>
        <v>121200955.13999999</v>
      </c>
      <c r="D9" s="55">
        <f>+'SIEGE 2021'!D9+'KDU 2021'!D9+'SKDU 2021'!D9+'AZDU 2021'!D9</f>
        <v>73761637.25</v>
      </c>
      <c r="E9" s="55">
        <f>+'SIEGE 2021'!E9+'KDU 2021'!E9+'SKDU 2021'!E9+'AZDU 2021'!E9</f>
        <v>88322748.450000003</v>
      </c>
      <c r="F9" s="134">
        <f>SUM(Tableau132024[[#This Row],[janvier-21]:[mars-21]])</f>
        <v>283285340.83999997</v>
      </c>
      <c r="G9" s="55">
        <f>+'SIEGE 2021'!F9+'KDU 2021'!F9+'SKDU 2021'!F9+'AZDU 2021'!F9</f>
        <v>-12535636.290000003</v>
      </c>
      <c r="H9" s="55">
        <f>+'SIEGE 2021'!G9+'KDU 2021'!G9+'SKDU 2021'!G9+'AZDU 2021'!G9</f>
        <v>-44642135.700000003</v>
      </c>
      <c r="I9" s="55">
        <f>+'SIEGE 2021'!H9+'KDU 2021'!H9+'SKDU 2021'!H9+'AZDU 2021'!H9</f>
        <v>-117216388.47</v>
      </c>
      <c r="J9" s="134">
        <f>SUM(Tableau132024[[#This Row],[avril-21]:[juin-21]])</f>
        <v>-174394160.46000001</v>
      </c>
      <c r="K9" s="55">
        <f>+'SIEGE 2021'!I9+'KDU 2021'!I9+'SKDU 2021'!I9+'AZDU 2021'!I9</f>
        <v>-10133385.529999997</v>
      </c>
      <c r="L9" s="55">
        <f>+'SIEGE 2021'!J9+'KDU 2021'!J9+'SKDU 2021'!J9+'AZDU 2021'!J9</f>
        <v>-24047825.270000003</v>
      </c>
      <c r="M9" s="55">
        <f>+'SIEGE 2021'!K9+'KDU 2021'!K9+'SKDU 2021'!K9+'AZDU 2021'!K9</f>
        <v>-36476869.060000002</v>
      </c>
      <c r="N9" s="134">
        <f>SUM(Tableau132024[[#This Row],[juillet-21]:[septembre-21]])</f>
        <v>-70658079.859999999</v>
      </c>
      <c r="O9" s="55">
        <f>+'SIEGE 2021'!L9+'KDU 2021'!L9+'SKDU 2021'!L9+'AZDU 2021'!L9</f>
        <v>40390817.43</v>
      </c>
      <c r="P9" s="55">
        <f>+'SIEGE 2021'!M9+'KDU 2021'!M9+'SKDU 2021'!M9+'AZDU 2021'!M9</f>
        <v>-21339063.869999997</v>
      </c>
      <c r="Q9" s="55">
        <f>+'SIEGE 2021'!N9+'KDU 2021'!N9+'SKDU 2021'!N9+'AZDU 2021'!N9</f>
        <v>53959860.939999998</v>
      </c>
      <c r="R9" s="134">
        <f>+Tableau132024[[#This Row],[octobre-21]]+Tableau132024[[#This Row],[novembre-21]]+Tableau132024[[#This Row],[décembre-21]]</f>
        <v>73011614.5</v>
      </c>
      <c r="S9" s="134">
        <f>+Tableau132024[[#This Row],[T1 2021]]+Tableau132024[[#This Row],[T2 2021]]+Tableau132024[[#This Row],[T3 2021]]+Tableau132024[[#This Row],[T4 2021]]</f>
        <v>111244715.01999997</v>
      </c>
    </row>
    <row r="10" spans="1:42" s="27" customFormat="1" ht="30.75" customHeight="1" x14ac:dyDescent="0.35">
      <c r="A10" s="102"/>
      <c r="B10" s="81" t="s">
        <v>4</v>
      </c>
      <c r="C10" s="55">
        <f>+'SIEGE 2021'!C10+'KDU 2021'!C10+'SKDU 2021'!C10+'AZDU 2021'!C10</f>
        <v>110175.3</v>
      </c>
      <c r="D10" s="55">
        <f>+'SIEGE 2021'!D10+'KDU 2021'!D10+'SKDU 2021'!D10+'AZDU 2021'!D10</f>
        <v>0</v>
      </c>
      <c r="E10" s="55">
        <f>+'SIEGE 2021'!E10+'KDU 2021'!E10+'SKDU 2021'!E10+'AZDU 2021'!E10</f>
        <v>0</v>
      </c>
      <c r="F10" s="134">
        <f>SUM(Tableau132024[[#This Row],[janvier-21]:[mars-21]])</f>
        <v>110175.3</v>
      </c>
      <c r="G10" s="55">
        <f>+'SIEGE 2021'!F10+'KDU 2021'!F10+'SKDU 2021'!F10+'AZDU 2021'!F10</f>
        <v>0</v>
      </c>
      <c r="H10" s="55">
        <f>+'SIEGE 2021'!G10+'KDU 2021'!G10+'SKDU 2021'!G10+'AZDU 2021'!G10</f>
        <v>590627.23</v>
      </c>
      <c r="I10" s="55">
        <f>+'SIEGE 2021'!H10+'KDU 2021'!H10+'SKDU 2021'!H10+'AZDU 2021'!H10</f>
        <v>0</v>
      </c>
      <c r="J10" s="134">
        <f>SUM(Tableau132024[[#This Row],[avril-21]:[juin-21]])</f>
        <v>590627.23</v>
      </c>
      <c r="K10" s="55">
        <f>+'SIEGE 2021'!I10+'KDU 2021'!I10+'SKDU 2021'!I10+'AZDU 2021'!I10</f>
        <v>0</v>
      </c>
      <c r="L10" s="55">
        <f>+'SIEGE 2021'!J10+'KDU 2021'!J10+'SKDU 2021'!J10+'AZDU 2021'!J10</f>
        <v>0</v>
      </c>
      <c r="M10" s="55">
        <f>+'SIEGE 2021'!K10+'KDU 2021'!K10+'SKDU 2021'!K10+'AZDU 2021'!K10</f>
        <v>0</v>
      </c>
      <c r="N10" s="134">
        <f>SUM(Tableau132024[[#This Row],[juillet-21]:[septembre-21]])</f>
        <v>0</v>
      </c>
      <c r="O10" s="55">
        <f>+'SIEGE 2021'!L10+'KDU 2021'!L10+'SKDU 2021'!L10+'AZDU 2021'!L10</f>
        <v>0</v>
      </c>
      <c r="P10" s="55">
        <f>+'SIEGE 2021'!M10+'KDU 2021'!M10+'SKDU 2021'!M10+'AZDU 2021'!M10</f>
        <v>374097.95</v>
      </c>
      <c r="Q10" s="55">
        <f>+'SIEGE 2021'!N10+'KDU 2021'!N10+'SKDU 2021'!N10+'AZDU 2021'!N10</f>
        <v>0</v>
      </c>
      <c r="R10" s="134">
        <f>+Tableau132024[[#This Row],[octobre-21]]+Tableau132024[[#This Row],[novembre-21]]+Tableau132024[[#This Row],[décembre-21]]</f>
        <v>374097.95</v>
      </c>
      <c r="S10" s="134">
        <f>+Tableau132024[[#This Row],[T1 2021]]+Tableau132024[[#This Row],[T2 2021]]+Tableau132024[[#This Row],[T3 2021]]+Tableau132024[[#This Row],[T4 2021]]</f>
        <v>1074900.48</v>
      </c>
    </row>
    <row r="11" spans="1:42" s="27" customFormat="1" ht="30.75" customHeight="1" thickBot="1" x14ac:dyDescent="0.4">
      <c r="A11" s="103"/>
      <c r="B11" s="82" t="s">
        <v>5</v>
      </c>
      <c r="C11" s="59">
        <f>+'SIEGE 2021'!C11+'KDU 2021'!C11+'SKDU 2021'!C11+'AZDU 2021'!C11</f>
        <v>0</v>
      </c>
      <c r="D11" s="59">
        <f>+'SIEGE 2021'!D11+'KDU 2021'!D11+'SKDU 2021'!D11+'AZDU 2021'!D11</f>
        <v>0</v>
      </c>
      <c r="E11" s="59">
        <f>+'SIEGE 2021'!E11+'KDU 2021'!E11+'SKDU 2021'!E11+'AZDU 2021'!E11</f>
        <v>0</v>
      </c>
      <c r="F11" s="135">
        <f>SUM(Tableau132024[[#This Row],[janvier-21]:[mars-21]])</f>
        <v>0</v>
      </c>
      <c r="G11" s="59">
        <f>+'SIEGE 2021'!F11+'KDU 2021'!F11+'SKDU 2021'!F11+'AZDU 2021'!F11</f>
        <v>0</v>
      </c>
      <c r="H11" s="59">
        <f>+'SIEGE 2021'!G11+'KDU 2021'!G11+'SKDU 2021'!G11+'AZDU 2021'!G11</f>
        <v>0</v>
      </c>
      <c r="I11" s="59">
        <f>+'SIEGE 2021'!H11+'KDU 2021'!H11+'SKDU 2021'!H11+'AZDU 2021'!H11</f>
        <v>0</v>
      </c>
      <c r="J11" s="135">
        <f>SUM(Tableau132024[[#This Row],[avril-21]:[juin-21]])</f>
        <v>0</v>
      </c>
      <c r="K11" s="59">
        <f>+'SIEGE 2021'!I11+'KDU 2021'!I11+'SKDU 2021'!I11+'AZDU 2021'!I11</f>
        <v>0</v>
      </c>
      <c r="L11" s="59">
        <f>+'SIEGE 2021'!J11+'KDU 2021'!J11+'SKDU 2021'!J11+'AZDU 2021'!J11</f>
        <v>0</v>
      </c>
      <c r="M11" s="59">
        <f>+'SIEGE 2021'!K11+'KDU 2021'!K11+'SKDU 2021'!K11+'AZDU 2021'!K11</f>
        <v>0</v>
      </c>
      <c r="N11" s="135">
        <f>SUM(Tableau132024[[#This Row],[juillet-21]:[septembre-21]])</f>
        <v>0</v>
      </c>
      <c r="O11" s="59">
        <f>+'SIEGE 2021'!L11+'KDU 2021'!L11+'SKDU 2021'!L11+'AZDU 2021'!L11</f>
        <v>0</v>
      </c>
      <c r="P11" s="59">
        <f>+'SIEGE 2021'!M11+'KDU 2021'!M11+'SKDU 2021'!M11+'AZDU 2021'!M11</f>
        <v>0</v>
      </c>
      <c r="Q11" s="59">
        <f>+'SIEGE 2021'!N11+'KDU 2021'!N11+'SKDU 2021'!N11+'AZDU 2021'!N11</f>
        <v>0</v>
      </c>
      <c r="R11" s="135">
        <f>+Tableau132024[[#This Row],[octobre-21]]+Tableau132024[[#This Row],[novembre-21]]+Tableau132024[[#This Row],[décembre-21]]</f>
        <v>0</v>
      </c>
      <c r="S11" s="135">
        <f>+Tableau132024[[#This Row],[T1 2021]]+Tableau132024[[#This Row],[T2 2021]]+Tableau132024[[#This Row],[T3 2021]]+Tableau132024[[#This Row],[T4 2021]]</f>
        <v>0</v>
      </c>
    </row>
    <row r="12" spans="1:42" s="27" customFormat="1" ht="30.75" customHeight="1" thickBot="1" x14ac:dyDescent="0.4">
      <c r="A12" s="104"/>
      <c r="B12" s="83" t="s">
        <v>6</v>
      </c>
      <c r="C12" s="62">
        <f>+'SIEGE 2021'!C12+'KDU 2021'!C12+'SKDU 2021'!C12+'AZDU 2021'!C12</f>
        <v>213495840.71000001</v>
      </c>
      <c r="D12" s="62">
        <f>+'SIEGE 2021'!D12+'KDU 2021'!D12+'SKDU 2021'!D12+'AZDU 2021'!D12</f>
        <v>172191525.50999999</v>
      </c>
      <c r="E12" s="62">
        <f>+'SIEGE 2021'!E12+'KDU 2021'!E12+'SKDU 2021'!E12+'AZDU 2021'!E12</f>
        <v>281074966.20999998</v>
      </c>
      <c r="F12" s="62">
        <f>SUM(Tableau132024[[#This Row],[janvier-21]:[mars-21]])</f>
        <v>666762332.43000007</v>
      </c>
      <c r="G12" s="62">
        <f>+'SIEGE 2021'!F12+'KDU 2021'!F12+'SKDU 2021'!F12+'AZDU 2021'!F12</f>
        <v>185046009.34</v>
      </c>
      <c r="H12" s="62">
        <f>+'SIEGE 2021'!G12+'KDU 2021'!G12+'SKDU 2021'!G12+'AZDU 2021'!G12</f>
        <v>204535025.75999999</v>
      </c>
      <c r="I12" s="62">
        <f>+'SIEGE 2021'!H12+'KDU 2021'!H12+'SKDU 2021'!H12+'AZDU 2021'!H12</f>
        <v>228140847.78999999</v>
      </c>
      <c r="J12" s="62">
        <f>SUM(Tableau132024[[#This Row],[avril-21]:[juin-21]])</f>
        <v>617721882.88999999</v>
      </c>
      <c r="K12" s="62">
        <f>+'SIEGE 2021'!I12+'KDU 2021'!I12+'SKDU 2021'!I12+'AZDU 2021'!I12</f>
        <v>137214073.47999999</v>
      </c>
      <c r="L12" s="62">
        <f>+'SIEGE 2021'!J12+'KDU 2021'!J12+'SKDU 2021'!J12+'AZDU 2021'!J12</f>
        <v>173210418.91</v>
      </c>
      <c r="M12" s="62">
        <f>+'SIEGE 2021'!K12+'KDU 2021'!K12+'SKDU 2021'!K12+'AZDU 2021'!K12</f>
        <v>184748315.94000003</v>
      </c>
      <c r="N12" s="62">
        <f>SUM(Tableau132024[[#This Row],[juillet-21]:[septembre-21]])</f>
        <v>495172808.33000004</v>
      </c>
      <c r="O12" s="62">
        <f>+'SIEGE 2021'!L12+'KDU 2021'!L12+'SKDU 2021'!L12+'AZDU 2021'!L12</f>
        <v>306763746.73000002</v>
      </c>
      <c r="P12" s="62">
        <f>+'SIEGE 2021'!M12+'KDU 2021'!M12+'SKDU 2021'!M12+'AZDU 2021'!M12</f>
        <v>273270793.08999997</v>
      </c>
      <c r="Q12" s="62">
        <f>+'SIEGE 2021'!N12+'KDU 2021'!N12+'SKDU 2021'!N12+'AZDU 2021'!N12</f>
        <v>389447427.38</v>
      </c>
      <c r="R12" s="62">
        <f>+Tableau132024[[#This Row],[octobre-21]]+Tableau132024[[#This Row],[novembre-21]]+Tableau132024[[#This Row],[décembre-21]]</f>
        <v>969481967.19999993</v>
      </c>
      <c r="S12" s="62">
        <f>+Tableau132024[[#This Row],[T1 2021]]+Tableau132024[[#This Row],[T2 2021]]+Tableau132024[[#This Row],[T3 2021]]+Tableau132024[[#This Row],[T4 2021]]</f>
        <v>2749138990.8499999</v>
      </c>
    </row>
    <row r="13" spans="1:42" s="32" customFormat="1" ht="30.75" customHeight="1" x14ac:dyDescent="0.35">
      <c r="A13" s="105">
        <v>60</v>
      </c>
      <c r="B13" s="84" t="s">
        <v>7</v>
      </c>
      <c r="C13" s="65">
        <f>+'SIEGE 2021'!C13+'KDU 2021'!C13+'SKDU 2021'!C13+'AZDU 2021'!C13</f>
        <v>162495933.49000001</v>
      </c>
      <c r="D13" s="65">
        <f>+'SIEGE 2021'!D13+'KDU 2021'!D13+'SKDU 2021'!D13+'AZDU 2021'!D13</f>
        <v>126888934.87</v>
      </c>
      <c r="E13" s="65">
        <f>+'SIEGE 2021'!E13+'KDU 2021'!E13+'SKDU 2021'!E13+'AZDU 2021'!E13</f>
        <v>214458107.31</v>
      </c>
      <c r="F13" s="136">
        <f>SUM(Tableau132024[[#This Row],[janvier-21]:[mars-21]])</f>
        <v>503842975.67000002</v>
      </c>
      <c r="G13" s="65">
        <f>+'SIEGE 2021'!F13+'KDU 2021'!F13+'SKDU 2021'!F13+'AZDU 2021'!F13</f>
        <v>129191470.73999999</v>
      </c>
      <c r="H13" s="65">
        <f>+'SIEGE 2021'!G13+'KDU 2021'!G13+'SKDU 2021'!G13+'AZDU 2021'!G13</f>
        <v>133636918.32000001</v>
      </c>
      <c r="I13" s="65">
        <f>+'SIEGE 2021'!H13+'KDU 2021'!H13+'SKDU 2021'!H13+'AZDU 2021'!H13</f>
        <v>150179357.11999997</v>
      </c>
      <c r="J13" s="136">
        <f>SUM(Tableau132024[[#This Row],[avril-21]:[juin-21]])</f>
        <v>413007746.17999995</v>
      </c>
      <c r="K13" s="65">
        <f>+'SIEGE 2021'!I13+'KDU 2021'!I13+'SKDU 2021'!I13+'AZDU 2021'!I13</f>
        <v>85600110.349999994</v>
      </c>
      <c r="L13" s="65">
        <f>+'SIEGE 2021'!J13+'KDU 2021'!J13+'SKDU 2021'!J13+'AZDU 2021'!J13</f>
        <v>118372235.99000001</v>
      </c>
      <c r="M13" s="65">
        <f>+'SIEGE 2021'!K13+'KDU 2021'!K13+'SKDU 2021'!K13+'AZDU 2021'!K13</f>
        <v>121968702.38000001</v>
      </c>
      <c r="N13" s="136">
        <f>SUM(Tableau132024[[#This Row],[juillet-21]:[septembre-21]])</f>
        <v>325941048.72000003</v>
      </c>
      <c r="O13" s="65">
        <f>+'SIEGE 2021'!L13+'KDU 2021'!L13+'SKDU 2021'!L13+'AZDU 2021'!L13</f>
        <v>204207912.88999999</v>
      </c>
      <c r="P13" s="65">
        <f>+'SIEGE 2021'!M13+'KDU 2021'!M13+'SKDU 2021'!M13+'AZDU 2021'!M13</f>
        <v>161213165.84</v>
      </c>
      <c r="Q13" s="65">
        <f>+'SIEGE 2021'!N13+'KDU 2021'!N13+'SKDU 2021'!N13+'AZDU 2021'!N13</f>
        <v>260569868.66</v>
      </c>
      <c r="R13" s="136">
        <f>+Tableau132024[[#This Row],[octobre-21]]+Tableau132024[[#This Row],[novembre-21]]+Tableau132024[[#This Row],[décembre-21]]</f>
        <v>625990947.38999999</v>
      </c>
      <c r="S13" s="136">
        <f>+Tableau132024[[#This Row],[T1 2021]]+Tableau132024[[#This Row],[T2 2021]]+Tableau132024[[#This Row],[T3 2021]]+Tableau132024[[#This Row],[T4 2021]]</f>
        <v>1868782717.96</v>
      </c>
    </row>
    <row r="14" spans="1:42" s="32" customFormat="1" ht="30.75" customHeight="1" x14ac:dyDescent="0.35">
      <c r="A14" s="106" t="s">
        <v>8</v>
      </c>
      <c r="B14" s="82" t="s">
        <v>43</v>
      </c>
      <c r="C14" s="59">
        <f>+'SIEGE 2021'!C14+'KDU 2021'!C14+'SKDU 2021'!C14+'AZDU 2021'!C14</f>
        <v>12575440.510000002</v>
      </c>
      <c r="D14" s="59">
        <f>+'SIEGE 2021'!D14+'KDU 2021'!D14+'SKDU 2021'!D14+'AZDU 2021'!D14</f>
        <v>10510485.199999999</v>
      </c>
      <c r="E14" s="59">
        <f>+'SIEGE 2021'!E14+'KDU 2021'!E14+'SKDU 2021'!E14+'AZDU 2021'!E14</f>
        <v>12824959.950000001</v>
      </c>
      <c r="F14" s="135">
        <f>SUM(Tableau132024[[#This Row],[janvier-21]:[mars-21]])</f>
        <v>35910885.660000004</v>
      </c>
      <c r="G14" s="59">
        <f>+'SIEGE 2021'!F14+'KDU 2021'!F14+'SKDU 2021'!F14+'AZDU 2021'!F14</f>
        <v>10482602.629999999</v>
      </c>
      <c r="H14" s="59">
        <f>+'SIEGE 2021'!G14+'KDU 2021'!G14+'SKDU 2021'!G14+'AZDU 2021'!G14</f>
        <v>13201899.189999999</v>
      </c>
      <c r="I14" s="59">
        <f>+'SIEGE 2021'!H14+'KDU 2021'!H14+'SKDU 2021'!H14+'AZDU 2021'!H14</f>
        <v>13786876.280000001</v>
      </c>
      <c r="J14" s="135">
        <f>SUM(Tableau132024[[#This Row],[avril-21]:[juin-21]])</f>
        <v>37471378.100000001</v>
      </c>
      <c r="K14" s="59">
        <f>+'SIEGE 2021'!I14+'KDU 2021'!I14+'SKDU 2021'!I14+'AZDU 2021'!I14</f>
        <v>18613141.699999999</v>
      </c>
      <c r="L14" s="59">
        <f>+'SIEGE 2021'!J14+'KDU 2021'!J14+'SKDU 2021'!J14+'AZDU 2021'!J14</f>
        <v>13148210.959999999</v>
      </c>
      <c r="M14" s="59">
        <f>+'SIEGE 2021'!K14+'KDU 2021'!K14+'SKDU 2021'!K14+'AZDU 2021'!K14</f>
        <v>15739675.449999997</v>
      </c>
      <c r="N14" s="135">
        <f>SUM(Tableau132024[[#This Row],[juillet-21]:[septembre-21]])</f>
        <v>47501028.109999992</v>
      </c>
      <c r="O14" s="59">
        <f>+'SIEGE 2021'!L14+'KDU 2021'!L14+'SKDU 2021'!L14+'AZDU 2021'!L14</f>
        <v>15702022.9</v>
      </c>
      <c r="P14" s="59">
        <f>+'SIEGE 2021'!M14+'KDU 2021'!M14+'SKDU 2021'!M14+'AZDU 2021'!M14</f>
        <v>16664528.629999999</v>
      </c>
      <c r="Q14" s="59">
        <f>+'SIEGE 2021'!N14+'KDU 2021'!N14+'SKDU 2021'!N14+'AZDU 2021'!N14</f>
        <v>20922552.119999997</v>
      </c>
      <c r="R14" s="135">
        <f>+Tableau132024[[#This Row],[octobre-21]]+Tableau132024[[#This Row],[novembre-21]]+Tableau132024[[#This Row],[décembre-21]]</f>
        <v>53289103.649999999</v>
      </c>
      <c r="S14" s="135">
        <f>+Tableau132024[[#This Row],[T1 2021]]+Tableau132024[[#This Row],[T2 2021]]+Tableau132024[[#This Row],[T3 2021]]+Tableau132024[[#This Row],[T4 2021]]</f>
        <v>174172395.52000001</v>
      </c>
      <c r="T14" s="34"/>
    </row>
    <row r="15" spans="1:42" s="32" customFormat="1" ht="30.75" customHeight="1" thickBot="1" x14ac:dyDescent="0.4">
      <c r="A15" s="229"/>
      <c r="B15" s="230" t="s">
        <v>124</v>
      </c>
      <c r="C15" s="231">
        <f>+'SIEGE 2021'!C15+'KDU 2021'!C15+'SKDU 2021'!C15+'AZDU 2021'!C15</f>
        <v>104457.01</v>
      </c>
      <c r="D15" s="231">
        <f>+'SIEGE 2021'!D15+'KDU 2021'!D15+'SKDU 2021'!D15+'AZDU 2021'!D15</f>
        <v>0</v>
      </c>
      <c r="E15" s="231">
        <f>+'SIEGE 2021'!E15+'KDU 2021'!E15+'SKDU 2021'!E15+'AZDU 2021'!E15</f>
        <v>0</v>
      </c>
      <c r="F15" s="233">
        <f>SUM(Tableau132024[[#This Row],[janvier-21]:[mars-21]])</f>
        <v>104457.01</v>
      </c>
      <c r="G15" s="231">
        <f>+'SIEGE 2021'!F15+'KDU 2021'!F15+'SKDU 2021'!F15+'AZDU 2021'!F15</f>
        <v>0</v>
      </c>
      <c r="H15" s="231">
        <f>+'SIEGE 2021'!G15+'KDU 2021'!G15+'SKDU 2021'!G15+'AZDU 2021'!G15</f>
        <v>0</v>
      </c>
      <c r="I15" s="231">
        <f>+'SIEGE 2021'!H15+'KDU 2021'!H15+'SKDU 2021'!H15+'AZDU 2021'!H15</f>
        <v>561932.63</v>
      </c>
      <c r="J15" s="233">
        <f>SUM(Tableau132024[[#This Row],[avril-21]:[juin-21]])</f>
        <v>561932.63</v>
      </c>
      <c r="K15" s="231">
        <f>+'SIEGE 2021'!I15+'KDU 2021'!I15+'SKDU 2021'!I15+'AZDU 2021'!I15</f>
        <v>0</v>
      </c>
      <c r="L15" s="231">
        <f>+'SIEGE 2021'!J15+'KDU 2021'!J15+'SKDU 2021'!J15+'AZDU 2021'!J15</f>
        <v>0</v>
      </c>
      <c r="M15" s="231">
        <f>+'SIEGE 2021'!K15+'KDU 2021'!K15+'SKDU 2021'!K15+'AZDU 2021'!K15</f>
        <v>857386.78</v>
      </c>
      <c r="N15" s="233">
        <f>SUM(Tableau132024[[#This Row],[juillet-21]:[septembre-21]])</f>
        <v>857386.78</v>
      </c>
      <c r="O15" s="231">
        <f>+'SIEGE 2021'!L15+'KDU 2021'!L15+'SKDU 2021'!L15+'AZDU 2021'!L15</f>
        <v>0</v>
      </c>
      <c r="P15" s="231">
        <f>+'SIEGE 2021'!M15+'KDU 2021'!M15+'SKDU 2021'!M15+'AZDU 2021'!M15</f>
        <v>0</v>
      </c>
      <c r="Q15" s="231">
        <f>+'SIEGE 2021'!N15+'KDU 2021'!N15+'SKDU 2021'!N15+'AZDU 2021'!N15</f>
        <v>0</v>
      </c>
      <c r="R15" s="233">
        <f>+Tableau132024[[#This Row],[octobre-21]]+Tableau132024[[#This Row],[novembre-21]]+Tableau132024[[#This Row],[décembre-21]]</f>
        <v>0</v>
      </c>
      <c r="S15" s="233">
        <f>+Tableau132024[[#This Row],[T1 2021]]+Tableau132024[[#This Row],[T2 2021]]+Tableau132024[[#This Row],[T3 2021]]+Tableau132024[[#This Row],[T4 2021]]</f>
        <v>1523776.42</v>
      </c>
      <c r="T15" s="34"/>
    </row>
    <row r="16" spans="1:42" s="27" customFormat="1" ht="30.75" customHeight="1" thickBot="1" x14ac:dyDescent="0.4">
      <c r="A16" s="107" t="s">
        <v>9</v>
      </c>
      <c r="B16" s="85" t="s">
        <v>10</v>
      </c>
      <c r="C16" s="62">
        <f>+'SIEGE 2021'!C16+'KDU 2021'!C16+'SKDU 2021'!C16+'AZDU 2021'!C16</f>
        <v>175175831.01000002</v>
      </c>
      <c r="D16" s="62">
        <f>+'SIEGE 2021'!D16+'KDU 2021'!D16+'SKDU 2021'!D16+'AZDU 2021'!D16</f>
        <v>137399420.06999999</v>
      </c>
      <c r="E16" s="62">
        <f>+'SIEGE 2021'!E16+'KDU 2021'!E16+'SKDU 2021'!E16+'AZDU 2021'!E16</f>
        <v>227283067.25999999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34"/>
    </row>
    <row r="17" spans="1:23" s="27" customFormat="1" ht="30.75" customHeight="1" thickBot="1" x14ac:dyDescent="0.4">
      <c r="A17" s="108" t="s">
        <v>11</v>
      </c>
      <c r="B17" s="86" t="s">
        <v>12</v>
      </c>
      <c r="C17" s="68">
        <f>+'SIEGE 2021'!C17+'KDU 2021'!C17+'SKDU 2021'!C17+'AZDU 2021'!C17</f>
        <v>38320009.699999988</v>
      </c>
      <c r="D17" s="68">
        <f>+'SIEGE 2021'!D17+'KDU 2021'!D17+'SKDU 2021'!D17+'AZDU 2021'!D17</f>
        <v>34792105.439999975</v>
      </c>
      <c r="E17" s="68">
        <f>+'SIEGE 2021'!E17+'KDU 2021'!E17+'SKDU 2021'!E17+'AZDU 2021'!E17</f>
        <v>53791898.949999988</v>
      </c>
      <c r="F17" s="68">
        <f>SUM(Tableau132024[[#This Row],[janvier-21]:[mars-21]])</f>
        <v>126904014.08999994</v>
      </c>
      <c r="G17" s="68">
        <f>+'SIEGE 2021'!F17+'KDU 2021'!F17+'SKDU 2021'!F17+'AZDU 2021'!F17</f>
        <v>45371935.969999999</v>
      </c>
      <c r="H17" s="68">
        <f>+'SIEGE 2021'!G17+'KDU 2021'!G17+'SKDU 2021'!G17+'AZDU 2021'!G17</f>
        <v>57696208.250000007</v>
      </c>
      <c r="I17" s="68">
        <f>+'SIEGE 2021'!H17+'KDU 2021'!H17+'SKDU 2021'!H17+'AZDU 2021'!H17</f>
        <v>63612681.760000013</v>
      </c>
      <c r="J17" s="68">
        <f>SUM(Tableau132024[[#This Row],[avril-21]:[juin-21]])</f>
        <v>166680825.98000002</v>
      </c>
      <c r="K17" s="68">
        <f>+'SIEGE 2021'!I17+'KDU 2021'!I17+'SKDU 2021'!I17+'AZDU 2021'!I17</f>
        <v>33000821.429999996</v>
      </c>
      <c r="L17" s="68">
        <f>+'SIEGE 2021'!J17+'KDU 2021'!J17+'SKDU 2021'!J17+'AZDU 2021'!J17</f>
        <v>41689971.959999979</v>
      </c>
      <c r="M17" s="68">
        <f>+'SIEGE 2021'!K17+'KDU 2021'!K17+'SKDU 2021'!K17+'AZDU 2021'!K17</f>
        <v>46182551.329999998</v>
      </c>
      <c r="N17" s="68">
        <f>SUM(Tableau132024[[#This Row],[juillet-21]:[septembre-21]])</f>
        <v>120873344.71999997</v>
      </c>
      <c r="O17" s="68">
        <f>+'SIEGE 2021'!L17+'KDU 2021'!L17+'SKDU 2021'!L17+'AZDU 2021'!L17</f>
        <v>86853810.939999998</v>
      </c>
      <c r="P17" s="68">
        <f>+'SIEGE 2021'!M17+'KDU 2021'!M17+'SKDU 2021'!M17+'AZDU 2021'!M17</f>
        <v>95393098.620000005</v>
      </c>
      <c r="Q17" s="68">
        <f>+'SIEGE 2021'!N17+'KDU 2021'!N17+'SKDU 2021'!N17+'AZDU 2021'!N17</f>
        <v>107955006.60000002</v>
      </c>
      <c r="R17" s="68">
        <f>+Tableau132024[[#This Row],[octobre-21]]+Tableau132024[[#This Row],[novembre-21]]+Tableau132024[[#This Row],[décembre-21]]</f>
        <v>290201916.16000003</v>
      </c>
      <c r="S17" s="68">
        <f>+Tableau132024[[#This Row],[T1 2021]]+Tableau132024[[#This Row],[T2 2021]]+Tableau132024[[#This Row],[T3 2021]]+Tableau132024[[#This Row],[T4 2021]]</f>
        <v>704660100.94999993</v>
      </c>
      <c r="T17" s="34"/>
    </row>
    <row r="18" spans="1:23" s="32" customFormat="1" ht="30.75" customHeight="1" x14ac:dyDescent="0.35">
      <c r="A18" s="105">
        <v>63</v>
      </c>
      <c r="B18" s="84" t="s">
        <v>44</v>
      </c>
      <c r="C18" s="65">
        <f>+'SIEGE 2021'!C18+'KDU 2021'!C18+'SKDU 2021'!C18+'AZDU 2021'!C18</f>
        <v>60995273.739999995</v>
      </c>
      <c r="D18" s="65">
        <f>+'SIEGE 2021'!D18+'KDU 2021'!D18+'SKDU 2021'!D18+'AZDU 2021'!D18</f>
        <v>64411506.93</v>
      </c>
      <c r="E18" s="65">
        <f>+'SIEGE 2021'!E18+'KDU 2021'!E18+'SKDU 2021'!E18+'AZDU 2021'!E18</f>
        <v>62324420.440000005</v>
      </c>
      <c r="F18" s="136">
        <f>SUM(Tableau132024[[#This Row],[janvier-21]:[mars-21]])</f>
        <v>187731201.10999998</v>
      </c>
      <c r="G18" s="65">
        <f>+'SIEGE 2021'!F18+'KDU 2021'!F18+'SKDU 2021'!F18+'AZDU 2021'!F18</f>
        <v>63775177.579999998</v>
      </c>
      <c r="H18" s="65">
        <f>+'SIEGE 2021'!G18+'KDU 2021'!G18+'SKDU 2021'!G18+'AZDU 2021'!G18</f>
        <v>64635168.899999999</v>
      </c>
      <c r="I18" s="65">
        <f>+'SIEGE 2021'!H18+'KDU 2021'!H18+'SKDU 2021'!H18+'AZDU 2021'!H18</f>
        <v>58399031.139999993</v>
      </c>
      <c r="J18" s="136">
        <f>SUM(Tableau132024[[#This Row],[avril-21]:[juin-21]])</f>
        <v>186809377.61999997</v>
      </c>
      <c r="K18" s="65">
        <f>+'SIEGE 2021'!I18+'KDU 2021'!I18+'SKDU 2021'!I18+'AZDU 2021'!I18</f>
        <v>74437410.469999999</v>
      </c>
      <c r="L18" s="65">
        <f>+'SIEGE 2021'!J18+'KDU 2021'!J18+'SKDU 2021'!J18+'AZDU 2021'!J18</f>
        <v>79271876.540000007</v>
      </c>
      <c r="M18" s="65">
        <f>+'SIEGE 2021'!K18+'KDU 2021'!K18+'SKDU 2021'!K18+'AZDU 2021'!K18</f>
        <v>62338564.840000004</v>
      </c>
      <c r="N18" s="136">
        <f>SUM(Tableau132024[[#This Row],[juillet-21]:[septembre-21]])</f>
        <v>216047851.84999999</v>
      </c>
      <c r="O18" s="65">
        <f>+'SIEGE 2021'!L18+'KDU 2021'!L18+'SKDU 2021'!L18+'AZDU 2021'!L18</f>
        <v>62126336.339999996</v>
      </c>
      <c r="P18" s="65">
        <f>+'SIEGE 2021'!M18+'KDU 2021'!M18+'SKDU 2021'!M18+'AZDU 2021'!M18</f>
        <v>66072581.009999998</v>
      </c>
      <c r="Q18" s="65">
        <f>+'SIEGE 2021'!N18+'KDU 2021'!N18+'SKDU 2021'!N18+'AZDU 2021'!N18</f>
        <v>65343683.830000006</v>
      </c>
      <c r="R18" s="136">
        <f>+Tableau132024[[#This Row],[octobre-21]]+Tableau132024[[#This Row],[novembre-21]]+Tableau132024[[#This Row],[décembre-21]]</f>
        <v>193542601.18000001</v>
      </c>
      <c r="S18" s="136">
        <f>+Tableau132024[[#This Row],[T1 2021]]+Tableau132024[[#This Row],[T2 2021]]+Tableau132024[[#This Row],[T3 2021]]+Tableau132024[[#This Row],[T4 2021]]</f>
        <v>784131031.75999999</v>
      </c>
      <c r="T18" s="34"/>
    </row>
    <row r="19" spans="1:23" s="32" customFormat="1" ht="30.75" customHeight="1" thickBot="1" x14ac:dyDescent="0.4">
      <c r="A19" s="106">
        <v>64</v>
      </c>
      <c r="B19" s="82" t="s">
        <v>13</v>
      </c>
      <c r="C19" s="59">
        <f>+'SIEGE 2021'!C19+'KDU 2021'!C19+'SKDU 2021'!C19+'AZDU 2021'!C19</f>
        <v>1450076.0299999998</v>
      </c>
      <c r="D19" s="59">
        <f>+'SIEGE 2021'!D19+'KDU 2021'!D19+'SKDU 2021'!D19+'AZDU 2021'!D19</f>
        <v>993257</v>
      </c>
      <c r="E19" s="59">
        <f>+'SIEGE 2021'!E19+'KDU 2021'!E19+'SKDU 2021'!E19+'AZDU 2021'!E19</f>
        <v>2048343.32</v>
      </c>
      <c r="F19" s="135">
        <f>SUM(Tableau132024[[#This Row],[janvier-21]:[mars-21]])</f>
        <v>4491676.3499999996</v>
      </c>
      <c r="G19" s="59">
        <f>+'SIEGE 2021'!F19+'KDU 2021'!F19+'SKDU 2021'!F19+'AZDU 2021'!F19</f>
        <v>1996178.83</v>
      </c>
      <c r="H19" s="59">
        <f>+'SIEGE 2021'!G19+'KDU 2021'!G19+'SKDU 2021'!G19+'AZDU 2021'!G19</f>
        <v>2490583.8200000003</v>
      </c>
      <c r="I19" s="59">
        <f>+'SIEGE 2021'!H19+'KDU 2021'!H19+'SKDU 2021'!H19+'AZDU 2021'!H19</f>
        <v>3515817.33</v>
      </c>
      <c r="J19" s="135">
        <f>SUM(Tableau132024[[#This Row],[avril-21]:[juin-21]])</f>
        <v>8002579.9800000004</v>
      </c>
      <c r="K19" s="59">
        <f>+'SIEGE 2021'!I19+'KDU 2021'!I19+'SKDU 2021'!I19+'AZDU 2021'!I19</f>
        <v>1510345.71</v>
      </c>
      <c r="L19" s="59">
        <f>+'SIEGE 2021'!J19+'KDU 2021'!J19+'SKDU 2021'!J19+'AZDU 2021'!J19</f>
        <v>2376825.2199999997</v>
      </c>
      <c r="M19" s="59">
        <f>+'SIEGE 2021'!K19+'KDU 2021'!K19+'SKDU 2021'!K19+'AZDU 2021'!K19</f>
        <v>2289348.7000000002</v>
      </c>
      <c r="N19" s="135">
        <f>SUM(Tableau132024[[#This Row],[juillet-21]:[septembre-21]])</f>
        <v>6176519.6299999999</v>
      </c>
      <c r="O19" s="59">
        <f>+'SIEGE 2021'!L19+'KDU 2021'!L19+'SKDU 2021'!L19+'AZDU 2021'!L19</f>
        <v>2705981.88</v>
      </c>
      <c r="P19" s="59">
        <f>+'SIEGE 2021'!M19+'KDU 2021'!M19+'SKDU 2021'!M19+'AZDU 2021'!M19</f>
        <v>4975144.8499999996</v>
      </c>
      <c r="Q19" s="59">
        <f>+'SIEGE 2021'!N19+'KDU 2021'!N19+'SKDU 2021'!N19+'AZDU 2021'!N19</f>
        <v>5677051.4299999997</v>
      </c>
      <c r="R19" s="135">
        <f>+Tableau132024[[#This Row],[octobre-21]]+Tableau132024[[#This Row],[novembre-21]]+Tableau132024[[#This Row],[décembre-21]]</f>
        <v>13358178.16</v>
      </c>
      <c r="S19" s="135">
        <f>+Tableau132024[[#This Row],[T1 2021]]+Tableau132024[[#This Row],[T2 2021]]+Tableau132024[[#This Row],[T3 2021]]+Tableau132024[[#This Row],[T4 2021]]</f>
        <v>32028954.120000001</v>
      </c>
      <c r="T19" s="34"/>
    </row>
    <row r="20" spans="1:23" s="27" customFormat="1" ht="30.75" customHeight="1" thickBot="1" x14ac:dyDescent="0.4">
      <c r="A20" s="107" t="s">
        <v>14</v>
      </c>
      <c r="B20" s="85" t="s">
        <v>15</v>
      </c>
      <c r="C20" s="62">
        <f>+'SIEGE 2021'!C20+'KDU 2021'!C20+'SKDU 2021'!C20+'AZDU 2021'!C20</f>
        <v>-24125340.070000011</v>
      </c>
      <c r="D20" s="62">
        <f>+'SIEGE 2021'!D20+'KDU 2021'!D20+'SKDU 2021'!D20+'AZDU 2021'!D20</f>
        <v>-30612658.490000017</v>
      </c>
      <c r="E20" s="62">
        <f>+'SIEGE 2021'!E20+'KDU 2021'!E20+'SKDU 2021'!E20+'AZDU 2021'!E20</f>
        <v>-10580864.810000017</v>
      </c>
      <c r="F20" s="62">
        <f>SUM(Tableau132024[[#This Row],[janvier-21]:[mars-21]])</f>
        <v>-65318863.370000049</v>
      </c>
      <c r="G20" s="62">
        <f>+'SIEGE 2021'!F20+'KDU 2021'!F20+'SKDU 2021'!F20+'AZDU 2021'!F20</f>
        <v>-20399420.439999994</v>
      </c>
      <c r="H20" s="62">
        <f>+'SIEGE 2021'!G20+'KDU 2021'!G20+'SKDU 2021'!G20+'AZDU 2021'!G20</f>
        <v>-9429544.4699999932</v>
      </c>
      <c r="I20" s="62">
        <f>+'SIEGE 2021'!H20+'KDU 2021'!H20+'SKDU 2021'!H20+'AZDU 2021'!H20</f>
        <v>1697833.2900000159</v>
      </c>
      <c r="J20" s="62">
        <f>SUM(Tableau132024[[#This Row],[avril-21]:[juin-21]])</f>
        <v>-28131131.619999975</v>
      </c>
      <c r="K20" s="62">
        <f>+'SIEGE 2021'!I20+'KDU 2021'!I20+'SKDU 2021'!I20+'AZDU 2021'!I20</f>
        <v>-42946934.75</v>
      </c>
      <c r="L20" s="62">
        <f>+'SIEGE 2021'!J20+'KDU 2021'!J20+'SKDU 2021'!J20+'AZDU 2021'!J20</f>
        <v>-39958729.800000027</v>
      </c>
      <c r="M20" s="62">
        <f>+'SIEGE 2021'!K20+'KDU 2021'!K20+'SKDU 2021'!K20+'AZDU 2021'!K20</f>
        <v>-18445362.209999993</v>
      </c>
      <c r="N20" s="62">
        <f>SUM(Tableau132024[[#This Row],[juillet-21]:[septembre-21]])</f>
        <v>-101351026.76000002</v>
      </c>
      <c r="O20" s="62">
        <f>+'SIEGE 2021'!L20+'KDU 2021'!L20+'SKDU 2021'!L20+'AZDU 2021'!L20</f>
        <v>22021492.720000006</v>
      </c>
      <c r="P20" s="62">
        <f>+'SIEGE 2021'!M20+'KDU 2021'!M20+'SKDU 2021'!M20+'AZDU 2021'!M20</f>
        <v>24345372.75999999</v>
      </c>
      <c r="Q20" s="62">
        <f>+'SIEGE 2021'!N20+'KDU 2021'!N20+'SKDU 2021'!N20+'AZDU 2021'!N20</f>
        <v>36934271.340000018</v>
      </c>
      <c r="R20" s="62">
        <f>+Tableau132024[[#This Row],[octobre-21]]+Tableau132024[[#This Row],[novembre-21]]+Tableau132024[[#This Row],[décembre-21]]</f>
        <v>83301136.820000023</v>
      </c>
      <c r="S20" s="62">
        <f>+Tableau132024[[#This Row],[T1 2021]]+Tableau132024[[#This Row],[T2 2021]]+Tableau132024[[#This Row],[T3 2021]]+Tableau132024[[#This Row],[T4 2021]]</f>
        <v>-111499884.93000004</v>
      </c>
      <c r="T20" s="34"/>
    </row>
    <row r="21" spans="1:23" s="32" customFormat="1" ht="30.75" customHeight="1" x14ac:dyDescent="0.35">
      <c r="A21" s="105">
        <v>75</v>
      </c>
      <c r="B21" s="84" t="s">
        <v>16</v>
      </c>
      <c r="C21" s="52">
        <f>+'SIEGE 2021'!C21+'KDU 2021'!C21+'SKDU 2021'!C21+'AZDU 2021'!C21</f>
        <v>335677.88</v>
      </c>
      <c r="D21" s="52">
        <f>+'SIEGE 2021'!D21+'KDU 2021'!D21+'SKDU 2021'!D21+'AZDU 2021'!D21</f>
        <v>1053173.24</v>
      </c>
      <c r="E21" s="52">
        <f>+'SIEGE 2021'!E21+'KDU 2021'!E21+'SKDU 2021'!E21+'AZDU 2021'!E21</f>
        <v>78650661.209999993</v>
      </c>
      <c r="F21" s="133">
        <f>SUM(Tableau132024[[#This Row],[janvier-21]:[mars-21]])</f>
        <v>80039512.329999998</v>
      </c>
      <c r="G21" s="52">
        <f>+'SIEGE 2021'!F21+'KDU 2021'!F21+'SKDU 2021'!F21+'AZDU 2021'!F21</f>
        <v>2975898.8099999996</v>
      </c>
      <c r="H21" s="52">
        <f>+'SIEGE 2021'!G21+'KDU 2021'!G21+'SKDU 2021'!G21+'AZDU 2021'!G21</f>
        <v>1202350.46</v>
      </c>
      <c r="I21" s="52">
        <f>+'SIEGE 2021'!H21+'KDU 2021'!H21+'SKDU 2021'!H21+'AZDU 2021'!H21</f>
        <v>1294053.02</v>
      </c>
      <c r="J21" s="133">
        <f>SUM(Tableau132024[[#This Row],[avril-21]:[juin-21]])</f>
        <v>5472302.2899999991</v>
      </c>
      <c r="K21" s="52">
        <f>+'SIEGE 2021'!I21+'KDU 2021'!I21+'SKDU 2021'!I21+'AZDU 2021'!I21</f>
        <v>143416.54</v>
      </c>
      <c r="L21" s="52">
        <f>+'SIEGE 2021'!J21+'KDU 2021'!J21+'SKDU 2021'!J21+'AZDU 2021'!J21</f>
        <v>654691.58000000007</v>
      </c>
      <c r="M21" s="52">
        <f>+'SIEGE 2021'!K21+'KDU 2021'!K21+'SKDU 2021'!K21+'AZDU 2021'!K21</f>
        <v>852423.92</v>
      </c>
      <c r="N21" s="133">
        <f>SUM(Tableau132024[[#This Row],[juillet-21]:[septembre-21]])</f>
        <v>1650532.04</v>
      </c>
      <c r="O21" s="52">
        <f>+'SIEGE 2021'!L21+'KDU 2021'!L21+'SKDU 2021'!L21+'AZDU 2021'!L21</f>
        <v>55000.17</v>
      </c>
      <c r="P21" s="52">
        <f>+'SIEGE 2021'!M21+'KDU 2021'!M21+'SKDU 2021'!M21+'AZDU 2021'!M21</f>
        <v>385053.86</v>
      </c>
      <c r="Q21" s="52">
        <f>+'SIEGE 2021'!N21+'KDU 2021'!N21+'SKDU 2021'!N21+'AZDU 2021'!N21</f>
        <v>30000.3</v>
      </c>
      <c r="R21" s="133">
        <f>+Tableau132024[[#This Row],[octobre-21]]+Tableau132024[[#This Row],[novembre-21]]+Tableau132024[[#This Row],[décembre-21]]</f>
        <v>470054.32999999996</v>
      </c>
      <c r="S21" s="133">
        <f>+Tableau132024[[#This Row],[T1 2021]]+Tableau132024[[#This Row],[T2 2021]]+Tableau132024[[#This Row],[T3 2021]]+Tableau132024[[#This Row],[T4 2021]]</f>
        <v>87632400.99000001</v>
      </c>
      <c r="W21" s="35"/>
    </row>
    <row r="22" spans="1:23" s="32" customFormat="1" ht="30.75" customHeight="1" x14ac:dyDescent="0.35">
      <c r="A22" s="109">
        <v>65</v>
      </c>
      <c r="B22" s="81" t="s">
        <v>17</v>
      </c>
      <c r="C22" s="55">
        <f>+'SIEGE 2021'!C22+'KDU 2021'!C22+'SKDU 2021'!C22+'AZDU 2021'!C22</f>
        <v>53541.38</v>
      </c>
      <c r="D22" s="55">
        <f>+'SIEGE 2021'!D22+'KDU 2021'!D22+'SKDU 2021'!D22+'AZDU 2021'!D22</f>
        <v>188618.19</v>
      </c>
      <c r="E22" s="55">
        <f>+'SIEGE 2021'!E22+'KDU 2021'!E22+'SKDU 2021'!E22+'AZDU 2021'!E22</f>
        <v>215024.33</v>
      </c>
      <c r="F22" s="134">
        <f>SUM(Tableau132024[[#This Row],[janvier-21]:[mars-21]])</f>
        <v>457183.9</v>
      </c>
      <c r="G22" s="55">
        <f>+'SIEGE 2021'!F22+'KDU 2021'!F22+'SKDU 2021'!F22+'AZDU 2021'!F22</f>
        <v>278756.03999999998</v>
      </c>
      <c r="H22" s="55">
        <f>+'SIEGE 2021'!G22+'KDU 2021'!G22+'SKDU 2021'!G22+'AZDU 2021'!G22</f>
        <v>0.03</v>
      </c>
      <c r="I22" s="55">
        <f>+'SIEGE 2021'!H22+'KDU 2021'!H22+'SKDU 2021'!H22+'AZDU 2021'!H22</f>
        <v>645390.41</v>
      </c>
      <c r="J22" s="134">
        <f>SUM(Tableau132024[[#This Row],[avril-21]:[juin-21]])</f>
        <v>924146.48</v>
      </c>
      <c r="K22" s="55">
        <f>+'SIEGE 2021'!I22+'KDU 2021'!I22+'SKDU 2021'!I22+'AZDU 2021'!I22</f>
        <v>205840.58</v>
      </c>
      <c r="L22" s="55">
        <f>+'SIEGE 2021'!J22+'KDU 2021'!J22+'SKDU 2021'!J22+'AZDU 2021'!J22</f>
        <v>641.1</v>
      </c>
      <c r="M22" s="55">
        <f>+'SIEGE 2021'!K22+'KDU 2021'!K22+'SKDU 2021'!K22+'AZDU 2021'!K22</f>
        <v>675.62</v>
      </c>
      <c r="N22" s="134">
        <f>SUM(Tableau132024[[#This Row],[juillet-21]:[septembre-21]])</f>
        <v>207157.3</v>
      </c>
      <c r="O22" s="55">
        <f>+'SIEGE 2021'!L22+'KDU 2021'!L22+'SKDU 2021'!L22+'AZDU 2021'!L22</f>
        <v>0.25</v>
      </c>
      <c r="P22" s="55">
        <f>+'SIEGE 2021'!M22+'KDU 2021'!M22+'SKDU 2021'!M22+'AZDU 2021'!M22</f>
        <v>797289.1</v>
      </c>
      <c r="Q22" s="55">
        <f>+'SIEGE 2021'!N22+'KDU 2021'!N22+'SKDU 2021'!N22+'AZDU 2021'!N22</f>
        <v>137533.73000000001</v>
      </c>
      <c r="R22" s="134">
        <f>+Tableau132024[[#This Row],[octobre-21]]+Tableau132024[[#This Row],[novembre-21]]+Tableau132024[[#This Row],[décembre-21]]</f>
        <v>934823.08</v>
      </c>
      <c r="S22" s="134">
        <f>+Tableau132024[[#This Row],[T1 2021]]+Tableau132024[[#This Row],[T2 2021]]+Tableau132024[[#This Row],[T3 2021]]+Tableau132024[[#This Row],[T4 2021]]</f>
        <v>2523310.7599999998</v>
      </c>
    </row>
    <row r="23" spans="1:23" s="27" customFormat="1" ht="30.75" customHeight="1" x14ac:dyDescent="0.35">
      <c r="A23" s="109"/>
      <c r="B23" s="87" t="s">
        <v>18</v>
      </c>
      <c r="C23" s="71">
        <f>+'SIEGE 2021'!C23+'KDU 2021'!C23+'SKDU 2021'!C23+'AZDU 2021'!C23</f>
        <v>0</v>
      </c>
      <c r="D23" s="71">
        <f>+'SIEGE 2021'!D23+'KDU 2021'!D23+'SKDU 2021'!D23+'AZDU 2021'!D23</f>
        <v>0</v>
      </c>
      <c r="E23" s="71">
        <f>+'SIEGE 2021'!E23+'KDU 2021'!E23+'SKDU 2021'!E23+'AZDU 2021'!E23</f>
        <v>0</v>
      </c>
      <c r="F23" s="137">
        <f>SUM(Tableau132024[[#This Row],[janvier-21]:[mars-21]])</f>
        <v>0</v>
      </c>
      <c r="G23" s="71">
        <f>+'SIEGE 2021'!F23+'KDU 2021'!F23+'SKDU 2021'!F23+'AZDU 2021'!F23</f>
        <v>0</v>
      </c>
      <c r="H23" s="71">
        <f>+'SIEGE 2021'!G23+'KDU 2021'!G23+'SKDU 2021'!G23+'AZDU 2021'!G23</f>
        <v>0</v>
      </c>
      <c r="I23" s="71">
        <f>+'SIEGE 2021'!H23+'KDU 2021'!H23+'SKDU 2021'!H23+'AZDU 2021'!H23</f>
        <v>0</v>
      </c>
      <c r="J23" s="137">
        <f>SUM(Tableau132024[[#This Row],[avril-21]:[juin-21]])</f>
        <v>0</v>
      </c>
      <c r="K23" s="71">
        <f>+'SIEGE 2021'!I23+'KDU 2021'!I23+'SKDU 2021'!I23+'AZDU 2021'!I23</f>
        <v>0</v>
      </c>
      <c r="L23" s="71">
        <f>+'SIEGE 2021'!J23+'KDU 2021'!J23+'SKDU 2021'!J23+'AZDU 2021'!J23</f>
        <v>0</v>
      </c>
      <c r="M23" s="71">
        <f>+'SIEGE 2021'!K23+'KDU 2021'!K23+'SKDU 2021'!K23+'AZDU 2021'!K23</f>
        <v>0</v>
      </c>
      <c r="N23" s="137">
        <f>SUM(Tableau132024[[#This Row],[juillet-21]:[septembre-21]])</f>
        <v>0</v>
      </c>
      <c r="O23" s="71">
        <f>+'SIEGE 2021'!L23+'KDU 2021'!L23+'SKDU 2021'!L23+'AZDU 2021'!L23</f>
        <v>0</v>
      </c>
      <c r="P23" s="71">
        <f>+'SIEGE 2021'!M23+'KDU 2021'!M23+'SKDU 2021'!M23+'AZDU 2021'!M23</f>
        <v>0</v>
      </c>
      <c r="Q23" s="71">
        <f>+'SIEGE 2021'!N23+'KDU 2021'!N23+'SKDU 2021'!N23+'AZDU 2021'!N23</f>
        <v>0</v>
      </c>
      <c r="R23" s="137">
        <f>+Tableau132024[[#This Row],[octobre-21]]+Tableau132024[[#This Row],[novembre-21]]+Tableau132024[[#This Row],[décembre-21]]</f>
        <v>0</v>
      </c>
      <c r="S23" s="137">
        <f>+Tableau132024[[#This Row],[T1 2021]]+Tableau132024[[#This Row],[T2 2021]]+Tableau132024[[#This Row],[T3 2021]]+Tableau132024[[#This Row],[T4 2021]]</f>
        <v>0</v>
      </c>
    </row>
    <row r="24" spans="1:23" s="27" customFormat="1" ht="30.75" customHeight="1" x14ac:dyDescent="0.35">
      <c r="A24" s="109"/>
      <c r="B24" s="87" t="s">
        <v>19</v>
      </c>
      <c r="C24" s="71">
        <f>+'SIEGE 2021'!C24+'KDU 2021'!C24+'SKDU 2021'!C24+'AZDU 2021'!C24</f>
        <v>0</v>
      </c>
      <c r="D24" s="71">
        <f>+'SIEGE 2021'!D24+'KDU 2021'!D24+'SKDU 2021'!D24+'AZDU 2021'!D24</f>
        <v>0</v>
      </c>
      <c r="E24" s="71">
        <f>+'SIEGE 2021'!E24+'KDU 2021'!E24+'SKDU 2021'!E24+'AZDU 2021'!E24</f>
        <v>0</v>
      </c>
      <c r="F24" s="137">
        <f>SUM(Tableau132024[[#This Row],[janvier-21]:[mars-21]])</f>
        <v>0</v>
      </c>
      <c r="G24" s="71">
        <f>+'SIEGE 2021'!F24+'KDU 2021'!F24+'SKDU 2021'!F24+'AZDU 2021'!F24</f>
        <v>0</v>
      </c>
      <c r="H24" s="71">
        <f>+'SIEGE 2021'!G24+'KDU 2021'!G24+'SKDU 2021'!G24+'AZDU 2021'!G24</f>
        <v>0</v>
      </c>
      <c r="I24" s="71">
        <f>+'SIEGE 2021'!H24+'KDU 2021'!H24+'SKDU 2021'!H24+'AZDU 2021'!H24</f>
        <v>0</v>
      </c>
      <c r="J24" s="137">
        <f>SUM(Tableau132024[[#This Row],[avril-21]:[juin-21]])</f>
        <v>0</v>
      </c>
      <c r="K24" s="71">
        <f>+'SIEGE 2021'!I24+'KDU 2021'!I24+'SKDU 2021'!I24+'AZDU 2021'!I24</f>
        <v>0</v>
      </c>
      <c r="L24" s="71">
        <f>+'SIEGE 2021'!J24+'KDU 2021'!J24+'SKDU 2021'!J24+'AZDU 2021'!J24</f>
        <v>0</v>
      </c>
      <c r="M24" s="71">
        <f>+'SIEGE 2021'!K24+'KDU 2021'!K24+'SKDU 2021'!K24+'AZDU 2021'!K24</f>
        <v>0</v>
      </c>
      <c r="N24" s="137">
        <f>SUM(Tableau132024[[#This Row],[juillet-21]:[septembre-21]])</f>
        <v>0</v>
      </c>
      <c r="O24" s="71">
        <f>+'SIEGE 2021'!L24+'KDU 2021'!L24+'SKDU 2021'!L24+'AZDU 2021'!L24</f>
        <v>0</v>
      </c>
      <c r="P24" s="71">
        <f>+'SIEGE 2021'!M24+'KDU 2021'!M24+'SKDU 2021'!M24+'AZDU 2021'!M24</f>
        <v>0</v>
      </c>
      <c r="Q24" s="71">
        <f>+'SIEGE 2021'!N24+'KDU 2021'!N24+'SKDU 2021'!N24+'AZDU 2021'!N24</f>
        <v>0</v>
      </c>
      <c r="R24" s="137">
        <f>+Tableau132024[[#This Row],[octobre-21]]+Tableau132024[[#This Row],[novembre-21]]+Tableau132024[[#This Row],[décembre-21]]</f>
        <v>0</v>
      </c>
      <c r="S24" s="137">
        <f>+Tableau132024[[#This Row],[T1 2021]]+Tableau132024[[#This Row],[T2 2021]]+Tableau132024[[#This Row],[T3 2021]]+Tableau132024[[#This Row],[T4 2021]]</f>
        <v>0</v>
      </c>
    </row>
    <row r="25" spans="1:23" s="32" customFormat="1" ht="30.75" customHeight="1" x14ac:dyDescent="0.35">
      <c r="A25" s="109">
        <v>68</v>
      </c>
      <c r="B25" s="81" t="s">
        <v>20</v>
      </c>
      <c r="C25" s="55">
        <f>+'SIEGE 2021'!C25+'KDU 2021'!C25+'SKDU 2021'!C25+'AZDU 2021'!C25</f>
        <v>8202501.9699999997</v>
      </c>
      <c r="D25" s="55">
        <f>+'SIEGE 2021'!D25+'KDU 2021'!D25+'SKDU 2021'!D25+'AZDU 2021'!D25</f>
        <v>8211299.5</v>
      </c>
      <c r="E25" s="55">
        <f>+'SIEGE 2021'!E25+'KDU 2021'!E25+'SKDU 2021'!E25+'AZDU 2021'!E25</f>
        <v>8207082</v>
      </c>
      <c r="F25" s="134">
        <f>SUM(Tableau132024[[#This Row],[janvier-21]:[mars-21]])</f>
        <v>24620883.469999999</v>
      </c>
      <c r="G25" s="55">
        <f>+'SIEGE 2021'!F25+'KDU 2021'!F25+'SKDU 2021'!F25+'AZDU 2021'!F25</f>
        <v>8236631.2200000007</v>
      </c>
      <c r="H25" s="55">
        <f>+'SIEGE 2021'!G25+'KDU 2021'!G25+'SKDU 2021'!G25+'AZDU 2021'!G25</f>
        <v>8233162.96</v>
      </c>
      <c r="I25" s="55">
        <f>+'SIEGE 2021'!H25+'KDU 2021'!H25+'SKDU 2021'!H25+'AZDU 2021'!H25</f>
        <v>8235859.2800000003</v>
      </c>
      <c r="J25" s="134">
        <f>SUM(Tableau132024[[#This Row],[avril-21]:[juin-21]])</f>
        <v>24705653.460000001</v>
      </c>
      <c r="K25" s="55">
        <f>+'SIEGE 2021'!I25+'KDU 2021'!I25+'SKDU 2021'!I25+'AZDU 2021'!I25</f>
        <v>8242179.8900000006</v>
      </c>
      <c r="L25" s="55">
        <f>+'SIEGE 2021'!J25+'KDU 2021'!J25+'SKDU 2021'!J25+'AZDU 2021'!J25</f>
        <v>8232172.5099999998</v>
      </c>
      <c r="M25" s="55">
        <f>+'SIEGE 2021'!K25+'KDU 2021'!K25+'SKDU 2021'!K25+'AZDU 2021'!K25</f>
        <v>8255267.0700000003</v>
      </c>
      <c r="N25" s="134">
        <f>SUM(Tableau132024[[#This Row],[juillet-21]:[septembre-21]])</f>
        <v>24729619.469999999</v>
      </c>
      <c r="O25" s="55">
        <f>+'SIEGE 2021'!L25+'KDU 2021'!L25+'SKDU 2021'!L25+'AZDU 2021'!L25</f>
        <v>8370151.0499999998</v>
      </c>
      <c r="P25" s="55">
        <f>+'SIEGE 2021'!M25+'KDU 2021'!M25+'SKDU 2021'!M25+'AZDU 2021'!M25</f>
        <v>8139261.5</v>
      </c>
      <c r="Q25" s="55">
        <f>+'SIEGE 2021'!N25+'KDU 2021'!N25+'SKDU 2021'!N25+'AZDU 2021'!N25</f>
        <v>8195831.0999999996</v>
      </c>
      <c r="R25" s="134">
        <f>+Tableau132024[[#This Row],[octobre-21]]+Tableau132024[[#This Row],[novembre-21]]+Tableau132024[[#This Row],[décembre-21]]</f>
        <v>24705243.649999999</v>
      </c>
      <c r="S25" s="134">
        <f>+Tableau132024[[#This Row],[T1 2021]]+Tableau132024[[#This Row],[T2 2021]]+Tableau132024[[#This Row],[T3 2021]]+Tableau132024[[#This Row],[T4 2021]]</f>
        <v>98761400.050000012</v>
      </c>
    </row>
    <row r="26" spans="1:23" s="32" customFormat="1" ht="30.75" customHeight="1" thickBot="1" x14ac:dyDescent="0.4">
      <c r="A26" s="106">
        <v>78</v>
      </c>
      <c r="B26" s="82" t="s">
        <v>21</v>
      </c>
      <c r="C26" s="59">
        <f>+'SIEGE 2021'!C26+'KDU 2021'!C26+'SKDU 2021'!C26+'AZDU 2021'!C26</f>
        <v>0</v>
      </c>
      <c r="D26" s="59">
        <f>+'SIEGE 2021'!D26+'KDU 2021'!D26+'SKDU 2021'!D26+'AZDU 2021'!D26</f>
        <v>0</v>
      </c>
      <c r="E26" s="59">
        <f>+'SIEGE 2021'!E26+'KDU 2021'!E26+'SKDU 2021'!E26+'AZDU 2021'!E26</f>
        <v>0</v>
      </c>
      <c r="F26" s="135">
        <f>SUM(Tableau132024[[#This Row],[janvier-21]:[mars-21]])</f>
        <v>0</v>
      </c>
      <c r="G26" s="59">
        <f>+'SIEGE 2021'!F26+'KDU 2021'!F26+'SKDU 2021'!F26+'AZDU 2021'!F26</f>
        <v>0</v>
      </c>
      <c r="H26" s="59">
        <f>+'SIEGE 2021'!G26+'KDU 2021'!G26+'SKDU 2021'!G26+'AZDU 2021'!G26</f>
        <v>0</v>
      </c>
      <c r="I26" s="59">
        <f>+'SIEGE 2021'!H26+'KDU 2021'!H26+'SKDU 2021'!H26+'AZDU 2021'!H26</f>
        <v>0</v>
      </c>
      <c r="J26" s="135">
        <f>SUM(Tableau132024[[#This Row],[avril-21]:[juin-21]])</f>
        <v>0</v>
      </c>
      <c r="K26" s="59">
        <f>+'SIEGE 2021'!I26+'KDU 2021'!I26+'SKDU 2021'!I26+'AZDU 2021'!I26</f>
        <v>0</v>
      </c>
      <c r="L26" s="59">
        <f>+'SIEGE 2021'!J26+'KDU 2021'!J26+'SKDU 2021'!J26+'AZDU 2021'!J26</f>
        <v>0</v>
      </c>
      <c r="M26" s="59">
        <f>+'SIEGE 2021'!K26+'KDU 2021'!K26+'SKDU 2021'!K26+'AZDU 2021'!K26</f>
        <v>0</v>
      </c>
      <c r="N26" s="135">
        <f>SUM(Tableau132024[[#This Row],[juillet-21]:[septembre-21]])</f>
        <v>0</v>
      </c>
      <c r="O26" s="59">
        <f>+'SIEGE 2021'!L26+'KDU 2021'!L26+'SKDU 2021'!L26+'AZDU 2021'!L26</f>
        <v>0</v>
      </c>
      <c r="P26" s="59">
        <f>+'SIEGE 2021'!M26+'KDU 2021'!M26+'SKDU 2021'!M26+'AZDU 2021'!M26</f>
        <v>0</v>
      </c>
      <c r="Q26" s="59">
        <f>+'SIEGE 2021'!N26+'KDU 2021'!N26+'SKDU 2021'!N26+'AZDU 2021'!N26</f>
        <v>0</v>
      </c>
      <c r="R26" s="135">
        <f>+Tableau132024[[#This Row],[octobre-21]]+Tableau132024[[#This Row],[novembre-21]]+Tableau132024[[#This Row],[décembre-21]]</f>
        <v>0</v>
      </c>
      <c r="S26" s="135">
        <f>+Tableau132024[[#This Row],[T1 2021]]+Tableau132024[[#This Row],[T2 2021]]+Tableau132024[[#This Row],[T3 2021]]+Tableau132024[[#This Row],[T4 2021]]</f>
        <v>0</v>
      </c>
    </row>
    <row r="27" spans="1:23" s="27" customFormat="1" ht="30.75" customHeight="1" thickBot="1" x14ac:dyDescent="0.4">
      <c r="A27" s="107" t="s">
        <v>22</v>
      </c>
      <c r="B27" s="85" t="s">
        <v>23</v>
      </c>
      <c r="C27" s="62">
        <f>+'SIEGE 2021'!C27+'KDU 2021'!C27+'SKDU 2021'!C27+'AZDU 2021'!C27</f>
        <v>-32045705.54000001</v>
      </c>
      <c r="D27" s="62">
        <f>+'SIEGE 2021'!D27+'KDU 2021'!D27+'SKDU 2021'!D27+'AZDU 2021'!D27</f>
        <v>-37959402.94000002</v>
      </c>
      <c r="E27" s="62">
        <f>+'SIEGE 2021'!E27+'KDU 2021'!E27+'SKDU 2021'!E27+'AZDU 2021'!E27</f>
        <v>59647690.069999978</v>
      </c>
      <c r="F27" s="62">
        <f>SUM(Tableau132024[[#This Row],[janvier-21]:[mars-21]])</f>
        <v>-10357418.410000056</v>
      </c>
      <c r="G27" s="62">
        <f>+'SIEGE 2021'!F27+'KDU 2021'!F27+'SKDU 2021'!F27+'AZDU 2021'!F27</f>
        <v>-25938908.889999993</v>
      </c>
      <c r="H27" s="62">
        <f>+'SIEGE 2021'!G27+'KDU 2021'!G27+'SKDU 2021'!G27+'AZDU 2021'!G27</f>
        <v>-16460356.999999993</v>
      </c>
      <c r="I27" s="62">
        <f>+'SIEGE 2021'!H27+'KDU 2021'!H27+'SKDU 2021'!H27+'AZDU 2021'!H27</f>
        <v>-5889363.3799999841</v>
      </c>
      <c r="J27" s="62">
        <f>SUM(Tableau132024[[#This Row],[avril-21]:[juin-21]])</f>
        <v>-48288629.269999966</v>
      </c>
      <c r="K27" s="62">
        <f>+'SIEGE 2021'!I27+'KDU 2021'!I27+'SKDU 2021'!I27+'AZDU 2021'!I27</f>
        <v>-51251538.680000007</v>
      </c>
      <c r="L27" s="62">
        <f>+'SIEGE 2021'!J27+'KDU 2021'!J27+'SKDU 2021'!J27+'AZDU 2021'!J27</f>
        <v>-47536851.830000028</v>
      </c>
      <c r="M27" s="62">
        <f>+'SIEGE 2021'!K27+'KDU 2021'!K27+'SKDU 2021'!K27+'AZDU 2021'!K27</f>
        <v>-25848880.979999989</v>
      </c>
      <c r="N27" s="62">
        <f>SUM(Tableau132024[[#This Row],[juillet-21]:[septembre-21]])</f>
        <v>-124637271.49000002</v>
      </c>
      <c r="O27" s="62">
        <f>+'SIEGE 2021'!L27+'KDU 2021'!L27+'SKDU 2021'!L27+'AZDU 2021'!L27</f>
        <v>13706341.590000007</v>
      </c>
      <c r="P27" s="62">
        <f>+'SIEGE 2021'!M27+'KDU 2021'!M27+'SKDU 2021'!M27+'AZDU 2021'!M27</f>
        <v>15793876.019999992</v>
      </c>
      <c r="Q27" s="62">
        <f>+'SIEGE 2021'!N27+'KDU 2021'!N27+'SKDU 2021'!N27+'AZDU 2021'!N27</f>
        <v>28630906.810000017</v>
      </c>
      <c r="R27" s="62">
        <f>+Tableau132024[[#This Row],[octobre-21]]+Tableau132024[[#This Row],[novembre-21]]+Tableau132024[[#This Row],[décembre-21]]</f>
        <v>58131124.420000017</v>
      </c>
      <c r="S27" s="62">
        <f>+Tableau132024[[#This Row],[T1 2021]]+Tableau132024[[#This Row],[T2 2021]]+Tableau132024[[#This Row],[T3 2021]]+Tableau132024[[#This Row],[T4 2021]]</f>
        <v>-125152194.75000003</v>
      </c>
    </row>
    <row r="28" spans="1:23" s="32" customFormat="1" ht="30.75" customHeight="1" x14ac:dyDescent="0.35">
      <c r="A28" s="105">
        <v>76</v>
      </c>
      <c r="B28" s="84" t="s">
        <v>24</v>
      </c>
      <c r="C28" s="52">
        <f>+'SIEGE 2021'!C28+'KDU 2021'!C28+'SKDU 2021'!C28+'AZDU 2021'!C28</f>
        <v>140447.62</v>
      </c>
      <c r="D28" s="52">
        <f>+'SIEGE 2021'!D28+'KDU 2021'!D28+'SKDU 2021'!D28+'AZDU 2021'!D28</f>
        <v>4228690.97</v>
      </c>
      <c r="E28" s="52">
        <f>+'SIEGE 2021'!E28+'KDU 2021'!E28+'SKDU 2021'!E28+'AZDU 2021'!E28</f>
        <v>99114.66</v>
      </c>
      <c r="F28" s="133">
        <f>SUM(Tableau132024[[#This Row],[janvier-21]:[mars-21]])</f>
        <v>4468253.25</v>
      </c>
      <c r="G28" s="52">
        <f>+'SIEGE 2021'!F28+'KDU 2021'!F28+'SKDU 2021'!F28+'AZDU 2021'!F28</f>
        <v>0</v>
      </c>
      <c r="H28" s="52">
        <f>+'SIEGE 2021'!G28+'KDU 2021'!G28+'SKDU 2021'!G28+'AZDU 2021'!G28</f>
        <v>0</v>
      </c>
      <c r="I28" s="52">
        <f>+'SIEGE 2021'!H28+'KDU 2021'!H28+'SKDU 2021'!H28+'AZDU 2021'!H28</f>
        <v>147047924.81999999</v>
      </c>
      <c r="J28" s="133">
        <f>SUM(Tableau132024[[#This Row],[avril-21]:[juin-21]])</f>
        <v>147047924.81999999</v>
      </c>
      <c r="K28" s="52">
        <f>+'SIEGE 2021'!I28+'KDU 2021'!I28+'SKDU 2021'!I28+'AZDU 2021'!I28</f>
        <v>85999.599999999991</v>
      </c>
      <c r="L28" s="52">
        <f>+'SIEGE 2021'!J28+'KDU 2021'!J28+'SKDU 2021'!J28+'AZDU 2021'!J28</f>
        <v>626824.14</v>
      </c>
      <c r="M28" s="52">
        <f>+'SIEGE 2021'!K28+'KDU 2021'!K28+'SKDU 2021'!K28+'AZDU 2021'!K28</f>
        <v>83007.09</v>
      </c>
      <c r="N28" s="133">
        <f>SUM(Tableau132024[[#This Row],[juillet-21]:[septembre-21]])</f>
        <v>795830.83</v>
      </c>
      <c r="O28" s="52">
        <f>+'SIEGE 2021'!L28+'KDU 2021'!L28+'SKDU 2021'!L28+'AZDU 2021'!L28</f>
        <v>379887.93</v>
      </c>
      <c r="P28" s="52">
        <f>+'SIEGE 2021'!M28+'KDU 2021'!M28+'SKDU 2021'!M28+'AZDU 2021'!M28</f>
        <v>0</v>
      </c>
      <c r="Q28" s="52">
        <f>+'SIEGE 2021'!N28+'KDU 2021'!N28+'SKDU 2021'!N28+'AZDU 2021'!N28</f>
        <v>0</v>
      </c>
      <c r="R28" s="133">
        <f>+Tableau132024[[#This Row],[octobre-21]]+Tableau132024[[#This Row],[novembre-21]]+Tableau132024[[#This Row],[décembre-21]]</f>
        <v>379887.93</v>
      </c>
      <c r="S28" s="133">
        <f>+Tableau132024[[#This Row],[T1 2021]]+Tableau132024[[#This Row],[T2 2021]]+Tableau132024[[#This Row],[T3 2021]]+Tableau132024[[#This Row],[T4 2021]]</f>
        <v>152691896.83000001</v>
      </c>
    </row>
    <row r="29" spans="1:23" s="32" customFormat="1" ht="30.75" customHeight="1" thickBot="1" x14ac:dyDescent="0.4">
      <c r="A29" s="106">
        <v>66</v>
      </c>
      <c r="B29" s="82" t="s">
        <v>25</v>
      </c>
      <c r="C29" s="59">
        <f>+'SIEGE 2021'!C29+'KDU 2021'!C29+'SKDU 2021'!C29+'AZDU 2021'!C29</f>
        <v>1203708.6499999999</v>
      </c>
      <c r="D29" s="59">
        <f>+'SIEGE 2021'!D29+'KDU 2021'!D29+'SKDU 2021'!D29+'AZDU 2021'!D29</f>
        <v>213491.87</v>
      </c>
      <c r="E29" s="59">
        <f>+'SIEGE 2021'!E29+'KDU 2021'!E29+'SKDU 2021'!E29+'AZDU 2021'!E29</f>
        <v>126180.26</v>
      </c>
      <c r="F29" s="135">
        <f>SUM(Tableau132024[[#This Row],[janvier-21]:[mars-21]])</f>
        <v>1543380.78</v>
      </c>
      <c r="G29" s="59">
        <f>+'SIEGE 2021'!F29+'KDU 2021'!F29+'SKDU 2021'!F29+'AZDU 2021'!F29</f>
        <v>0</v>
      </c>
      <c r="H29" s="59">
        <f>+'SIEGE 2021'!G29+'KDU 2021'!G29+'SKDU 2021'!G29+'AZDU 2021'!G29</f>
        <v>-12799.57</v>
      </c>
      <c r="I29" s="59">
        <f>+'SIEGE 2021'!H29+'KDU 2021'!H29+'SKDU 2021'!H29+'AZDU 2021'!H29</f>
        <v>413580.02</v>
      </c>
      <c r="J29" s="135">
        <f>SUM(Tableau132024[[#This Row],[avril-21]:[juin-21]])</f>
        <v>400780.45</v>
      </c>
      <c r="K29" s="59">
        <f>+'SIEGE 2021'!I29+'KDU 2021'!I29+'SKDU 2021'!I29+'AZDU 2021'!I29</f>
        <v>0</v>
      </c>
      <c r="L29" s="59">
        <f>+'SIEGE 2021'!J29+'KDU 2021'!J29+'SKDU 2021'!J29+'AZDU 2021'!J29</f>
        <v>9236.35</v>
      </c>
      <c r="M29" s="59">
        <f>+'SIEGE 2021'!K29+'KDU 2021'!K29+'SKDU 2021'!K29+'AZDU 2021'!K29</f>
        <v>0</v>
      </c>
      <c r="N29" s="135">
        <f>SUM(Tableau132024[[#This Row],[juillet-21]:[septembre-21]])</f>
        <v>9236.35</v>
      </c>
      <c r="O29" s="59">
        <f>+'SIEGE 2021'!L29+'KDU 2021'!L29+'SKDU 2021'!L29+'AZDU 2021'!L29</f>
        <v>1625752.0299999998</v>
      </c>
      <c r="P29" s="59">
        <f>+'SIEGE 2021'!M29+'KDU 2021'!M29+'SKDU 2021'!M29+'AZDU 2021'!M29</f>
        <v>0</v>
      </c>
      <c r="Q29" s="59">
        <f>+'SIEGE 2021'!N29+'KDU 2021'!N29+'SKDU 2021'!N29+'AZDU 2021'!N29</f>
        <v>0</v>
      </c>
      <c r="R29" s="135">
        <f>+Tableau132024[[#This Row],[octobre-21]]+Tableau132024[[#This Row],[novembre-21]]+Tableau132024[[#This Row],[décembre-21]]</f>
        <v>1625752.0299999998</v>
      </c>
      <c r="S29" s="135">
        <f>+Tableau132024[[#This Row],[T1 2021]]+Tableau132024[[#This Row],[T2 2021]]+Tableau132024[[#This Row],[T3 2021]]+Tableau132024[[#This Row],[T4 2021]]</f>
        <v>3579149.61</v>
      </c>
    </row>
    <row r="30" spans="1:23" s="27" customFormat="1" ht="30.75" customHeight="1" thickBot="1" x14ac:dyDescent="0.4">
      <c r="A30" s="107" t="s">
        <v>26</v>
      </c>
      <c r="B30" s="85" t="s">
        <v>27</v>
      </c>
      <c r="C30" s="62">
        <f>+'SIEGE 2021'!C30+'KDU 2021'!C30+'SKDU 2021'!C30+'AZDU 2021'!C30</f>
        <v>-1063261.0299999998</v>
      </c>
      <c r="D30" s="62">
        <f>+'SIEGE 2021'!D30+'KDU 2021'!D30+'SKDU 2021'!D30+'AZDU 2021'!D30</f>
        <v>4015199.1</v>
      </c>
      <c r="E30" s="62">
        <f>+'SIEGE 2021'!E30+'KDU 2021'!E30+'SKDU 2021'!E30+'AZDU 2021'!E30</f>
        <v>-27065.599999999991</v>
      </c>
      <c r="F30" s="62">
        <f>SUM(Tableau132024[[#This Row],[janvier-21]:[mars-21]])</f>
        <v>2924872.47</v>
      </c>
      <c r="G30" s="62">
        <f>+'SIEGE 2021'!F30+'KDU 2021'!F30+'SKDU 2021'!F30+'AZDU 2021'!F30</f>
        <v>0</v>
      </c>
      <c r="H30" s="62">
        <f>+'SIEGE 2021'!G30+'KDU 2021'!G30+'SKDU 2021'!G30+'AZDU 2021'!G30</f>
        <v>12799.57</v>
      </c>
      <c r="I30" s="62">
        <f>+'SIEGE 2021'!H30+'KDU 2021'!H30+'SKDU 2021'!H30+'AZDU 2021'!H30</f>
        <v>146634344.80000001</v>
      </c>
      <c r="J30" s="62">
        <f>SUM(Tableau132024[[#This Row],[avril-21]:[juin-21]])</f>
        <v>146647144.37</v>
      </c>
      <c r="K30" s="62">
        <f>+'SIEGE 2021'!I30+'KDU 2021'!I30+'SKDU 2021'!I30+'AZDU 2021'!I30</f>
        <v>85999.599999999991</v>
      </c>
      <c r="L30" s="62">
        <f>+'SIEGE 2021'!J30+'KDU 2021'!J30+'SKDU 2021'!J30+'AZDU 2021'!J30</f>
        <v>617587.79</v>
      </c>
      <c r="M30" s="62">
        <f>+'SIEGE 2021'!K30+'KDU 2021'!K30+'SKDU 2021'!K30+'AZDU 2021'!K30</f>
        <v>83007.09</v>
      </c>
      <c r="N30" s="62">
        <f>SUM(Tableau132024[[#This Row],[juillet-21]:[septembre-21]])</f>
        <v>786594.48</v>
      </c>
      <c r="O30" s="62">
        <f>+'SIEGE 2021'!L30+'KDU 2021'!L30+'SKDU 2021'!L30+'AZDU 2021'!L30</f>
        <v>-1245864.0999999999</v>
      </c>
      <c r="P30" s="62">
        <f>+'SIEGE 2021'!M30+'KDU 2021'!M30+'SKDU 2021'!M30+'AZDU 2021'!M30</f>
        <v>0</v>
      </c>
      <c r="Q30" s="62">
        <f>+'SIEGE 2021'!N30+'KDU 2021'!N30+'SKDU 2021'!N30+'AZDU 2021'!N30</f>
        <v>0</v>
      </c>
      <c r="R30" s="62">
        <f>+Tableau132024[[#This Row],[octobre-21]]+Tableau132024[[#This Row],[novembre-21]]+Tableau132024[[#This Row],[décembre-21]]</f>
        <v>-1245864.0999999999</v>
      </c>
      <c r="S30" s="62">
        <f>+Tableau132024[[#This Row],[T1 2021]]+Tableau132024[[#This Row],[T2 2021]]+Tableau132024[[#This Row],[T3 2021]]+Tableau132024[[#This Row],[T4 2021]]</f>
        <v>149112747.22</v>
      </c>
    </row>
    <row r="31" spans="1:23" s="27" customFormat="1" ht="30.75" customHeight="1" thickBot="1" x14ac:dyDescent="0.4">
      <c r="A31" s="107" t="s">
        <v>28</v>
      </c>
      <c r="B31" s="85" t="s">
        <v>29</v>
      </c>
      <c r="C31" s="62">
        <f>+'SIEGE 2021'!C31+'KDU 2021'!C31+'SKDU 2021'!C31+'AZDU 2021'!C31</f>
        <v>-33108966.570000011</v>
      </c>
      <c r="D31" s="62">
        <f>+'SIEGE 2021'!D31+'KDU 2021'!D31+'SKDU 2021'!D31+'AZDU 2021'!D31</f>
        <v>-33944203.840000018</v>
      </c>
      <c r="E31" s="62">
        <f>+'SIEGE 2021'!E31+'KDU 2021'!E31+'SKDU 2021'!E31+'AZDU 2021'!E31</f>
        <v>59620624.469999976</v>
      </c>
      <c r="F31" s="62">
        <f>SUM(Tableau132024[[#This Row],[janvier-21]:[mars-21]])</f>
        <v>-7432545.9400000498</v>
      </c>
      <c r="G31" s="62">
        <f>+'SIEGE 2021'!F31+'KDU 2021'!F31+'SKDU 2021'!F31+'AZDU 2021'!F31</f>
        <v>-25938908.889999993</v>
      </c>
      <c r="H31" s="62">
        <f>+'SIEGE 2021'!G31+'KDU 2021'!G31+'SKDU 2021'!G31+'AZDU 2021'!G31</f>
        <v>-16447557.429999992</v>
      </c>
      <c r="I31" s="62">
        <f>+'SIEGE 2021'!H31+'KDU 2021'!H31+'SKDU 2021'!H31+'AZDU 2021'!H31</f>
        <v>140744981.42000002</v>
      </c>
      <c r="J31" s="62">
        <f>SUM(Tableau132024[[#This Row],[avril-21]:[juin-21]])</f>
        <v>98358515.100000024</v>
      </c>
      <c r="K31" s="62">
        <f>+'SIEGE 2021'!I31+'KDU 2021'!I31+'SKDU 2021'!I31+'AZDU 2021'!I31</f>
        <v>-51165539.079999998</v>
      </c>
      <c r="L31" s="62">
        <f>+'SIEGE 2021'!J31+'KDU 2021'!J31+'SKDU 2021'!J31+'AZDU 2021'!J31</f>
        <v>-46919264.040000021</v>
      </c>
      <c r="M31" s="62">
        <f>+'SIEGE 2021'!K31+'KDU 2021'!K31+'SKDU 2021'!K31+'AZDU 2021'!K31</f>
        <v>-25765873.889999993</v>
      </c>
      <c r="N31" s="62">
        <f>SUM(Tableau132024[[#This Row],[juillet-21]:[septembre-21]])</f>
        <v>-123850677.01000002</v>
      </c>
      <c r="O31" s="62">
        <f>+'SIEGE 2021'!L31+'KDU 2021'!L31+'SKDU 2021'!L31+'AZDU 2021'!L31</f>
        <v>12460477.490000008</v>
      </c>
      <c r="P31" s="62">
        <f>+'SIEGE 2021'!M31+'KDU 2021'!M31+'SKDU 2021'!M31+'AZDU 2021'!M31</f>
        <v>15793876.019999992</v>
      </c>
      <c r="Q31" s="62">
        <f>+'SIEGE 2021'!N31+'KDU 2021'!N31+'SKDU 2021'!N31+'AZDU 2021'!N31</f>
        <v>28630906.810000017</v>
      </c>
      <c r="R31" s="62">
        <f>+Tableau132024[[#This Row],[octobre-21]]+Tableau132024[[#This Row],[novembre-21]]+Tableau132024[[#This Row],[décembre-21]]</f>
        <v>56885260.320000015</v>
      </c>
      <c r="S31" s="62">
        <f>+Tableau132024[[#This Row],[T1 2021]]+Tableau132024[[#This Row],[T2 2021]]+Tableau132024[[#This Row],[T3 2021]]+Tableau132024[[#This Row],[T4 2021]]</f>
        <v>23960552.469999962</v>
      </c>
    </row>
    <row r="32" spans="1:23" s="32" customFormat="1" ht="30.75" customHeight="1" x14ac:dyDescent="0.35">
      <c r="A32" s="105" t="s">
        <v>30</v>
      </c>
      <c r="B32" s="84" t="s">
        <v>31</v>
      </c>
      <c r="C32" s="52">
        <f>+'SIEGE 2021'!C32+'KDU 2021'!C32+'SKDU 2021'!C32+'AZDU 2021'!C32</f>
        <v>0</v>
      </c>
      <c r="D32" s="52">
        <f>+'SIEGE 2021'!D32+'KDU 2021'!D32+'SKDU 2021'!D32+'AZDU 2021'!D32</f>
        <v>0</v>
      </c>
      <c r="E32" s="52">
        <f>+'SIEGE 2021'!E32+'KDU 2021'!E32+'SKDU 2021'!E32+'AZDU 2021'!E32</f>
        <v>0</v>
      </c>
      <c r="F32" s="133">
        <f>SUM(Tableau132024[[#This Row],[janvier-21]:[mars-21]])</f>
        <v>0</v>
      </c>
      <c r="G32" s="52">
        <f>+'SIEGE 2021'!F32+'KDU 2021'!F32+'SKDU 2021'!F32+'AZDU 2021'!F32</f>
        <v>0</v>
      </c>
      <c r="H32" s="52">
        <f>+'SIEGE 2021'!G32+'KDU 2021'!G32+'SKDU 2021'!G32+'AZDU 2021'!G32</f>
        <v>0</v>
      </c>
      <c r="I32" s="52">
        <f>+'SIEGE 2021'!H32+'KDU 2021'!H32+'SKDU 2021'!H32+'AZDU 2021'!H32</f>
        <v>0</v>
      </c>
      <c r="J32" s="133">
        <f>SUM(Tableau132024[[#This Row],[avril-21]:[juin-21]])</f>
        <v>0</v>
      </c>
      <c r="K32" s="52">
        <f>+'SIEGE 2021'!I32+'KDU 2021'!I32+'SKDU 2021'!I32+'AZDU 2021'!I32</f>
        <v>-10000</v>
      </c>
      <c r="L32" s="52">
        <f>+'SIEGE 2021'!J32+'KDU 2021'!J32+'SKDU 2021'!J32+'AZDU 2021'!J32</f>
        <v>0</v>
      </c>
      <c r="M32" s="52">
        <f>+'SIEGE 2021'!K32+'KDU 2021'!K32+'SKDU 2021'!K32+'AZDU 2021'!K32</f>
        <v>0</v>
      </c>
      <c r="N32" s="133">
        <f>SUM(Tableau132024[[#This Row],[juillet-21]:[septembre-21]])</f>
        <v>-10000</v>
      </c>
      <c r="O32" s="52">
        <f>+'SIEGE 2021'!L32+'KDU 2021'!L32+'SKDU 2021'!L32+'AZDU 2021'!L32</f>
        <v>0</v>
      </c>
      <c r="P32" s="52">
        <f>+'SIEGE 2021'!M32+'KDU 2021'!M32+'SKDU 2021'!M32+'AZDU 2021'!M32</f>
        <v>0</v>
      </c>
      <c r="Q32" s="52">
        <f>+'SIEGE 2021'!N32+'KDU 2021'!N32+'SKDU 2021'!N32+'AZDU 2021'!N32</f>
        <v>0</v>
      </c>
      <c r="R32" s="133">
        <f>+Tableau132024[[#This Row],[octobre-21]]+Tableau132024[[#This Row],[novembre-21]]+Tableau132024[[#This Row],[décembre-21]]</f>
        <v>0</v>
      </c>
      <c r="S32" s="133">
        <f>+Tableau132024[[#This Row],[T1 2021]]+Tableau132024[[#This Row],[T2 2021]]+Tableau132024[[#This Row],[T3 2021]]+Tableau132024[[#This Row],[T4 2021]]</f>
        <v>-10000</v>
      </c>
    </row>
    <row r="33" spans="1:19" s="32" customFormat="1" ht="30.75" customHeight="1" x14ac:dyDescent="0.35">
      <c r="A33" s="109" t="s">
        <v>32</v>
      </c>
      <c r="B33" s="81" t="s">
        <v>33</v>
      </c>
      <c r="C33" s="55">
        <f>+'SIEGE 2021'!C33+'KDU 2021'!C33+'SKDU 2021'!C33+'AZDU 2021'!C33</f>
        <v>0</v>
      </c>
      <c r="D33" s="55">
        <f>+'SIEGE 2021'!D33+'KDU 2021'!D33+'SKDU 2021'!D33+'AZDU 2021'!D33</f>
        <v>0</v>
      </c>
      <c r="E33" s="55">
        <f>+'SIEGE 2021'!E33+'KDU 2021'!E33+'SKDU 2021'!E33+'AZDU 2021'!E33</f>
        <v>0</v>
      </c>
      <c r="F33" s="134">
        <f>SUM(Tableau132024[[#This Row],[janvier-21]:[mars-21]])</f>
        <v>0</v>
      </c>
      <c r="G33" s="55">
        <f>+'SIEGE 2021'!F33+'KDU 2021'!F33+'SKDU 2021'!F33+'AZDU 2021'!F33</f>
        <v>0</v>
      </c>
      <c r="H33" s="55">
        <f>+'SIEGE 2021'!G33+'KDU 2021'!G33+'SKDU 2021'!G33+'AZDU 2021'!G33</f>
        <v>0</v>
      </c>
      <c r="I33" s="55">
        <f>+'SIEGE 2021'!H33+'KDU 2021'!H33+'SKDU 2021'!H33+'AZDU 2021'!H33</f>
        <v>0</v>
      </c>
      <c r="J33" s="134">
        <f>SUM(Tableau132024[[#This Row],[avril-21]:[juin-21]])</f>
        <v>0</v>
      </c>
      <c r="K33" s="55">
        <f>+'SIEGE 2021'!I33+'KDU 2021'!I33+'SKDU 2021'!I33+'AZDU 2021'!I33</f>
        <v>0</v>
      </c>
      <c r="L33" s="55">
        <f>+'SIEGE 2021'!J33+'KDU 2021'!J33+'SKDU 2021'!J33+'AZDU 2021'!J33</f>
        <v>0</v>
      </c>
      <c r="M33" s="55">
        <f>+'SIEGE 2021'!K33+'KDU 2021'!K33+'SKDU 2021'!K33+'AZDU 2021'!K33</f>
        <v>0</v>
      </c>
      <c r="N33" s="134">
        <f>SUM(Tableau132024[[#This Row],[juillet-21]:[septembre-21]])</f>
        <v>0</v>
      </c>
      <c r="O33" s="55">
        <f>+'SIEGE 2021'!L33+'KDU 2021'!L33+'SKDU 2021'!L33+'AZDU 2021'!L33</f>
        <v>0</v>
      </c>
      <c r="P33" s="55">
        <f>+'SIEGE 2021'!M33+'KDU 2021'!M33+'SKDU 2021'!M33+'AZDU 2021'!M33</f>
        <v>0</v>
      </c>
      <c r="Q33" s="55">
        <f>+'SIEGE 2021'!N33+'KDU 2021'!N33+'SKDU 2021'!N33+'AZDU 2021'!N33</f>
        <v>0</v>
      </c>
      <c r="R33" s="134">
        <f>+Tableau132024[[#This Row],[octobre-21]]+Tableau132024[[#This Row],[novembre-21]]+Tableau132024[[#This Row],[décembre-21]]</f>
        <v>0</v>
      </c>
      <c r="S33" s="134">
        <f>+Tableau132024[[#This Row],[T1 2021]]+Tableau132024[[#This Row],[T2 2021]]+Tableau132024[[#This Row],[T3 2021]]+Tableau132024[[#This Row],[T4 2021]]</f>
        <v>0</v>
      </c>
    </row>
    <row r="34" spans="1:19" s="37" customFormat="1" ht="30.75" customHeight="1" x14ac:dyDescent="0.35">
      <c r="A34" s="110"/>
      <c r="B34" s="88" t="s">
        <v>45</v>
      </c>
      <c r="C34" s="75">
        <f>+'SIEGE 2021'!C34+'KDU 2021'!C34+'SKDU 2021'!C34+'AZDU 2021'!C34</f>
        <v>213971966.21000001</v>
      </c>
      <c r="D34" s="75">
        <f>+'SIEGE 2021'!D34+'KDU 2021'!D34+'SKDU 2021'!D34+'AZDU 2021'!D34</f>
        <v>177473389.71999997</v>
      </c>
      <c r="E34" s="75">
        <f>+'SIEGE 2021'!E34+'KDU 2021'!E34+'SKDU 2021'!E34+'AZDU 2021'!E34</f>
        <v>359824742.08000004</v>
      </c>
      <c r="F34" s="138">
        <f>SUM(Tableau132024[[#This Row],[janvier-21]:[mars-21]])</f>
        <v>751270098.00999999</v>
      </c>
      <c r="G34" s="75">
        <f>+'SIEGE 2021'!F34+'KDU 2021'!F34+'SKDU 2021'!F34+'AZDU 2021'!F34</f>
        <v>188021908.15000001</v>
      </c>
      <c r="H34" s="75">
        <f>+'SIEGE 2021'!G34+'KDU 2021'!G34+'SKDU 2021'!G34+'AZDU 2021'!G34</f>
        <v>205737376.22</v>
      </c>
      <c r="I34" s="75">
        <f>+'SIEGE 2021'!H34+'KDU 2021'!H34+'SKDU 2021'!H34+'AZDU 2021'!H34</f>
        <v>376482825.63</v>
      </c>
      <c r="J34" s="138">
        <f>SUM(Tableau132024[[#This Row],[avril-21]:[juin-21]])</f>
        <v>770242110</v>
      </c>
      <c r="K34" s="75">
        <f>+'SIEGE 2021'!I34+'KDU 2021'!I34+'SKDU 2021'!I34+'AZDU 2021'!I34</f>
        <v>137443489.62</v>
      </c>
      <c r="L34" s="75">
        <f>+'SIEGE 2021'!J34+'KDU 2021'!J34+'SKDU 2021'!J34+'AZDU 2021'!J34</f>
        <v>174491934.63</v>
      </c>
      <c r="M34" s="75">
        <f>+'SIEGE 2021'!K34+'KDU 2021'!K34+'SKDU 2021'!K34+'AZDU 2021'!K34</f>
        <v>185683746.95000002</v>
      </c>
      <c r="N34" s="138">
        <f>SUM(Tableau132024[[#This Row],[juillet-21]:[septembre-21]])</f>
        <v>497619171.20000005</v>
      </c>
      <c r="O34" s="75">
        <f>+'SIEGE 2021'!L34+'KDU 2021'!L34+'SKDU 2021'!L34+'AZDU 2021'!L34</f>
        <v>307198634.82999998</v>
      </c>
      <c r="P34" s="75">
        <f>+'SIEGE 2021'!M34+'KDU 2021'!M34+'SKDU 2021'!M34+'AZDU 2021'!M34</f>
        <v>273655846.94999999</v>
      </c>
      <c r="Q34" s="75">
        <f>+'SIEGE 2021'!N34+'KDU 2021'!N34+'SKDU 2021'!N34+'AZDU 2021'!N34</f>
        <v>389477427.68000007</v>
      </c>
      <c r="R34" s="138">
        <f>+Tableau132024[[#This Row],[octobre-21]]+Tableau132024[[#This Row],[novembre-21]]+Tableau132024[[#This Row],[décembre-21]]</f>
        <v>970331909.46000004</v>
      </c>
      <c r="S34" s="138">
        <f>+Tableau132024[[#This Row],[T1 2021]]+Tableau132024[[#This Row],[T2 2021]]+Tableau132024[[#This Row],[T3 2021]]+Tableau132024[[#This Row],[T4 2021]]</f>
        <v>2989463288.6700001</v>
      </c>
    </row>
    <row r="35" spans="1:19" s="37" customFormat="1" ht="30.75" customHeight="1" thickBot="1" x14ac:dyDescent="0.4">
      <c r="A35" s="111"/>
      <c r="B35" s="89" t="s">
        <v>46</v>
      </c>
      <c r="C35" s="77">
        <f t="shared" ref="C35:S35" si="0">+C16+C18+C19+C25+C22+C29+C33+C32</f>
        <v>247080932.78</v>
      </c>
      <c r="D35" s="77">
        <f t="shared" si="0"/>
        <v>211417593.56</v>
      </c>
      <c r="E35" s="77">
        <f t="shared" si="0"/>
        <v>300204117.60999995</v>
      </c>
      <c r="F35" s="139">
        <f t="shared" si="0"/>
        <v>218844325.60999998</v>
      </c>
      <c r="G35" s="77">
        <f t="shared" si="0"/>
        <v>74286743.670000002</v>
      </c>
      <c r="H35" s="77">
        <f t="shared" si="0"/>
        <v>75346116.140000001</v>
      </c>
      <c r="I35" s="77">
        <f t="shared" si="0"/>
        <v>71209678.179999977</v>
      </c>
      <c r="J35" s="139">
        <f t="shared" si="0"/>
        <v>220842537.98999995</v>
      </c>
      <c r="K35" s="77">
        <f t="shared" si="0"/>
        <v>84385776.649999991</v>
      </c>
      <c r="L35" s="77">
        <f t="shared" si="0"/>
        <v>89890751.719999999</v>
      </c>
      <c r="M35" s="77">
        <f t="shared" si="0"/>
        <v>72883856.230000019</v>
      </c>
      <c r="N35" s="139">
        <f t="shared" si="0"/>
        <v>247160384.59999999</v>
      </c>
      <c r="O35" s="77">
        <f t="shared" si="0"/>
        <v>74828221.549999997</v>
      </c>
      <c r="P35" s="77">
        <f t="shared" si="0"/>
        <v>79984276.459999993</v>
      </c>
      <c r="Q35" s="77">
        <f t="shared" si="0"/>
        <v>79354100.090000004</v>
      </c>
      <c r="R35" s="139">
        <f t="shared" si="0"/>
        <v>234166598.10000002</v>
      </c>
      <c r="S35" s="139">
        <f t="shared" si="0"/>
        <v>921013846.30000007</v>
      </c>
    </row>
    <row r="36" spans="1:19" s="27" customFormat="1" ht="30.75" customHeight="1" thickBot="1" x14ac:dyDescent="0.4">
      <c r="A36" s="107" t="s">
        <v>34</v>
      </c>
      <c r="B36" s="85" t="s">
        <v>35</v>
      </c>
      <c r="C36" s="62">
        <f>+'SIEGE 2021'!C36+'KDU 2021'!C36+'SKDU 2021'!C36+'AZDU 2021'!C36</f>
        <v>-33108966.570000008</v>
      </c>
      <c r="D36" s="62">
        <f>+'SIEGE 2021'!D36+'KDU 2021'!D36+'SKDU 2021'!D36+'AZDU 2021'!D36</f>
        <v>-33944203.840000026</v>
      </c>
      <c r="E36" s="62">
        <f>+'SIEGE 2021'!E36+'KDU 2021'!E36+'SKDU 2021'!E36+'AZDU 2021'!E36</f>
        <v>59620624.469999969</v>
      </c>
      <c r="F36" s="62">
        <f>SUM(Tableau132024[[#This Row],[janvier-21]:[mars-21]])</f>
        <v>-7432545.9400000647</v>
      </c>
      <c r="G36" s="62">
        <f>+'SIEGE 2021'!F36+'KDU 2021'!F36+'SKDU 2021'!F36+'AZDU 2021'!F36</f>
        <v>-25938908.889999989</v>
      </c>
      <c r="H36" s="62">
        <f>+'SIEGE 2021'!G36+'KDU 2021'!G36+'SKDU 2021'!G36+'AZDU 2021'!G36</f>
        <v>-16447557.430000011</v>
      </c>
      <c r="I36" s="62">
        <f>+'SIEGE 2021'!H36+'KDU 2021'!H36+'SKDU 2021'!H36+'AZDU 2021'!H36</f>
        <v>140744981.41999999</v>
      </c>
      <c r="J36" s="62">
        <f>SUM(Tableau132024[[#This Row],[avril-21]:[juin-21]])</f>
        <v>98358515.099999994</v>
      </c>
      <c r="K36" s="62">
        <f>+'SIEGE 2021'!I36+'KDU 2021'!I36+'SKDU 2021'!I36+'AZDU 2021'!I36</f>
        <v>-51175539.079999976</v>
      </c>
      <c r="L36" s="62">
        <f>+'SIEGE 2021'!J36+'KDU 2021'!J36+'SKDU 2021'!J36+'AZDU 2021'!J36</f>
        <v>-46919264.040000036</v>
      </c>
      <c r="M36" s="62">
        <f>+'SIEGE 2021'!K36+'KDU 2021'!K36+'SKDU 2021'!K36+'AZDU 2021'!K36</f>
        <v>-25765873.889999982</v>
      </c>
      <c r="N36" s="62">
        <f>SUM(Tableau132024[[#This Row],[juillet-21]:[septembre-21]])</f>
        <v>-123860677.00999999</v>
      </c>
      <c r="O36" s="62">
        <f>+'SIEGE 2021'!L36+'KDU 2021'!L36+'SKDU 2021'!L36+'AZDU 2021'!L36</f>
        <v>12460477.490000006</v>
      </c>
      <c r="P36" s="62">
        <f>+'SIEGE 2021'!M36+'KDU 2021'!M36+'SKDU 2021'!M36+'AZDU 2021'!M36</f>
        <v>15793876.019999992</v>
      </c>
      <c r="Q36" s="62">
        <f>+'SIEGE 2021'!N36+'KDU 2021'!N36+'SKDU 2021'!N36+'AZDU 2021'!N36</f>
        <v>28630906.810000006</v>
      </c>
      <c r="R36" s="62">
        <f>+Tableau132024[[#This Row],[octobre-21]]+Tableau132024[[#This Row],[novembre-21]]+Tableau132024[[#This Row],[décembre-21]]</f>
        <v>56885260.320000008</v>
      </c>
      <c r="S36" s="62">
        <f>+Tableau132024[[#This Row],[T1 2021]]+Tableau132024[[#This Row],[T2 2021]]+Tableau132024[[#This Row],[T3 2021]]+Tableau132024[[#This Row],[T4 2021]]</f>
        <v>23950552.469999954</v>
      </c>
    </row>
    <row r="37" spans="1:19" s="32" customFormat="1" ht="30.75" customHeight="1" x14ac:dyDescent="0.35">
      <c r="A37" s="105">
        <v>77</v>
      </c>
      <c r="B37" s="84" t="s">
        <v>36</v>
      </c>
      <c r="C37" s="52">
        <f>+'SIEGE 2021'!C37+'KDU 2021'!C37+'SKDU 2021'!C37+'AZDU 2021'!C37</f>
        <v>0</v>
      </c>
      <c r="D37" s="52">
        <f>+'SIEGE 2021'!D37+'KDU 2021'!D37+'SKDU 2021'!D37+'AZDU 2021'!D37</f>
        <v>0</v>
      </c>
      <c r="E37" s="52">
        <f>+'SIEGE 2021'!E37+'KDU 2021'!E37+'SKDU 2021'!E37+'AZDU 2021'!E37</f>
        <v>0</v>
      </c>
      <c r="F37" s="133">
        <f>SUM(Tableau132024[[#This Row],[janvier-21]:[mars-21]])</f>
        <v>0</v>
      </c>
      <c r="G37" s="52">
        <f>+'SIEGE 2021'!F37+'KDU 2021'!F37+'SKDU 2021'!F37+'AZDU 2021'!F37</f>
        <v>0</v>
      </c>
      <c r="H37" s="52">
        <f>+'SIEGE 2021'!G37+'KDU 2021'!G37+'SKDU 2021'!G37+'AZDU 2021'!G37</f>
        <v>0</v>
      </c>
      <c r="I37" s="52">
        <f>+'SIEGE 2021'!H37+'KDU 2021'!H37+'SKDU 2021'!H37+'AZDU 2021'!H37</f>
        <v>0</v>
      </c>
      <c r="J37" s="133">
        <f>SUM(Tableau132024[[#This Row],[avril-21]:[juin-21]])</f>
        <v>0</v>
      </c>
      <c r="K37" s="52">
        <f>+'SIEGE 2021'!I37+'KDU 2021'!I37+'SKDU 2021'!I37+'AZDU 2021'!I37</f>
        <v>0</v>
      </c>
      <c r="L37" s="52">
        <f>+'SIEGE 2021'!J37+'KDU 2021'!J37+'SKDU 2021'!J37+'AZDU 2021'!J37</f>
        <v>0</v>
      </c>
      <c r="M37" s="52">
        <f>+'SIEGE 2021'!K37+'KDU 2021'!K37+'SKDU 2021'!K37+'AZDU 2021'!K37</f>
        <v>0</v>
      </c>
      <c r="N37" s="133">
        <f>SUM(Tableau132024[[#This Row],[juillet-21]:[septembre-21]])</f>
        <v>0</v>
      </c>
      <c r="O37" s="52">
        <f>+'SIEGE 2021'!L37+'KDU 2021'!L37+'SKDU 2021'!L37+'AZDU 2021'!L37</f>
        <v>0</v>
      </c>
      <c r="P37" s="52">
        <f>+'SIEGE 2021'!M37+'KDU 2021'!M37+'SKDU 2021'!M37+'AZDU 2021'!M37</f>
        <v>0</v>
      </c>
      <c r="Q37" s="52">
        <f>+'SIEGE 2021'!N37+'KDU 2021'!N37+'SKDU 2021'!N37+'AZDU 2021'!N37</f>
        <v>0</v>
      </c>
      <c r="R37" s="133">
        <f>+Tableau132024[[#This Row],[octobre-21]]+Tableau132024[[#This Row],[novembre-21]]+Tableau132024[[#This Row],[décembre-21]]</f>
        <v>0</v>
      </c>
      <c r="S37" s="133">
        <f>+Tableau132024[[#This Row],[T1 2021]]+Tableau132024[[#This Row],[T2 2021]]+Tableau132024[[#This Row],[T3 2021]]+Tableau132024[[#This Row],[T4 2021]]</f>
        <v>0</v>
      </c>
    </row>
    <row r="38" spans="1:19" s="32" customFormat="1" ht="30.75" customHeight="1" thickBot="1" x14ac:dyDescent="0.4">
      <c r="A38" s="106">
        <v>67</v>
      </c>
      <c r="B38" s="82" t="s">
        <v>37</v>
      </c>
      <c r="C38" s="59">
        <f>+'SIEGE 2021'!C38+'KDU 2021'!C38+'SKDU 2021'!C38+'AZDU 2021'!C38</f>
        <v>0</v>
      </c>
      <c r="D38" s="59">
        <f>+'SIEGE 2021'!D38+'KDU 2021'!D38+'SKDU 2021'!D38+'AZDU 2021'!D38</f>
        <v>0</v>
      </c>
      <c r="E38" s="59">
        <f>+'SIEGE 2021'!E38+'KDU 2021'!E38+'SKDU 2021'!E38+'AZDU 2021'!E38</f>
        <v>0</v>
      </c>
      <c r="F38" s="135">
        <f>SUM(Tableau132024[[#This Row],[janvier-21]:[mars-21]])</f>
        <v>0</v>
      </c>
      <c r="G38" s="59">
        <f>+'SIEGE 2021'!F38+'KDU 2021'!F38+'SKDU 2021'!F38+'AZDU 2021'!F38</f>
        <v>0</v>
      </c>
      <c r="H38" s="59">
        <f>+'SIEGE 2021'!G38+'KDU 2021'!G38+'SKDU 2021'!G38+'AZDU 2021'!G38</f>
        <v>0</v>
      </c>
      <c r="I38" s="59">
        <f>+'SIEGE 2021'!H38+'KDU 2021'!H38+'SKDU 2021'!H38+'AZDU 2021'!H38</f>
        <v>0</v>
      </c>
      <c r="J38" s="135">
        <f>SUM(Tableau132024[[#This Row],[avril-21]:[juin-21]])</f>
        <v>0</v>
      </c>
      <c r="K38" s="59">
        <f>+'SIEGE 2021'!I38+'KDU 2021'!I38+'SKDU 2021'!I38+'AZDU 2021'!I38</f>
        <v>0</v>
      </c>
      <c r="L38" s="59">
        <f>+'SIEGE 2021'!J38+'KDU 2021'!J38+'SKDU 2021'!J38+'AZDU 2021'!J38</f>
        <v>0</v>
      </c>
      <c r="M38" s="59">
        <f>+'SIEGE 2021'!K38+'KDU 2021'!K38+'SKDU 2021'!K38+'AZDU 2021'!K38</f>
        <v>0</v>
      </c>
      <c r="N38" s="135">
        <f>SUM(Tableau132024[[#This Row],[juillet-21]:[septembre-21]])</f>
        <v>0</v>
      </c>
      <c r="O38" s="59">
        <f>+'SIEGE 2021'!L38+'KDU 2021'!L38+'SKDU 2021'!L38+'AZDU 2021'!L38</f>
        <v>0</v>
      </c>
      <c r="P38" s="59">
        <f>+'SIEGE 2021'!M38+'KDU 2021'!M38+'SKDU 2021'!M38+'AZDU 2021'!M38</f>
        <v>0</v>
      </c>
      <c r="Q38" s="59">
        <f>+'SIEGE 2021'!N38+'KDU 2021'!N38+'SKDU 2021'!N38+'AZDU 2021'!N38</f>
        <v>0</v>
      </c>
      <c r="R38" s="135">
        <f>+Tableau132024[[#This Row],[octobre-21]]+Tableau132024[[#This Row],[novembre-21]]+Tableau132024[[#This Row],[décembre-21]]</f>
        <v>0</v>
      </c>
      <c r="S38" s="135">
        <f>+Tableau132024[[#This Row],[T1 2021]]+Tableau132024[[#This Row],[T2 2021]]+Tableau132024[[#This Row],[T3 2021]]+Tableau132024[[#This Row],[T4 2021]]</f>
        <v>0</v>
      </c>
    </row>
    <row r="39" spans="1:19" s="27" customFormat="1" ht="30.75" customHeight="1" thickBot="1" x14ac:dyDescent="0.4">
      <c r="A39" s="107" t="s">
        <v>38</v>
      </c>
      <c r="B39" s="85" t="s">
        <v>39</v>
      </c>
      <c r="C39" s="62">
        <f>+'SIEGE 2021'!C39+'KDU 2021'!C39+'SKDU 2021'!C39+'AZDU 2021'!C39</f>
        <v>0</v>
      </c>
      <c r="D39" s="62">
        <f>+'SIEGE 2021'!D39+'KDU 2021'!D39+'SKDU 2021'!D39+'AZDU 2021'!D39</f>
        <v>0</v>
      </c>
      <c r="E39" s="62">
        <f>+'SIEGE 2021'!E39+'KDU 2021'!E39+'SKDU 2021'!E39+'AZDU 2021'!E39</f>
        <v>0</v>
      </c>
      <c r="F39" s="62">
        <f>SUM(Tableau132024[[#This Row],[janvier-21]:[mars-21]])</f>
        <v>0</v>
      </c>
      <c r="G39" s="62">
        <f>+'SIEGE 2021'!F39+'KDU 2021'!F39+'SKDU 2021'!F39+'AZDU 2021'!F39</f>
        <v>0</v>
      </c>
      <c r="H39" s="62">
        <f>+'SIEGE 2021'!G39+'KDU 2021'!G39+'SKDU 2021'!G39+'AZDU 2021'!G39</f>
        <v>0</v>
      </c>
      <c r="I39" s="62">
        <f>+'SIEGE 2021'!H39+'KDU 2021'!H39+'SKDU 2021'!H39+'AZDU 2021'!H39</f>
        <v>0</v>
      </c>
      <c r="J39" s="62">
        <f>SUM(Tableau132024[[#This Row],[avril-21]:[juin-21]])</f>
        <v>0</v>
      </c>
      <c r="K39" s="62">
        <f>+'SIEGE 2021'!I39+'KDU 2021'!I39+'SKDU 2021'!I39+'AZDU 2021'!I39</f>
        <v>0</v>
      </c>
      <c r="L39" s="62">
        <f>+'SIEGE 2021'!J39+'KDU 2021'!J39+'SKDU 2021'!J39+'AZDU 2021'!J39</f>
        <v>0</v>
      </c>
      <c r="M39" s="62">
        <f>+'SIEGE 2021'!K39+'KDU 2021'!K39+'SKDU 2021'!K39+'AZDU 2021'!K39</f>
        <v>0</v>
      </c>
      <c r="N39" s="62">
        <f>SUM(Tableau132024[[#This Row],[juillet-21]:[septembre-21]])</f>
        <v>0</v>
      </c>
      <c r="O39" s="62">
        <f>+'SIEGE 2021'!L39+'KDU 2021'!L39+'SKDU 2021'!L39+'AZDU 2021'!L39</f>
        <v>0</v>
      </c>
      <c r="P39" s="62">
        <f>+'SIEGE 2021'!M39+'KDU 2021'!M39+'SKDU 2021'!M39+'AZDU 2021'!M39</f>
        <v>0</v>
      </c>
      <c r="Q39" s="62">
        <f>+'SIEGE 2021'!N39+'KDU 2021'!N39+'SKDU 2021'!N39+'AZDU 2021'!N39</f>
        <v>0</v>
      </c>
      <c r="R39" s="62">
        <f>+Tableau132024[[#This Row],[octobre-21]]+Tableau132024[[#This Row],[novembre-21]]+Tableau132024[[#This Row],[décembre-21]]</f>
        <v>0</v>
      </c>
      <c r="S39" s="62">
        <f>+Tableau132024[[#This Row],[T1 2021]]+Tableau132024[[#This Row],[T2 2021]]+Tableau132024[[#This Row],[T3 2021]]+Tableau132024[[#This Row],[T4 2021]]</f>
        <v>0</v>
      </c>
    </row>
    <row r="40" spans="1:19" s="27" customFormat="1" ht="30.6" customHeight="1" x14ac:dyDescent="0.35">
      <c r="A40" s="115" t="s">
        <v>40</v>
      </c>
      <c r="B40" s="116" t="s">
        <v>41</v>
      </c>
      <c r="C40" s="118">
        <f>+'SIEGE 2021'!C40+'KDU 2021'!C40+'SKDU 2021'!C40+'AZDU 2021'!C40</f>
        <v>-33108966.570000008</v>
      </c>
      <c r="D40" s="118">
        <f>+'SIEGE 2021'!D40+'KDU 2021'!D40+'SKDU 2021'!D40+'AZDU 2021'!D40</f>
        <v>-33944203.840000026</v>
      </c>
      <c r="E40" s="118">
        <f>+'SIEGE 2021'!E40+'KDU 2021'!E40+'SKDU 2021'!E40+'AZDU 2021'!E40</f>
        <v>59620624.469999969</v>
      </c>
      <c r="F40" s="118">
        <f>SUM(Tableau132024[[#This Row],[janvier-21]:[mars-21]])</f>
        <v>-7432545.9400000647</v>
      </c>
      <c r="G40" s="118">
        <f>+'SIEGE 2021'!F40+'KDU 2021'!F40+'SKDU 2021'!F40+'AZDU 2021'!F40</f>
        <v>-25938908.889999989</v>
      </c>
      <c r="H40" s="118">
        <f>+'SIEGE 2021'!G40+'KDU 2021'!G40+'SKDU 2021'!G40+'AZDU 2021'!G40</f>
        <v>-16447557.430000011</v>
      </c>
      <c r="I40" s="118">
        <f>+'SIEGE 2021'!H40+'KDU 2021'!H40+'SKDU 2021'!H40+'AZDU 2021'!H40</f>
        <v>140744981.41999999</v>
      </c>
      <c r="J40" s="118">
        <f>SUM(Tableau132024[[#This Row],[avril-21]:[juin-21]])</f>
        <v>98358515.099999994</v>
      </c>
      <c r="K40" s="118">
        <f>+'SIEGE 2021'!I40+'KDU 2021'!I40+'SKDU 2021'!I40+'AZDU 2021'!I40</f>
        <v>-51175539.079999976</v>
      </c>
      <c r="L40" s="118">
        <f>+'SIEGE 2021'!J40+'KDU 2021'!J40+'SKDU 2021'!J40+'AZDU 2021'!J40</f>
        <v>-46919264.040000036</v>
      </c>
      <c r="M40" s="118">
        <f>+'SIEGE 2021'!K40+'KDU 2021'!K40+'SKDU 2021'!K40+'AZDU 2021'!K40</f>
        <v>-25765873.889999982</v>
      </c>
      <c r="N40" s="118">
        <f>SUM(Tableau132024[[#This Row],[juillet-21]:[septembre-21]])</f>
        <v>-123860677.00999999</v>
      </c>
      <c r="O40" s="118">
        <f>+'SIEGE 2021'!L40+'KDU 2021'!L40+'SKDU 2021'!L40+'AZDU 2021'!L40</f>
        <v>12460477.490000006</v>
      </c>
      <c r="P40" s="118">
        <f>+'SIEGE 2021'!M40+'KDU 2021'!M40+'SKDU 2021'!M40+'AZDU 2021'!M40</f>
        <v>15793876.019999992</v>
      </c>
      <c r="Q40" s="118">
        <f>+'SIEGE 2021'!N40+'KDU 2021'!N40+'SKDU 2021'!N40+'AZDU 2021'!N40</f>
        <v>28630906.810000006</v>
      </c>
      <c r="R40" s="118">
        <f>+Tableau132024[[#This Row],[octobre-21]]+Tableau132024[[#This Row],[novembre-21]]+Tableau132024[[#This Row],[décembre-21]]</f>
        <v>56885260.320000008</v>
      </c>
      <c r="S40" s="118">
        <f>+Tableau132024[[#This Row],[T1 2021]]+Tableau132024[[#This Row],[T2 2021]]+Tableau132024[[#This Row],[T3 2021]]+Tableau132024[[#This Row],[T4 2021]]</f>
        <v>23950552.469999954</v>
      </c>
    </row>
    <row r="41" spans="1:19" s="27" customFormat="1" ht="11.4" customHeight="1" x14ac:dyDescent="0.35">
      <c r="A41" s="90"/>
      <c r="B41" s="90"/>
      <c r="C41" s="91"/>
      <c r="D41" s="91"/>
      <c r="E41" s="91"/>
      <c r="F41" s="214"/>
      <c r="G41" s="91"/>
      <c r="H41" s="91"/>
      <c r="I41" s="91"/>
      <c r="J41" s="214"/>
      <c r="K41" s="91"/>
      <c r="L41" s="91"/>
      <c r="M41" s="91"/>
      <c r="N41" s="214"/>
      <c r="O41" s="91"/>
      <c r="P41" s="91"/>
      <c r="Q41" s="91"/>
      <c r="R41" s="214"/>
      <c r="S41" s="214"/>
    </row>
    <row r="42" spans="1:19" s="27" customFormat="1" ht="18" x14ac:dyDescent="0.35">
      <c r="A42" s="341" t="s">
        <v>51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3"/>
    </row>
    <row r="43" spans="1:19" s="37" customFormat="1" ht="18" x14ac:dyDescent="0.35">
      <c r="A43" s="92">
        <v>1</v>
      </c>
      <c r="B43" s="93" t="s">
        <v>52</v>
      </c>
      <c r="C43" s="95"/>
      <c r="D43" s="95"/>
      <c r="E43" s="95"/>
      <c r="F43" s="140">
        <f t="shared" ref="F43:O43" si="1">+F12/F7</f>
        <v>1.7397021029734974</v>
      </c>
      <c r="G43" s="95">
        <f t="shared" si="1"/>
        <v>0.93655465187553522</v>
      </c>
      <c r="H43" s="95">
        <f t="shared" si="1"/>
        <v>0.82465620120161498</v>
      </c>
      <c r="I43" s="95">
        <f t="shared" si="1"/>
        <v>0.6605937963270172</v>
      </c>
      <c r="J43" s="140">
        <f t="shared" si="1"/>
        <v>0.78097395870211461</v>
      </c>
      <c r="K43" s="95">
        <f t="shared" si="1"/>
        <v>0.93122795874401687</v>
      </c>
      <c r="L43" s="95">
        <f t="shared" si="1"/>
        <v>0.87808963133598539</v>
      </c>
      <c r="M43" s="95">
        <f t="shared" si="1"/>
        <v>0.83836348791559856</v>
      </c>
      <c r="N43" s="140">
        <f t="shared" si="1"/>
        <v>0.87645315593421835</v>
      </c>
      <c r="O43" s="95">
        <f t="shared" si="1"/>
        <v>1.1516325909548797</v>
      </c>
      <c r="P43" s="95">
        <f>+P12/P7</f>
        <v>0.92874772940399986</v>
      </c>
      <c r="Q43" s="95">
        <f t="shared" ref="Q43:S43" si="2">+Q12/Q7</f>
        <v>1.1640509134841672</v>
      </c>
      <c r="R43" s="140">
        <f t="shared" si="2"/>
        <v>1.083013295573088</v>
      </c>
      <c r="S43" s="140">
        <f t="shared" si="2"/>
        <v>1.0435659207472201</v>
      </c>
    </row>
    <row r="44" spans="1:19" s="37" customFormat="1" ht="18" x14ac:dyDescent="0.35">
      <c r="A44" s="92">
        <v>2</v>
      </c>
      <c r="B44" s="93" t="s">
        <v>53</v>
      </c>
      <c r="C44" s="95"/>
      <c r="D44" s="95"/>
      <c r="E44" s="95"/>
      <c r="F44" s="140">
        <f t="shared" ref="F44:O44" si="3">+F13/F7</f>
        <v>1.3146163808429396</v>
      </c>
      <c r="G44" s="95">
        <f t="shared" si="3"/>
        <v>0.65386372467981957</v>
      </c>
      <c r="H44" s="95">
        <f t="shared" si="3"/>
        <v>0.53880509214776218</v>
      </c>
      <c r="I44" s="95">
        <f t="shared" si="3"/>
        <v>0.43485220911062195</v>
      </c>
      <c r="J44" s="140">
        <f t="shared" si="3"/>
        <v>0.52215779211155144</v>
      </c>
      <c r="K44" s="95">
        <f t="shared" si="3"/>
        <v>0.58094052605407054</v>
      </c>
      <c r="L44" s="95">
        <f t="shared" si="3"/>
        <v>0.60008764897037326</v>
      </c>
      <c r="M44" s="95">
        <f t="shared" si="3"/>
        <v>0.55347788272692577</v>
      </c>
      <c r="N44" s="140">
        <f t="shared" si="3"/>
        <v>0.57691386924617083</v>
      </c>
      <c r="O44" s="95">
        <f t="shared" si="3"/>
        <v>0.76662412140241454</v>
      </c>
      <c r="P44" s="95">
        <f>+P13/P7</f>
        <v>0.54790473592477573</v>
      </c>
      <c r="Q44" s="95">
        <f t="shared" ref="Q44:S44" si="4">+Q13/Q7</f>
        <v>0.77883835484722286</v>
      </c>
      <c r="R44" s="140">
        <f t="shared" si="4"/>
        <v>0.69929770936307056</v>
      </c>
      <c r="S44" s="140">
        <f t="shared" si="4"/>
        <v>0.70938499807950517</v>
      </c>
    </row>
    <row r="45" spans="1:19" s="36" customFormat="1" ht="18" x14ac:dyDescent="0.35">
      <c r="A45" s="223">
        <v>3</v>
      </c>
      <c r="B45" s="224" t="s">
        <v>56</v>
      </c>
      <c r="C45" s="140"/>
      <c r="D45" s="140"/>
      <c r="E45" s="140"/>
      <c r="F45" s="140">
        <f t="shared" ref="F45:O45" si="5">+F13/F12</f>
        <v>0.75565602788891184</v>
      </c>
      <c r="G45" s="140">
        <f t="shared" si="5"/>
        <v>0.69815864281961382</v>
      </c>
      <c r="H45" s="140">
        <f t="shared" si="5"/>
        <v>0.65336935726993117</v>
      </c>
      <c r="I45" s="140">
        <f t="shared" si="5"/>
        <v>0.65827473937607905</v>
      </c>
      <c r="J45" s="140">
        <f t="shared" si="5"/>
        <v>0.66859821162195376</v>
      </c>
      <c r="K45" s="140">
        <f t="shared" si="5"/>
        <v>0.62384351822684481</v>
      </c>
      <c r="L45" s="140">
        <f t="shared" si="5"/>
        <v>0.68340136081251635</v>
      </c>
      <c r="M45" s="140">
        <f t="shared" si="5"/>
        <v>0.66018843938805538</v>
      </c>
      <c r="N45" s="140">
        <f t="shared" si="5"/>
        <v>0.65823696947184107</v>
      </c>
      <c r="O45" s="140">
        <f t="shared" si="5"/>
        <v>0.66568463538077338</v>
      </c>
      <c r="P45" s="140">
        <f>+P13/P12</f>
        <v>0.58993924677089615</v>
      </c>
      <c r="Q45" s="140">
        <f t="shared" ref="Q45:S45" si="6">+Q13/Q12</f>
        <v>0.66907585039906081</v>
      </c>
      <c r="R45" s="140">
        <f t="shared" si="6"/>
        <v>0.64569632914158248</v>
      </c>
      <c r="S45" s="140">
        <f t="shared" si="6"/>
        <v>0.67977018411215195</v>
      </c>
    </row>
    <row r="46" spans="1:19" s="37" customFormat="1" ht="18" x14ac:dyDescent="0.35">
      <c r="A46" s="92">
        <v>4</v>
      </c>
      <c r="B46" s="93" t="s">
        <v>57</v>
      </c>
      <c r="C46" s="95"/>
      <c r="D46" s="95"/>
      <c r="E46" s="95"/>
      <c r="F46" s="140">
        <f t="shared" ref="F46:O46" si="7">+F16/F12</f>
        <v>0</v>
      </c>
      <c r="G46" s="95">
        <f t="shared" si="7"/>
        <v>0</v>
      </c>
      <c r="H46" s="95">
        <f t="shared" si="7"/>
        <v>0</v>
      </c>
      <c r="I46" s="95">
        <f t="shared" si="7"/>
        <v>0</v>
      </c>
      <c r="J46" s="140">
        <f t="shared" si="7"/>
        <v>0</v>
      </c>
      <c r="K46" s="95">
        <f t="shared" si="7"/>
        <v>0</v>
      </c>
      <c r="L46" s="95">
        <f t="shared" si="7"/>
        <v>0</v>
      </c>
      <c r="M46" s="95">
        <f t="shared" si="7"/>
        <v>0</v>
      </c>
      <c r="N46" s="140">
        <f t="shared" si="7"/>
        <v>0</v>
      </c>
      <c r="O46" s="95">
        <f t="shared" si="7"/>
        <v>0</v>
      </c>
      <c r="P46" s="95">
        <f>+P16/P12</f>
        <v>0</v>
      </c>
      <c r="Q46" s="95">
        <f t="shared" ref="Q46:S46" si="8">+Q16/Q12</f>
        <v>0</v>
      </c>
      <c r="R46" s="140">
        <f t="shared" si="8"/>
        <v>0</v>
      </c>
      <c r="S46" s="140">
        <f t="shared" si="8"/>
        <v>0</v>
      </c>
    </row>
    <row r="47" spans="1:19" s="37" customFormat="1" ht="18" x14ac:dyDescent="0.35">
      <c r="A47" s="92">
        <v>5</v>
      </c>
      <c r="B47" s="93" t="s">
        <v>58</v>
      </c>
      <c r="C47" s="95"/>
      <c r="D47" s="95"/>
      <c r="E47" s="95"/>
      <c r="F47" s="140">
        <f t="shared" ref="F47:O47" si="9">+F18/F12</f>
        <v>0.28155639870329496</v>
      </c>
      <c r="G47" s="95">
        <f t="shared" si="9"/>
        <v>0.34464497671398414</v>
      </c>
      <c r="H47" s="95">
        <f t="shared" si="9"/>
        <v>0.31601027090510386</v>
      </c>
      <c r="I47" s="95">
        <f t="shared" si="9"/>
        <v>0.25597797021318763</v>
      </c>
      <c r="J47" s="140">
        <f t="shared" si="9"/>
        <v>0.30241664217238978</v>
      </c>
      <c r="K47" s="95">
        <f t="shared" si="9"/>
        <v>0.54249107676881136</v>
      </c>
      <c r="L47" s="95">
        <f t="shared" si="9"/>
        <v>0.45766228751625854</v>
      </c>
      <c r="M47" s="95">
        <f t="shared" si="9"/>
        <v>0.33742426567095446</v>
      </c>
      <c r="N47" s="140">
        <f t="shared" si="9"/>
        <v>0.43630798827309258</v>
      </c>
      <c r="O47" s="95">
        <f t="shared" si="9"/>
        <v>0.20252176798023291</v>
      </c>
      <c r="P47" s="95">
        <f>+P18/P12</f>
        <v>0.24178427655179169</v>
      </c>
      <c r="Q47" s="95">
        <f t="shared" ref="Q47:S47" si="10">+Q18/Q12</f>
        <v>0.16778563481494374</v>
      </c>
      <c r="R47" s="140">
        <f t="shared" si="10"/>
        <v>0.19963507081929355</v>
      </c>
      <c r="S47" s="140">
        <f t="shared" si="10"/>
        <v>0.28522786020271618</v>
      </c>
    </row>
    <row r="48" spans="1:19" s="37" customFormat="1" ht="18" x14ac:dyDescent="0.35">
      <c r="A48" s="92">
        <v>6</v>
      </c>
      <c r="B48" s="93" t="s">
        <v>54</v>
      </c>
      <c r="C48" s="95"/>
      <c r="D48" s="95"/>
      <c r="E48" s="95"/>
      <c r="F48" s="140">
        <f t="shared" ref="F48:O48" si="11">+F17/F18</f>
        <v>0.67598786637305586</v>
      </c>
      <c r="G48" s="95">
        <f t="shared" si="11"/>
        <v>0.71143566653476031</v>
      </c>
      <c r="H48" s="95">
        <f t="shared" si="11"/>
        <v>0.89264419404959594</v>
      </c>
      <c r="I48" s="95">
        <f t="shared" si="11"/>
        <v>1.0892763204838336</v>
      </c>
      <c r="J48" s="140">
        <f t="shared" si="11"/>
        <v>0.89225085005665705</v>
      </c>
      <c r="K48" s="95">
        <f t="shared" si="11"/>
        <v>0.44333650541618574</v>
      </c>
      <c r="L48" s="95">
        <f t="shared" si="11"/>
        <v>0.5259112535195698</v>
      </c>
      <c r="M48" s="95">
        <f t="shared" si="11"/>
        <v>0.74083436871755859</v>
      </c>
      <c r="N48" s="140">
        <f t="shared" si="11"/>
        <v>0.55947487413076069</v>
      </c>
      <c r="O48" s="95">
        <f t="shared" si="11"/>
        <v>1.3980191985677939</v>
      </c>
      <c r="P48" s="95">
        <f>+P17/P18</f>
        <v>1.4437622560190646</v>
      </c>
      <c r="Q48" s="95">
        <f t="shared" ref="Q48:S48" si="12">+Q17/Q18</f>
        <v>1.6521108127429553</v>
      </c>
      <c r="R48" s="140">
        <f t="shared" si="12"/>
        <v>1.4994213903847669</v>
      </c>
      <c r="S48" s="140">
        <f t="shared" si="12"/>
        <v>0.89865095552764218</v>
      </c>
    </row>
    <row r="49" spans="1:19" s="37" customFormat="1" ht="18" x14ac:dyDescent="0.35">
      <c r="A49" s="92">
        <v>7</v>
      </c>
      <c r="B49" s="93" t="s">
        <v>55</v>
      </c>
      <c r="C49" s="95"/>
      <c r="D49" s="95"/>
      <c r="E49" s="95"/>
      <c r="F49" s="140">
        <f t="shared" ref="F49:O49" si="13">+F20/F12</f>
        <v>-9.7964237319686231E-2</v>
      </c>
      <c r="G49" s="95">
        <f t="shared" si="13"/>
        <v>-0.11023972099024566</v>
      </c>
      <c r="H49" s="95">
        <f t="shared" si="13"/>
        <v>-4.6102345722754387E-2</v>
      </c>
      <c r="I49" s="95">
        <f t="shared" si="13"/>
        <v>7.4420398909135479E-3</v>
      </c>
      <c r="J49" s="140">
        <f t="shared" si="13"/>
        <v>-4.5540124770048644E-2</v>
      </c>
      <c r="K49" s="95">
        <f t="shared" si="13"/>
        <v>-0.31299220014964318</v>
      </c>
      <c r="L49" s="95">
        <f t="shared" si="13"/>
        <v>-0.23069472409025552</v>
      </c>
      <c r="M49" s="95">
        <f t="shared" si="13"/>
        <v>-9.9840489025028081E-2</v>
      </c>
      <c r="N49" s="140">
        <f t="shared" si="13"/>
        <v>-0.2046780943037087</v>
      </c>
      <c r="O49" s="95">
        <f t="shared" si="13"/>
        <v>7.1786490270580622E-2</v>
      </c>
      <c r="P49" s="95">
        <f>+P20/P12</f>
        <v>8.9088820962955964E-2</v>
      </c>
      <c r="Q49" s="95">
        <f t="shared" ref="Q49:S49" si="14">+Q20/Q12</f>
        <v>9.4837630815729379E-2</v>
      </c>
      <c r="R49" s="140">
        <f t="shared" si="14"/>
        <v>8.5923348384277232E-2</v>
      </c>
      <c r="S49" s="140">
        <f t="shared" si="14"/>
        <v>-4.0558111212676683E-2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E1:AF1"/>
    <mergeCell ref="AE2:AF2"/>
    <mergeCell ref="AE3:AF3"/>
    <mergeCell ref="A5:S5"/>
    <mergeCell ref="A42:S42"/>
  </mergeCells>
  <conditionalFormatting sqref="C1:S4 C41:S41 C6:P6 C43:S1048576">
    <cfRule type="cellIs" dxfId="0" priority="9" operator="lessThan">
      <formula>-0.01</formula>
    </cfRule>
  </conditionalFormatting>
  <conditionalFormatting sqref="C7:C40">
    <cfRule type="cellIs" dxfId="43" priority="8" operator="lessThan">
      <formula>-0.01</formula>
    </cfRule>
  </conditionalFormatting>
  <conditionalFormatting sqref="D7:S40">
    <cfRule type="cellIs" dxfId="42" priority="7" operator="lessThan">
      <formula>-0.01</formula>
    </cfRule>
  </conditionalFormatting>
  <conditionalFormatting sqref="S6">
    <cfRule type="cellIs" dxfId="41" priority="5" operator="lessThan">
      <formula>-0.01</formula>
    </cfRule>
  </conditionalFormatting>
  <conditionalFormatting sqref="Q6">
    <cfRule type="cellIs" dxfId="40" priority="6" operator="lessThan">
      <formula>-0.01</formula>
    </cfRule>
  </conditionalFormatting>
  <conditionalFormatting sqref="R6">
    <cfRule type="cellIs" dxfId="39" priority="4" operator="lessThan">
      <formula>-0.01</formula>
    </cfRule>
  </conditionalFormatting>
  <pageMargins left="0.15748031496062992" right="0.11811023622047245" top="0.15748031496062992" bottom="0.15748031496062992" header="0.15748031496062992" footer="0"/>
  <pageSetup paperSize="9" scale="42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50"/>
  <sheetViews>
    <sheetView view="pageBreakPreview" zoomScale="90" zoomScaleNormal="50" zoomScaleSheetLayoutView="90" workbookViewId="0">
      <pane xSplit="2" ySplit="6" topLeftCell="C34" activePane="bottomRight" state="frozen"/>
      <selection activeCell="C5" sqref="C5:D5"/>
      <selection pane="topRight" activeCell="C5" sqref="C5:D5"/>
      <selection pane="bottomLeft" activeCell="C5" sqref="C5:D5"/>
      <selection pane="bottomRight" activeCell="K1" sqref="H1:K1048576"/>
    </sheetView>
  </sheetViews>
  <sheetFormatPr baseColWidth="10" defaultColWidth="11.44140625" defaultRowHeight="23.4" x14ac:dyDescent="0.45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16384" width="11.44140625" style="1"/>
  </cols>
  <sheetData>
    <row r="1" spans="1:27" s="42" customFormat="1" ht="13.8" customHeight="1" x14ac:dyDescent="0.45">
      <c r="A1" s="25"/>
      <c r="B1" s="39"/>
      <c r="C1" s="40"/>
      <c r="D1" s="40"/>
      <c r="E1" s="40"/>
      <c r="F1" s="40"/>
      <c r="G1" s="97"/>
      <c r="H1" s="39"/>
      <c r="I1" s="39"/>
      <c r="J1" s="39"/>
      <c r="N1" s="39"/>
      <c r="O1" s="39"/>
      <c r="P1" s="344"/>
      <c r="Q1" s="344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s="42" customFormat="1" ht="13.8" customHeight="1" x14ac:dyDescent="0.45">
      <c r="A2" s="25"/>
      <c r="B2" s="43"/>
      <c r="C2" s="44"/>
      <c r="D2" s="44"/>
      <c r="E2" s="44"/>
      <c r="F2" s="44"/>
      <c r="G2" s="98"/>
      <c r="H2" s="39"/>
      <c r="I2" s="39"/>
      <c r="J2" s="39"/>
      <c r="N2" s="43"/>
      <c r="O2" s="45"/>
      <c r="P2" s="345"/>
      <c r="Q2" s="345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s="42" customFormat="1" ht="13.8" customHeight="1" x14ac:dyDescent="0.4">
      <c r="A3" s="46"/>
      <c r="B3" s="47"/>
      <c r="C3" s="48"/>
      <c r="D3" s="48"/>
      <c r="E3" s="48"/>
      <c r="F3" s="48"/>
      <c r="G3" s="99"/>
      <c r="H3" s="46"/>
      <c r="I3" s="46"/>
      <c r="J3" s="46"/>
      <c r="N3" s="46"/>
      <c r="O3" s="46"/>
      <c r="P3" s="346"/>
      <c r="Q3" s="3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42" customFormat="1" ht="13.8" customHeight="1" x14ac:dyDescent="0.4">
      <c r="A4" s="46"/>
      <c r="B4" s="46"/>
      <c r="C4" s="50"/>
      <c r="D4" s="50"/>
      <c r="E4" s="50"/>
      <c r="F4" s="50"/>
      <c r="G4" s="100"/>
    </row>
    <row r="5" spans="1:27" ht="26.4" thickBot="1" x14ac:dyDescent="0.55000000000000004">
      <c r="A5" s="347" t="s">
        <v>86</v>
      </c>
      <c r="B5" s="347"/>
      <c r="C5" s="347"/>
      <c r="D5" s="347"/>
      <c r="E5" s="347"/>
      <c r="F5" s="347"/>
      <c r="G5" s="347"/>
    </row>
    <row r="6" spans="1:27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</row>
    <row r="7" spans="1:27" s="252" customFormat="1" ht="30.75" customHeight="1" x14ac:dyDescent="0.35">
      <c r="A7" s="250"/>
      <c r="B7" s="251" t="s">
        <v>2</v>
      </c>
      <c r="C7" s="64">
        <v>18000000</v>
      </c>
      <c r="D7" s="64">
        <v>36362607.789999999</v>
      </c>
      <c r="E7" s="65">
        <v>23460707.800000001</v>
      </c>
      <c r="F7" s="66">
        <v>14361394.68</v>
      </c>
      <c r="G7" s="64">
        <f>+C7+D7+E7+F7</f>
        <v>92184710.270000011</v>
      </c>
    </row>
    <row r="8" spans="1:27" s="252" customFormat="1" ht="30.75" customHeight="1" x14ac:dyDescent="0.35">
      <c r="A8" s="253"/>
      <c r="B8" s="254" t="s">
        <v>42</v>
      </c>
      <c r="C8" s="57"/>
      <c r="D8" s="57"/>
      <c r="E8" s="182"/>
      <c r="F8" s="255"/>
      <c r="G8" s="64">
        <f>+C8+D8+E8+F8</f>
        <v>0</v>
      </c>
      <c r="J8" s="256"/>
    </row>
    <row r="9" spans="1:27" s="37" customFormat="1" ht="30.75" customHeight="1" x14ac:dyDescent="0.35">
      <c r="A9" s="253"/>
      <c r="B9" s="257" t="s">
        <v>3</v>
      </c>
      <c r="C9" s="57"/>
      <c r="D9" s="57">
        <v>97146444.209999993</v>
      </c>
      <c r="E9" s="182">
        <v>8232882.1799999997</v>
      </c>
      <c r="F9" s="255">
        <v>15821628.75</v>
      </c>
      <c r="G9" s="64">
        <f>+C9+D9+E9+F9</f>
        <v>121200955.13999999</v>
      </c>
    </row>
    <row r="10" spans="1:27" s="37" customFormat="1" ht="30.75" customHeight="1" x14ac:dyDescent="0.35">
      <c r="A10" s="253"/>
      <c r="B10" s="257" t="s">
        <v>4</v>
      </c>
      <c r="C10" s="57"/>
      <c r="D10" s="57">
        <v>110175.3</v>
      </c>
      <c r="E10" s="182"/>
      <c r="F10" s="255"/>
      <c r="G10" s="64">
        <f>+C10+D10+E10+F10</f>
        <v>110175.3</v>
      </c>
    </row>
    <row r="11" spans="1:27" s="37" customFormat="1" ht="30.75" customHeight="1" thickBot="1" x14ac:dyDescent="0.4">
      <c r="A11" s="258"/>
      <c r="B11" s="259" t="s">
        <v>5</v>
      </c>
      <c r="C11" s="73"/>
      <c r="D11" s="73"/>
      <c r="E11" s="77"/>
      <c r="F11" s="78"/>
      <c r="G11" s="260">
        <f>+C11+D11+E11+F11</f>
        <v>0</v>
      </c>
    </row>
    <row r="12" spans="1:27" s="279" customFormat="1" ht="30.75" customHeight="1" thickBot="1" x14ac:dyDescent="0.4">
      <c r="A12" s="273"/>
      <c r="B12" s="274" t="s">
        <v>6</v>
      </c>
      <c r="C12" s="275">
        <f>SUM(C7:C11)</f>
        <v>18000000</v>
      </c>
      <c r="D12" s="275">
        <f>SUM(D7:D11)</f>
        <v>133619227.3</v>
      </c>
      <c r="E12" s="276">
        <f>SUM(E7:E11)</f>
        <v>31693589.98</v>
      </c>
      <c r="F12" s="277">
        <f>SUM(F7:F11)</f>
        <v>30183023.43</v>
      </c>
      <c r="G12" s="275">
        <f>SUM(G7:G11)</f>
        <v>213495840.71000001</v>
      </c>
    </row>
    <row r="13" spans="1:27" s="37" customFormat="1" ht="30.75" customHeight="1" x14ac:dyDescent="0.35">
      <c r="A13" s="261">
        <v>60</v>
      </c>
      <c r="B13" s="262" t="s">
        <v>7</v>
      </c>
      <c r="C13" s="64">
        <v>465496.12</v>
      </c>
      <c r="D13" s="64">
        <v>115143391.2</v>
      </c>
      <c r="E13" s="65">
        <v>19132746.190000001</v>
      </c>
      <c r="F13" s="66">
        <v>27754299.98</v>
      </c>
      <c r="G13" s="64">
        <f>+C13+D13+E13+F13</f>
        <v>162495933.49000001</v>
      </c>
    </row>
    <row r="14" spans="1:27" s="37" customFormat="1" ht="30.75" customHeight="1" x14ac:dyDescent="0.35">
      <c r="A14" s="263" t="s">
        <v>8</v>
      </c>
      <c r="B14" s="259" t="s">
        <v>43</v>
      </c>
      <c r="C14" s="73">
        <v>1995532.95</v>
      </c>
      <c r="D14" s="73">
        <v>5438432.3700000001</v>
      </c>
      <c r="E14" s="77">
        <v>2208431.21</v>
      </c>
      <c r="F14" s="78">
        <v>2933043.98</v>
      </c>
      <c r="G14" s="73">
        <f>+C14+D14+E14+F14</f>
        <v>12575440.510000002</v>
      </c>
    </row>
    <row r="15" spans="1:27" s="37" customFormat="1" ht="30.75" customHeight="1" thickBot="1" x14ac:dyDescent="0.4">
      <c r="A15" s="264"/>
      <c r="B15" s="265" t="s">
        <v>124</v>
      </c>
      <c r="C15" s="260">
        <v>104457.01</v>
      </c>
      <c r="D15" s="260"/>
      <c r="E15" s="235"/>
      <c r="F15" s="266"/>
      <c r="G15" s="260">
        <f>+C15+D15+E15+F15</f>
        <v>104457.01</v>
      </c>
    </row>
    <row r="16" spans="1:27" s="279" customFormat="1" ht="30.75" customHeight="1" thickBot="1" x14ac:dyDescent="0.4">
      <c r="A16" s="280" t="s">
        <v>9</v>
      </c>
      <c r="B16" s="281" t="s">
        <v>10</v>
      </c>
      <c r="C16" s="275">
        <f>+C13+C14+C15</f>
        <v>2565486.0799999996</v>
      </c>
      <c r="D16" s="275">
        <f t="shared" ref="D16:G16" si="0">+D13+D14+D15</f>
        <v>120581823.57000001</v>
      </c>
      <c r="E16" s="276">
        <f t="shared" si="0"/>
        <v>21341177.400000002</v>
      </c>
      <c r="F16" s="277">
        <f t="shared" si="0"/>
        <v>30687343.960000001</v>
      </c>
      <c r="G16" s="275">
        <f t="shared" si="0"/>
        <v>175175831.00999999</v>
      </c>
    </row>
    <row r="17" spans="1:8" s="279" customFormat="1" ht="30.75" customHeight="1" thickBot="1" x14ac:dyDescent="0.4">
      <c r="A17" s="283" t="s">
        <v>11</v>
      </c>
      <c r="B17" s="284" t="s">
        <v>12</v>
      </c>
      <c r="C17" s="285">
        <f>+C12-C16</f>
        <v>15434513.92</v>
      </c>
      <c r="D17" s="285">
        <f>+D12-D16</f>
        <v>13037403.729999989</v>
      </c>
      <c r="E17" s="286">
        <f>+E12-E16</f>
        <v>10352412.579999998</v>
      </c>
      <c r="F17" s="287">
        <f>+F12-F16</f>
        <v>-504320.53000000119</v>
      </c>
      <c r="G17" s="285">
        <f>+G12-G16</f>
        <v>38320009.700000018</v>
      </c>
    </row>
    <row r="18" spans="1:8" s="37" customFormat="1" ht="30.75" customHeight="1" x14ac:dyDescent="0.35">
      <c r="A18" s="261">
        <v>63</v>
      </c>
      <c r="B18" s="262" t="s">
        <v>44</v>
      </c>
      <c r="C18" s="64">
        <v>10559188.24</v>
      </c>
      <c r="D18" s="64">
        <v>28960107.699999999</v>
      </c>
      <c r="E18" s="65">
        <v>10783219.189999999</v>
      </c>
      <c r="F18" s="66">
        <v>10692758.609999999</v>
      </c>
      <c r="G18" s="64">
        <f>+C18+D18+E18+F18</f>
        <v>60995273.739999995</v>
      </c>
    </row>
    <row r="19" spans="1:8" s="37" customFormat="1" ht="30.75" customHeight="1" thickBot="1" x14ac:dyDescent="0.4">
      <c r="A19" s="263">
        <v>64</v>
      </c>
      <c r="B19" s="259" t="s">
        <v>13</v>
      </c>
      <c r="C19" s="73">
        <v>539477</v>
      </c>
      <c r="D19" s="73">
        <v>370879.67</v>
      </c>
      <c r="E19" s="77">
        <v>392145.36</v>
      </c>
      <c r="F19" s="78">
        <v>147574</v>
      </c>
      <c r="G19" s="73">
        <f>+C19+D19+E19+F19</f>
        <v>1450076.0299999998</v>
      </c>
    </row>
    <row r="20" spans="1:8" s="279" customFormat="1" ht="30.75" customHeight="1" thickBot="1" x14ac:dyDescent="0.4">
      <c r="A20" s="280" t="s">
        <v>14</v>
      </c>
      <c r="B20" s="281" t="s">
        <v>15</v>
      </c>
      <c r="C20" s="275">
        <f>+C17-C18-C19</f>
        <v>4335848.68</v>
      </c>
      <c r="D20" s="275">
        <f>+D17-D18-D19</f>
        <v>-16293583.64000001</v>
      </c>
      <c r="E20" s="276">
        <f>+E17-E18-E19</f>
        <v>-822951.97000000125</v>
      </c>
      <c r="F20" s="277">
        <f>+F17-F18-F19</f>
        <v>-11344653.140000001</v>
      </c>
      <c r="G20" s="275">
        <f>+G17-G18-G19</f>
        <v>-24125340.069999978</v>
      </c>
    </row>
    <row r="21" spans="1:8" s="37" customFormat="1" ht="30.75" customHeight="1" x14ac:dyDescent="0.35">
      <c r="A21" s="261">
        <v>75</v>
      </c>
      <c r="B21" s="262" t="s">
        <v>16</v>
      </c>
      <c r="C21" s="64"/>
      <c r="D21" s="64">
        <v>335677.86</v>
      </c>
      <c r="E21" s="65">
        <v>0.02</v>
      </c>
      <c r="F21" s="66"/>
      <c r="G21" s="64">
        <f t="shared" ref="G21:G26" si="1">+C21+D21+E21+F21</f>
        <v>335677.88</v>
      </c>
      <c r="H21" s="267"/>
    </row>
    <row r="22" spans="1:8" s="37" customFormat="1" ht="30.75" customHeight="1" x14ac:dyDescent="0.35">
      <c r="A22" s="268">
        <v>65</v>
      </c>
      <c r="B22" s="257" t="s">
        <v>17</v>
      </c>
      <c r="C22" s="57">
        <v>49940</v>
      </c>
      <c r="D22" s="57">
        <v>1.06</v>
      </c>
      <c r="E22" s="182">
        <v>3600.32</v>
      </c>
      <c r="F22" s="255"/>
      <c r="G22" s="57">
        <f t="shared" si="1"/>
        <v>53541.38</v>
      </c>
    </row>
    <row r="23" spans="1:8" s="37" customFormat="1" ht="30.75" customHeight="1" x14ac:dyDescent="0.35">
      <c r="A23" s="268"/>
      <c r="B23" s="269" t="s">
        <v>18</v>
      </c>
      <c r="C23" s="270"/>
      <c r="D23" s="270"/>
      <c r="E23" s="271"/>
      <c r="F23" s="272"/>
      <c r="G23" s="270">
        <f t="shared" si="1"/>
        <v>0</v>
      </c>
    </row>
    <row r="24" spans="1:8" s="37" customFormat="1" ht="30.75" customHeight="1" x14ac:dyDescent="0.35">
      <c r="A24" s="268"/>
      <c r="B24" s="269" t="s">
        <v>19</v>
      </c>
      <c r="C24" s="270"/>
      <c r="D24" s="270"/>
      <c r="E24" s="271"/>
      <c r="F24" s="272"/>
      <c r="G24" s="270">
        <f t="shared" si="1"/>
        <v>0</v>
      </c>
    </row>
    <row r="25" spans="1:8" s="37" customFormat="1" ht="30.75" customHeight="1" x14ac:dyDescent="0.35">
      <c r="A25" s="268">
        <v>68</v>
      </c>
      <c r="B25" s="257" t="s">
        <v>20</v>
      </c>
      <c r="C25" s="57">
        <v>1241267.49</v>
      </c>
      <c r="D25" s="57">
        <v>5851567.3799999999</v>
      </c>
      <c r="E25" s="182">
        <v>536349.64</v>
      </c>
      <c r="F25" s="255">
        <v>573317.46</v>
      </c>
      <c r="G25" s="57">
        <f t="shared" si="1"/>
        <v>8202501.9699999997</v>
      </c>
    </row>
    <row r="26" spans="1:8" s="37" customFormat="1" ht="30.75" customHeight="1" thickBot="1" x14ac:dyDescent="0.4">
      <c r="A26" s="263">
        <v>78</v>
      </c>
      <c r="B26" s="259" t="s">
        <v>21</v>
      </c>
      <c r="C26" s="73"/>
      <c r="D26" s="73"/>
      <c r="E26" s="77"/>
      <c r="F26" s="78"/>
      <c r="G26" s="73">
        <f t="shared" si="1"/>
        <v>0</v>
      </c>
    </row>
    <row r="27" spans="1:8" s="279" customFormat="1" ht="30.75" customHeight="1" thickBot="1" x14ac:dyDescent="0.4">
      <c r="A27" s="280" t="s">
        <v>22</v>
      </c>
      <c r="B27" s="281" t="s">
        <v>23</v>
      </c>
      <c r="C27" s="275">
        <f>+C20+C21+C26-(C22+C23+C24+C25)</f>
        <v>3044641.1899999995</v>
      </c>
      <c r="D27" s="275">
        <f>+D20+D21+D26-(D22+D23+D24+D25)</f>
        <v>-21809474.22000001</v>
      </c>
      <c r="E27" s="276">
        <f>+E20+E21+E26-(E22+E23+E24+E25)</f>
        <v>-1362901.9100000011</v>
      </c>
      <c r="F27" s="277">
        <f>+F20+F21+F26-(F22+F23+F24+F25)</f>
        <v>-11917970.600000001</v>
      </c>
      <c r="G27" s="275">
        <f>+G20+G21+G26-(G22+G23+G24+G25)</f>
        <v>-32045705.539999977</v>
      </c>
    </row>
    <row r="28" spans="1:8" s="37" customFormat="1" ht="30.75" customHeight="1" x14ac:dyDescent="0.35">
      <c r="A28" s="261">
        <v>76</v>
      </c>
      <c r="B28" s="262" t="s">
        <v>24</v>
      </c>
      <c r="C28" s="64"/>
      <c r="D28" s="64">
        <v>140447.62</v>
      </c>
      <c r="E28" s="65"/>
      <c r="F28" s="66"/>
      <c r="G28" s="64">
        <f>+C28+D28+E28+F28</f>
        <v>140447.62</v>
      </c>
    </row>
    <row r="29" spans="1:8" s="37" customFormat="1" ht="30.75" customHeight="1" thickBot="1" x14ac:dyDescent="0.4">
      <c r="A29" s="263">
        <v>66</v>
      </c>
      <c r="B29" s="259" t="s">
        <v>25</v>
      </c>
      <c r="C29" s="73"/>
      <c r="D29" s="73">
        <v>1203708.6499999999</v>
      </c>
      <c r="E29" s="77"/>
      <c r="F29" s="78"/>
      <c r="G29" s="73">
        <f>+C29+D29+E29+F29</f>
        <v>1203708.6499999999</v>
      </c>
    </row>
    <row r="30" spans="1:8" s="279" customFormat="1" ht="30.75" customHeight="1" thickBot="1" x14ac:dyDescent="0.4">
      <c r="A30" s="280" t="s">
        <v>26</v>
      </c>
      <c r="B30" s="281" t="s">
        <v>27</v>
      </c>
      <c r="C30" s="275">
        <f>+C28-C29</f>
        <v>0</v>
      </c>
      <c r="D30" s="275">
        <f>+D28-D29</f>
        <v>-1063261.0299999998</v>
      </c>
      <c r="E30" s="276">
        <f>+E28-E29</f>
        <v>0</v>
      </c>
      <c r="F30" s="277">
        <f>+F28-F29</f>
        <v>0</v>
      </c>
      <c r="G30" s="275">
        <f>+G28-G29</f>
        <v>-1063261.0299999998</v>
      </c>
    </row>
    <row r="31" spans="1:8" s="279" customFormat="1" ht="30.75" customHeight="1" thickBot="1" x14ac:dyDescent="0.4">
      <c r="A31" s="280" t="s">
        <v>28</v>
      </c>
      <c r="B31" s="281" t="s">
        <v>29</v>
      </c>
      <c r="C31" s="275">
        <f>+C27+C30</f>
        <v>3044641.1899999995</v>
      </c>
      <c r="D31" s="275">
        <f>+D27+D30</f>
        <v>-22872735.250000011</v>
      </c>
      <c r="E31" s="276">
        <f>+E27+E30</f>
        <v>-1362901.9100000011</v>
      </c>
      <c r="F31" s="277">
        <f>+F27+F30</f>
        <v>-11917970.600000001</v>
      </c>
      <c r="G31" s="275">
        <f>+G27+G30</f>
        <v>-33108966.569999978</v>
      </c>
    </row>
    <row r="32" spans="1:8" s="37" customFormat="1" ht="30.75" customHeight="1" x14ac:dyDescent="0.35">
      <c r="A32" s="261" t="s">
        <v>30</v>
      </c>
      <c r="B32" s="262" t="s">
        <v>31</v>
      </c>
      <c r="C32" s="64"/>
      <c r="D32" s="64"/>
      <c r="E32" s="65"/>
      <c r="F32" s="66"/>
      <c r="G32" s="64">
        <f>+C32+D32+E32+F32</f>
        <v>0</v>
      </c>
    </row>
    <row r="33" spans="1:7" s="37" customFormat="1" ht="30.75" customHeight="1" x14ac:dyDescent="0.35">
      <c r="A33" s="268" t="s">
        <v>32</v>
      </c>
      <c r="B33" s="257" t="s">
        <v>33</v>
      </c>
      <c r="C33" s="57"/>
      <c r="D33" s="57"/>
      <c r="E33" s="182"/>
      <c r="F33" s="255"/>
      <c r="G33" s="57">
        <f>+C33+D33+E33+F33</f>
        <v>0</v>
      </c>
    </row>
    <row r="34" spans="1:7" s="37" customFormat="1" ht="30.75" customHeight="1" x14ac:dyDescent="0.35">
      <c r="A34" s="111"/>
      <c r="B34" s="88" t="s">
        <v>45</v>
      </c>
      <c r="C34" s="74">
        <f>+C12+C21+C28+C26</f>
        <v>18000000</v>
      </c>
      <c r="D34" s="74">
        <f>+D12+D21+D28+D26</f>
        <v>134095352.78</v>
      </c>
      <c r="E34" s="75">
        <f>+E12+E21+E28+E26</f>
        <v>31693590</v>
      </c>
      <c r="F34" s="75">
        <f>+F12+F21+F28+F26</f>
        <v>30183023.43</v>
      </c>
      <c r="G34" s="74">
        <f>+G12+G21+G28+G26</f>
        <v>213971966.21000001</v>
      </c>
    </row>
    <row r="35" spans="1:7" s="37" customFormat="1" ht="30.75" customHeight="1" thickBot="1" x14ac:dyDescent="0.4">
      <c r="A35" s="120"/>
      <c r="B35" s="89" t="s">
        <v>46</v>
      </c>
      <c r="C35" s="73">
        <f>+C16+C18+C19+C25+C22+C29+C33+C32</f>
        <v>14955358.810000001</v>
      </c>
      <c r="D35" s="73">
        <f t="shared" ref="D35:G35" si="2">+D16+D18+D19+D25+D22+D29+D33+D32</f>
        <v>156968088.03</v>
      </c>
      <c r="E35" s="77">
        <f t="shared" si="2"/>
        <v>33056491.910000004</v>
      </c>
      <c r="F35" s="77">
        <f t="shared" si="2"/>
        <v>42100994.030000001</v>
      </c>
      <c r="G35" s="73">
        <f t="shared" si="2"/>
        <v>247080932.78</v>
      </c>
    </row>
    <row r="36" spans="1:7" s="279" customFormat="1" ht="30.75" customHeight="1" thickBot="1" x14ac:dyDescent="0.4">
      <c r="A36" s="280" t="s">
        <v>34</v>
      </c>
      <c r="B36" s="281" t="s">
        <v>35</v>
      </c>
      <c r="C36" s="275">
        <f>+C34-C35</f>
        <v>3044641.1899999995</v>
      </c>
      <c r="D36" s="275">
        <f>+D34-D35</f>
        <v>-22872735.25</v>
      </c>
      <c r="E36" s="276">
        <f>+E34-E35</f>
        <v>-1362901.9100000039</v>
      </c>
      <c r="F36" s="277">
        <f>+F34-F35</f>
        <v>-11917970.600000001</v>
      </c>
      <c r="G36" s="275">
        <f>+G34-G35</f>
        <v>-33108966.569999993</v>
      </c>
    </row>
    <row r="37" spans="1:7" s="37" customFormat="1" ht="30.75" customHeight="1" x14ac:dyDescent="0.35">
      <c r="A37" s="261">
        <v>77</v>
      </c>
      <c r="B37" s="262" t="s">
        <v>36</v>
      </c>
      <c r="C37" s="64">
        <v>0</v>
      </c>
      <c r="D37" s="64">
        <v>0</v>
      </c>
      <c r="E37" s="65">
        <v>0</v>
      </c>
      <c r="F37" s="66">
        <v>0</v>
      </c>
      <c r="G37" s="64">
        <f>+C37+D37+E37+F37</f>
        <v>0</v>
      </c>
    </row>
    <row r="38" spans="1:7" s="37" customFormat="1" ht="30.75" customHeight="1" thickBot="1" x14ac:dyDescent="0.4">
      <c r="A38" s="263">
        <v>67</v>
      </c>
      <c r="B38" s="259" t="s">
        <v>37</v>
      </c>
      <c r="C38" s="73">
        <v>0</v>
      </c>
      <c r="D38" s="73">
        <v>0</v>
      </c>
      <c r="E38" s="77">
        <v>0</v>
      </c>
      <c r="F38" s="78">
        <v>0</v>
      </c>
      <c r="G38" s="73">
        <f>+C38+D38+E38+F38</f>
        <v>0</v>
      </c>
    </row>
    <row r="39" spans="1:7" s="279" customFormat="1" ht="30.75" customHeight="1" thickBot="1" x14ac:dyDescent="0.4">
      <c r="A39" s="280" t="s">
        <v>38</v>
      </c>
      <c r="B39" s="281" t="s">
        <v>39</v>
      </c>
      <c r="C39" s="275"/>
      <c r="D39" s="275"/>
      <c r="E39" s="276"/>
      <c r="F39" s="277"/>
      <c r="G39" s="275"/>
    </row>
    <row r="40" spans="1:7" s="279" customFormat="1" ht="30.6" customHeight="1" x14ac:dyDescent="0.35">
      <c r="A40" s="288" t="s">
        <v>40</v>
      </c>
      <c r="B40" s="289" t="s">
        <v>41</v>
      </c>
      <c r="C40" s="290">
        <f>+C36</f>
        <v>3044641.1899999995</v>
      </c>
      <c r="D40" s="290">
        <f>+D36</f>
        <v>-22872735.25</v>
      </c>
      <c r="E40" s="291">
        <f>+E36</f>
        <v>-1362901.9100000039</v>
      </c>
      <c r="F40" s="292">
        <f>+F36</f>
        <v>-11917970.600000001</v>
      </c>
      <c r="G40" s="290">
        <f>+G36</f>
        <v>-33108966.569999993</v>
      </c>
    </row>
    <row r="41" spans="1:7" s="27" customFormat="1" ht="11.4" customHeight="1" x14ac:dyDescent="0.35">
      <c r="A41" s="90"/>
      <c r="B41" s="90"/>
      <c r="C41" s="91"/>
      <c r="D41" s="91"/>
      <c r="E41" s="91"/>
      <c r="F41" s="91"/>
      <c r="G41" s="91"/>
    </row>
    <row r="42" spans="1:7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</row>
    <row r="43" spans="1:7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3.6746326905834934</v>
      </c>
      <c r="E43" s="95">
        <f>+E12/E7</f>
        <v>1.3509221567475471</v>
      </c>
      <c r="F43" s="95">
        <f>+F12/F7</f>
        <v>2.1016777341293706</v>
      </c>
      <c r="G43" s="95">
        <f>+G12/G7</f>
        <v>2.3159571699546655</v>
      </c>
    </row>
    <row r="44" spans="1:7" s="37" customFormat="1" ht="18" x14ac:dyDescent="0.35">
      <c r="A44" s="92">
        <v>2</v>
      </c>
      <c r="B44" s="93" t="s">
        <v>53</v>
      </c>
      <c r="C44" s="94">
        <f>+C13/C7</f>
        <v>2.5860895555555555E-2</v>
      </c>
      <c r="D44" s="95">
        <f>+D13/D7</f>
        <v>3.1665328258350418</v>
      </c>
      <c r="E44" s="95">
        <f>+E13/E7</f>
        <v>0.81552297369306137</v>
      </c>
      <c r="F44" s="95">
        <f>+F13/F7</f>
        <v>1.9325629995150304</v>
      </c>
      <c r="G44" s="95">
        <f>+G13/G7</f>
        <v>1.7627210956574608</v>
      </c>
    </row>
    <row r="45" spans="1:7" s="37" customFormat="1" ht="18" x14ac:dyDescent="0.35">
      <c r="A45" s="92">
        <v>3</v>
      </c>
      <c r="B45" s="93" t="s">
        <v>56</v>
      </c>
      <c r="C45" s="94">
        <f>+C13/C12</f>
        <v>2.5860895555555555E-2</v>
      </c>
      <c r="D45" s="95">
        <f>+D13/D12</f>
        <v>0.86172771334384157</v>
      </c>
      <c r="E45" s="95">
        <f>+E13/E12</f>
        <v>0.60367873131676075</v>
      </c>
      <c r="F45" s="95">
        <f>+F13/F12</f>
        <v>0.91953346040257844</v>
      </c>
      <c r="G45" s="95">
        <f>+G13/G12</f>
        <v>0.76111990261545548</v>
      </c>
    </row>
    <row r="46" spans="1:7" s="37" customFormat="1" ht="18" x14ac:dyDescent="0.35">
      <c r="A46" s="92">
        <v>4</v>
      </c>
      <c r="B46" s="93" t="s">
        <v>57</v>
      </c>
      <c r="C46" s="94">
        <f>+C16/C12</f>
        <v>0.14252700444444441</v>
      </c>
      <c r="D46" s="95">
        <f>+D16/D12</f>
        <v>0.90242868490229633</v>
      </c>
      <c r="E46" s="95">
        <f>+E16/E12</f>
        <v>0.673359421052244</v>
      </c>
      <c r="F46" s="95">
        <f>+F16/F12</f>
        <v>1.0167087479214802</v>
      </c>
      <c r="G46" s="95">
        <f>+G16/G12</f>
        <v>0.82051168035609823</v>
      </c>
    </row>
    <row r="47" spans="1:7" s="37" customFormat="1" ht="18" x14ac:dyDescent="0.35">
      <c r="A47" s="92">
        <v>5</v>
      </c>
      <c r="B47" s="93" t="s">
        <v>58</v>
      </c>
      <c r="C47" s="94">
        <f>+C18/C12</f>
        <v>0.58662156888888894</v>
      </c>
      <c r="D47" s="95">
        <f>+D18/D12</f>
        <v>0.21673608121516205</v>
      </c>
      <c r="E47" s="95">
        <f>+E18/E12</f>
        <v>0.34023344142473821</v>
      </c>
      <c r="F47" s="95">
        <f>+F18/F12</f>
        <v>0.35426399992030222</v>
      </c>
      <c r="G47" s="95">
        <f>+G18/G12</f>
        <v>0.28569771447141368</v>
      </c>
    </row>
    <row r="48" spans="1:7" s="37" customFormat="1" ht="18" x14ac:dyDescent="0.35">
      <c r="A48" s="92">
        <v>6</v>
      </c>
      <c r="B48" s="93" t="s">
        <v>54</v>
      </c>
      <c r="C48" s="94">
        <f>+C17/C18</f>
        <v>1.4617140607013177</v>
      </c>
      <c r="D48" s="95">
        <f>+D17/D18</f>
        <v>0.4501849186838483</v>
      </c>
      <c r="E48" s="95">
        <f>+E17/E18</f>
        <v>0.9600484231648081</v>
      </c>
      <c r="F48" s="95">
        <f>+F17/F18</f>
        <v>-4.716467923706371E-2</v>
      </c>
      <c r="G48" s="95">
        <f>+G17/G18</f>
        <v>0.6282455565876115</v>
      </c>
    </row>
    <row r="49" spans="1:7" s="37" customFormat="1" ht="18" x14ac:dyDescent="0.35">
      <c r="A49" s="92">
        <v>7</v>
      </c>
      <c r="B49" s="93" t="s">
        <v>55</v>
      </c>
      <c r="C49" s="94">
        <f>+C20/C12</f>
        <v>0.24088048222222219</v>
      </c>
      <c r="D49" s="95">
        <f>+D20/D12</f>
        <v>-0.12194041208918149</v>
      </c>
      <c r="E49" s="95">
        <f>+E20/E12</f>
        <v>-2.596588049884279E-2</v>
      </c>
      <c r="F49" s="95">
        <f>+F20/F12</f>
        <v>-0.3758620525975585</v>
      </c>
      <c r="G49" s="95">
        <f>+G20/G12</f>
        <v>-0.11300145234571758</v>
      </c>
    </row>
    <row r="50" spans="1:7" ht="15.6" x14ac:dyDescent="0.3">
      <c r="A50" s="90"/>
      <c r="B50" s="90"/>
      <c r="C50" s="96"/>
      <c r="D50" s="96"/>
      <c r="E50" s="96"/>
      <c r="F50" s="96"/>
    </row>
  </sheetData>
  <sheetProtection selectLockedCells="1" selectUnlockedCells="1"/>
  <mergeCells count="5">
    <mergeCell ref="A42:G42"/>
    <mergeCell ref="P1:Q1"/>
    <mergeCell ref="P2:Q2"/>
    <mergeCell ref="P3:Q3"/>
    <mergeCell ref="A5:G5"/>
  </mergeCells>
  <conditionalFormatting sqref="D1:G4 C43:G1048576 D41:G41">
    <cfRule type="cellIs" dxfId="189" priority="10" operator="lessThan">
      <formula>-0.01</formula>
    </cfRule>
  </conditionalFormatting>
  <conditionalFormatting sqref="C1:C4 C41">
    <cfRule type="cellIs" dxfId="188" priority="9" operator="lessThan">
      <formula>-0.01</formula>
    </cfRule>
  </conditionalFormatting>
  <conditionalFormatting sqref="D6:F6">
    <cfRule type="cellIs" dxfId="187" priority="7" operator="lessThan">
      <formula>-0.01</formula>
    </cfRule>
  </conditionalFormatting>
  <conditionalFormatting sqref="C6">
    <cfRule type="cellIs" dxfId="186" priority="6" operator="lessThan">
      <formula>-0.01</formula>
    </cfRule>
  </conditionalFormatting>
  <conditionalFormatting sqref="G6">
    <cfRule type="cellIs" dxfId="185" priority="5" operator="lessThan">
      <formula>-0.01</formula>
    </cfRule>
  </conditionalFormatting>
  <conditionalFormatting sqref="D7:F33 D36:F40 D34:E35">
    <cfRule type="cellIs" dxfId="184" priority="4" operator="lessThan">
      <formula>-0.01</formula>
    </cfRule>
  </conditionalFormatting>
  <conditionalFormatting sqref="C7:C40">
    <cfRule type="cellIs" dxfId="183" priority="3" operator="lessThan">
      <formula>-0.01</formula>
    </cfRule>
  </conditionalFormatting>
  <conditionalFormatting sqref="G7:G40">
    <cfRule type="cellIs" dxfId="182" priority="2" operator="lessThan">
      <formula>-0.01</formula>
    </cfRule>
  </conditionalFormatting>
  <conditionalFormatting sqref="F34:F35">
    <cfRule type="cellIs" dxfId="181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49"/>
  <sheetViews>
    <sheetView tabSelected="1" view="pageBreakPreview" zoomScale="60" zoomScaleNormal="50" workbookViewId="0">
      <pane xSplit="2" ySplit="6" topLeftCell="C16" activePane="bottomRight" state="frozen"/>
      <selection activeCell="C5" sqref="C5:D5"/>
      <selection pane="topRight" activeCell="C5" sqref="C5:D5"/>
      <selection pane="bottomLeft" activeCell="C5" sqref="C5:D5"/>
      <selection pane="bottomRight" activeCell="N40" sqref="C40:N40"/>
    </sheetView>
  </sheetViews>
  <sheetFormatPr baseColWidth="10" defaultColWidth="11.44140625" defaultRowHeight="23.4" x14ac:dyDescent="0.45"/>
  <cols>
    <col min="1" max="1" width="7.6640625" style="2" customWidth="1"/>
    <col min="2" max="2" width="76.5546875" style="2" customWidth="1"/>
    <col min="3" max="14" width="19.77734375" style="3" customWidth="1"/>
    <col min="15" max="15" width="19.77734375" style="96" customWidth="1"/>
    <col min="16" max="16" width="16.21875" style="1" bestFit="1" customWidth="1"/>
    <col min="17" max="16384" width="11.44140625" style="1"/>
  </cols>
  <sheetData>
    <row r="1" spans="1:26" s="42" customFormat="1" ht="13.8" customHeight="1" x14ac:dyDescent="0.45">
      <c r="A1" s="225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4"/>
      <c r="P1" s="344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s="42" customFormat="1" ht="13.8" customHeight="1" x14ac:dyDescent="0.45">
      <c r="A2" s="25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226"/>
      <c r="O2" s="345"/>
      <c r="P2" s="345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42" customFormat="1" ht="13.8" customHeight="1" x14ac:dyDescent="0.4">
      <c r="A3" s="46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226"/>
      <c r="O3" s="346"/>
      <c r="P3" s="3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s="42" customFormat="1" ht="13.8" customHeight="1" x14ac:dyDescent="0.4">
      <c r="A4" s="46"/>
      <c r="B4" s="4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00"/>
    </row>
    <row r="5" spans="1:26" ht="29.4" customHeight="1" thickBot="1" x14ac:dyDescent="0.55000000000000004">
      <c r="A5" s="347" t="s">
        <v>104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</row>
    <row r="6" spans="1:26" s="27" customFormat="1" ht="52.2" customHeight="1" thickBot="1" x14ac:dyDescent="0.4">
      <c r="A6" s="246" t="s">
        <v>0</v>
      </c>
      <c r="B6" s="246" t="s">
        <v>1</v>
      </c>
      <c r="C6" s="247">
        <v>44197</v>
      </c>
      <c r="D6" s="248">
        <v>44228</v>
      </c>
      <c r="E6" s="247">
        <v>44256</v>
      </c>
      <c r="F6" s="248">
        <v>44287</v>
      </c>
      <c r="G6" s="247">
        <v>44317</v>
      </c>
      <c r="H6" s="248">
        <v>44348</v>
      </c>
      <c r="I6" s="247">
        <v>44378</v>
      </c>
      <c r="J6" s="248">
        <v>44409</v>
      </c>
      <c r="K6" s="247">
        <v>44440</v>
      </c>
      <c r="L6" s="248">
        <v>44470</v>
      </c>
      <c r="M6" s="247">
        <v>44501</v>
      </c>
      <c r="N6" s="248">
        <v>44531</v>
      </c>
      <c r="O6" s="249" t="s">
        <v>85</v>
      </c>
    </row>
    <row r="7" spans="1:26" s="29" customFormat="1" ht="30.75" customHeight="1" x14ac:dyDescent="0.35">
      <c r="A7" s="188"/>
      <c r="B7" s="79" t="s">
        <v>2</v>
      </c>
      <c r="C7" s="52">
        <f>+Tableau2[[#This Row],[SIEGE]]</f>
        <v>18000000</v>
      </c>
      <c r="D7" s="52">
        <f>+Tableau3[[#This Row],[SIEGE]]</f>
        <v>0</v>
      </c>
      <c r="E7" s="52">
        <f>+Tableau4[[#This Row],[SIEGE]]</f>
        <v>1350000</v>
      </c>
      <c r="F7" s="52">
        <f>+Tableau5[[#This Row],[SIEGE]]</f>
        <v>0</v>
      </c>
      <c r="G7" s="52">
        <f>+Tableau6[[#This Row],[SIEGE]]</f>
        <v>0</v>
      </c>
      <c r="H7" s="52">
        <f>+Tableau7[[#This Row],[SIEGE]]</f>
        <v>1350000</v>
      </c>
      <c r="I7" s="52">
        <f>+Tableau8[[#This Row],[SIEGE]]</f>
        <v>3000000</v>
      </c>
      <c r="J7" s="52">
        <f>+Tableau9[[#This Row],[SIEGE]]</f>
        <v>3000000</v>
      </c>
      <c r="K7" s="52">
        <f>+Tableau10[[#This Row],[SIEGE]]</f>
        <v>4350000</v>
      </c>
      <c r="L7" s="52">
        <f>+Tableau11[[#This Row],[SIEGE]]</f>
        <v>3000000</v>
      </c>
      <c r="M7" s="52">
        <f>+Tableau12[[#This Row],[SIEGE]]</f>
        <v>3000000</v>
      </c>
      <c r="N7" s="52">
        <f>+Tableau13[[#This Row],[SIEGE]]</f>
        <v>4350000</v>
      </c>
      <c r="O7" s="52">
        <f>SUM(C7:N7)</f>
        <v>41400000</v>
      </c>
    </row>
    <row r="8" spans="1:26" s="29" customFormat="1" ht="30.75" customHeight="1" x14ac:dyDescent="0.35">
      <c r="A8" s="189"/>
      <c r="B8" s="80" t="s">
        <v>42</v>
      </c>
      <c r="C8" s="55">
        <f>+Tableau2[[#This Row],[SIEGE]]</f>
        <v>0</v>
      </c>
      <c r="D8" s="55">
        <f>+Tableau3[[#This Row],[SIEGE]]</f>
        <v>0</v>
      </c>
      <c r="E8" s="55">
        <f>+Tableau4[[#This Row],[SIEGE]]</f>
        <v>0</v>
      </c>
      <c r="F8" s="55">
        <f>+Tableau5[[#This Row],[SIEGE]]</f>
        <v>0</v>
      </c>
      <c r="G8" s="55">
        <f>+Tableau6[[#This Row],[SIEGE]]</f>
        <v>0</v>
      </c>
      <c r="H8" s="55">
        <f>+Tableau7[[#This Row],[SIEGE]]</f>
        <v>0</v>
      </c>
      <c r="I8" s="55">
        <f>+Tableau8[[#This Row],[SIEGE]]</f>
        <v>0</v>
      </c>
      <c r="J8" s="55">
        <f>+Tableau9[[#This Row],[SIEGE]]</f>
        <v>0</v>
      </c>
      <c r="K8" s="55">
        <f>+Tableau10[[#This Row],[SIEGE]]</f>
        <v>0</v>
      </c>
      <c r="L8" s="55">
        <f>+Tableau11[[#This Row],[SIEGE]]</f>
        <v>0</v>
      </c>
      <c r="M8" s="55">
        <f>+Tableau12[[#This Row],[SIEGE]]</f>
        <v>0</v>
      </c>
      <c r="N8" s="55">
        <f>+Tableau13[[#This Row],[SIEGE]]</f>
        <v>0</v>
      </c>
      <c r="O8" s="55">
        <f t="shared" ref="O8:O40" si="0">SUM(C8:N8)</f>
        <v>0</v>
      </c>
    </row>
    <row r="9" spans="1:26" s="27" customFormat="1" ht="30.75" customHeight="1" x14ac:dyDescent="0.35">
      <c r="A9" s="189"/>
      <c r="B9" s="81" t="s">
        <v>3</v>
      </c>
      <c r="C9" s="55">
        <f>+Tableau2[[#This Row],[SIEGE]]</f>
        <v>0</v>
      </c>
      <c r="D9" s="55">
        <f>+Tableau3[[#This Row],[SIEGE]]</f>
        <v>0</v>
      </c>
      <c r="E9" s="55">
        <f>+Tableau4[[#This Row],[SIEGE]]</f>
        <v>0</v>
      </c>
      <c r="F9" s="55">
        <f>+Tableau5[[#This Row],[SIEGE]]</f>
        <v>0</v>
      </c>
      <c r="G9" s="55">
        <f>+Tableau6[[#This Row],[SIEGE]]</f>
        <v>0</v>
      </c>
      <c r="H9" s="55">
        <f>+Tableau7[[#This Row],[SIEGE]]</f>
        <v>0</v>
      </c>
      <c r="I9" s="55">
        <f>+Tableau8[[#This Row],[SIEGE]]</f>
        <v>0</v>
      </c>
      <c r="J9" s="55">
        <f>+Tableau9[[#This Row],[SIEGE]]</f>
        <v>0</v>
      </c>
      <c r="K9" s="55">
        <f>+Tableau10[[#This Row],[SIEGE]]</f>
        <v>0</v>
      </c>
      <c r="L9" s="55">
        <f>+Tableau11[[#This Row],[SIEGE]]</f>
        <v>0</v>
      </c>
      <c r="M9" s="55">
        <f>+Tableau12[[#This Row],[SIEGE]]</f>
        <v>0</v>
      </c>
      <c r="N9" s="55">
        <f>+Tableau13[[#This Row],[SIEGE]]</f>
        <v>0</v>
      </c>
      <c r="O9" s="55">
        <f t="shared" si="0"/>
        <v>0</v>
      </c>
    </row>
    <row r="10" spans="1:26" s="27" customFormat="1" ht="30.75" customHeight="1" x14ac:dyDescent="0.35">
      <c r="A10" s="189"/>
      <c r="B10" s="81" t="s">
        <v>4</v>
      </c>
      <c r="C10" s="55">
        <f>+Tableau2[[#This Row],[SIEGE]]</f>
        <v>0</v>
      </c>
      <c r="D10" s="55">
        <f>+Tableau3[[#This Row],[SIEGE]]</f>
        <v>0</v>
      </c>
      <c r="E10" s="55">
        <f>+Tableau4[[#This Row],[SIEGE]]</f>
        <v>0</v>
      </c>
      <c r="F10" s="55">
        <f>+Tableau5[[#This Row],[SIEGE]]</f>
        <v>0</v>
      </c>
      <c r="G10" s="55">
        <f>+Tableau6[[#This Row],[SIEGE]]</f>
        <v>0</v>
      </c>
      <c r="H10" s="55">
        <f>+Tableau7[[#This Row],[SIEGE]]</f>
        <v>0</v>
      </c>
      <c r="I10" s="55">
        <f>+Tableau8[[#This Row],[SIEGE]]</f>
        <v>0</v>
      </c>
      <c r="J10" s="55">
        <f>+Tableau9[[#This Row],[SIEGE]]</f>
        <v>0</v>
      </c>
      <c r="K10" s="55">
        <f>+Tableau10[[#This Row],[SIEGE]]</f>
        <v>0</v>
      </c>
      <c r="L10" s="55">
        <f>+Tableau11[[#This Row],[SIEGE]]</f>
        <v>0</v>
      </c>
      <c r="M10" s="55">
        <f>+Tableau12[[#This Row],[SIEGE]]</f>
        <v>0</v>
      </c>
      <c r="N10" s="55">
        <f>+Tableau13[[#This Row],[SIEGE]]</f>
        <v>0</v>
      </c>
      <c r="O10" s="55">
        <f t="shared" si="0"/>
        <v>0</v>
      </c>
    </row>
    <row r="11" spans="1:26" s="27" customFormat="1" ht="30.75" customHeight="1" thickBot="1" x14ac:dyDescent="0.4">
      <c r="A11" s="190"/>
      <c r="B11" s="82" t="s">
        <v>5</v>
      </c>
      <c r="C11" s="59">
        <f>+Tableau2[[#This Row],[SIEGE]]</f>
        <v>0</v>
      </c>
      <c r="D11" s="59">
        <f>+Tableau3[[#This Row],[SIEGE]]</f>
        <v>0</v>
      </c>
      <c r="E11" s="59">
        <f>+Tableau4[[#This Row],[SIEGE]]</f>
        <v>0</v>
      </c>
      <c r="F11" s="59">
        <f>+Tableau5[[#This Row],[SIEGE]]</f>
        <v>0</v>
      </c>
      <c r="G11" s="59">
        <f>+Tableau6[[#This Row],[SIEGE]]</f>
        <v>0</v>
      </c>
      <c r="H11" s="59">
        <f>+Tableau7[[#This Row],[SIEGE]]</f>
        <v>0</v>
      </c>
      <c r="I11" s="59">
        <f>+Tableau8[[#This Row],[SIEGE]]</f>
        <v>0</v>
      </c>
      <c r="J11" s="59">
        <f>+Tableau9[[#This Row],[SIEGE]]</f>
        <v>0</v>
      </c>
      <c r="K11" s="59">
        <f>+Tableau10[[#This Row],[SIEGE]]</f>
        <v>0</v>
      </c>
      <c r="L11" s="59">
        <f>+Tableau11[[#This Row],[SIEGE]]</f>
        <v>0</v>
      </c>
      <c r="M11" s="59">
        <f>+Tableau12[[#This Row],[SIEGE]]</f>
        <v>0</v>
      </c>
      <c r="N11" s="59">
        <f>+Tableau13[[#This Row],[SIEGE]]</f>
        <v>0</v>
      </c>
      <c r="O11" s="59">
        <f t="shared" si="0"/>
        <v>0</v>
      </c>
    </row>
    <row r="12" spans="1:26" s="27" customFormat="1" ht="30.75" customHeight="1" thickBot="1" x14ac:dyDescent="0.4">
      <c r="A12" s="191"/>
      <c r="B12" s="83" t="s">
        <v>6</v>
      </c>
      <c r="C12" s="62">
        <f>+Tableau2[[#This Row],[SIEGE]]</f>
        <v>18000000</v>
      </c>
      <c r="D12" s="62">
        <f>+Tableau3[[#This Row],[SIEGE]]</f>
        <v>0</v>
      </c>
      <c r="E12" s="62">
        <f>+Tableau4[[#This Row],[SIEGE]]</f>
        <v>1350000</v>
      </c>
      <c r="F12" s="62">
        <f>+Tableau5[[#This Row],[SIEGE]]</f>
        <v>0</v>
      </c>
      <c r="G12" s="62">
        <f>+Tableau6[[#This Row],[SIEGE]]</f>
        <v>0</v>
      </c>
      <c r="H12" s="62">
        <f>+Tableau7[[#This Row],[SIEGE]]</f>
        <v>1350000</v>
      </c>
      <c r="I12" s="62">
        <f>+Tableau8[[#This Row],[SIEGE]]</f>
        <v>3000000</v>
      </c>
      <c r="J12" s="62">
        <f>+Tableau9[[#This Row],[SIEGE]]</f>
        <v>3000000</v>
      </c>
      <c r="K12" s="62">
        <f>+Tableau10[[#This Row],[SIEGE]]</f>
        <v>4350000</v>
      </c>
      <c r="L12" s="62">
        <f>+Tableau11[[#This Row],[SIEGE]]</f>
        <v>3000000</v>
      </c>
      <c r="M12" s="62">
        <f>+Tableau12[[#This Row],[SIEGE]]</f>
        <v>3000000</v>
      </c>
      <c r="N12" s="62">
        <f>+Tableau13[[#This Row],[SIEGE]]</f>
        <v>4350000</v>
      </c>
      <c r="O12" s="62">
        <f t="shared" si="0"/>
        <v>41400000</v>
      </c>
    </row>
    <row r="13" spans="1:26" s="32" customFormat="1" ht="30.75" customHeight="1" x14ac:dyDescent="0.35">
      <c r="A13" s="192">
        <v>60</v>
      </c>
      <c r="B13" s="84" t="s">
        <v>7</v>
      </c>
      <c r="C13" s="65">
        <f>+Tableau2[[#This Row],[SIEGE]]</f>
        <v>465496.12</v>
      </c>
      <c r="D13" s="65">
        <f>+Tableau3[[#This Row],[SIEGE]]</f>
        <v>922413.49</v>
      </c>
      <c r="E13" s="65">
        <f>+Tableau4[[#This Row],[SIEGE]]</f>
        <v>651562.63</v>
      </c>
      <c r="F13" s="65">
        <f>+Tableau5[[#This Row],[SIEGE]]</f>
        <v>940598.73</v>
      </c>
      <c r="G13" s="65">
        <f>+Tableau6[[#This Row],[SIEGE]]</f>
        <v>447779.95</v>
      </c>
      <c r="H13" s="65">
        <f>+Tableau7[[#This Row],[SIEGE]]</f>
        <v>264802.74</v>
      </c>
      <c r="I13" s="65">
        <f>+Tableau8[[#This Row],[SIEGE]]</f>
        <v>199442.56</v>
      </c>
      <c r="J13" s="65">
        <f>+Tableau9[[#This Row],[SIEGE]]</f>
        <v>596566.13</v>
      </c>
      <c r="K13" s="65">
        <f>+Tableau10[[#This Row],[SIEGE]]</f>
        <v>-551588.5</v>
      </c>
      <c r="L13" s="65">
        <f>+Tableau11[[#This Row],[SIEGE]]</f>
        <v>304976.90999999997</v>
      </c>
      <c r="M13" s="65">
        <f>+Tableau12[[#This Row],[SIEGE]]</f>
        <v>466460.47</v>
      </c>
      <c r="N13" s="65">
        <f>+Tableau13[[#This Row],[SIEGE]]</f>
        <v>1122586.53</v>
      </c>
      <c r="O13" s="65">
        <f t="shared" si="0"/>
        <v>5831097.7600000007</v>
      </c>
    </row>
    <row r="14" spans="1:26" s="32" customFormat="1" ht="30.75" customHeight="1" x14ac:dyDescent="0.35">
      <c r="A14" s="193" t="s">
        <v>8</v>
      </c>
      <c r="B14" s="82" t="s">
        <v>43</v>
      </c>
      <c r="C14" s="59">
        <f>+Tableau2[[#This Row],[SIEGE]]</f>
        <v>1995532.95</v>
      </c>
      <c r="D14" s="59">
        <f>+Tableau3[[#This Row],[SIEGE]]</f>
        <v>2071264.95</v>
      </c>
      <c r="E14" s="59">
        <f>+Tableau4[[#This Row],[SIEGE]]</f>
        <v>2804939.47</v>
      </c>
      <c r="F14" s="59">
        <f>+Tableau5[[#This Row],[SIEGE]]</f>
        <v>4597964.6500000004</v>
      </c>
      <c r="G14" s="59">
        <f>+Tableau6[[#This Row],[SIEGE]]</f>
        <v>2624675.35</v>
      </c>
      <c r="H14" s="59">
        <f>+Tableau7[[#This Row],[SIEGE]]</f>
        <v>2880296.16</v>
      </c>
      <c r="I14" s="59">
        <f>+Tableau8[[#This Row],[SIEGE]]</f>
        <v>8321684.9500000002</v>
      </c>
      <c r="J14" s="59">
        <f>+Tableau9[[#This Row],[SIEGE]]</f>
        <v>1332946.68</v>
      </c>
      <c r="K14" s="59">
        <f>+Tableau10[[#This Row],[SIEGE]]</f>
        <v>2364187.17</v>
      </c>
      <c r="L14" s="59">
        <f>+Tableau11[[#This Row],[SIEGE]]</f>
        <v>3241570.61</v>
      </c>
      <c r="M14" s="59">
        <f>+Tableau12[[#This Row],[SIEGE]]</f>
        <v>3255934.83</v>
      </c>
      <c r="N14" s="59">
        <f>+Tableau13[[#This Row],[SIEGE]]</f>
        <v>5586615.1200000001</v>
      </c>
      <c r="O14" s="59">
        <f t="shared" si="0"/>
        <v>41077612.889999993</v>
      </c>
    </row>
    <row r="15" spans="1:26" s="32" customFormat="1" ht="30.75" customHeight="1" thickBot="1" x14ac:dyDescent="0.4">
      <c r="A15" s="234"/>
      <c r="B15" s="230" t="s">
        <v>124</v>
      </c>
      <c r="C15" s="59">
        <f>+Tableau2[[#This Row],[SIEGE]]</f>
        <v>104457.01</v>
      </c>
      <c r="D15" s="59">
        <f>+Tableau3[[#This Row],[SIEGE]]</f>
        <v>0</v>
      </c>
      <c r="E15" s="59">
        <f>+Tableau4[[#This Row],[SIEGE]]</f>
        <v>0</v>
      </c>
      <c r="F15" s="59">
        <f>+Tableau5[[#This Row],[SIEGE]]</f>
        <v>0</v>
      </c>
      <c r="G15" s="59">
        <f>+Tableau6[[#This Row],[SIEGE]]</f>
        <v>0</v>
      </c>
      <c r="H15" s="59">
        <f>+Tableau7[[#This Row],[SIEGE]]</f>
        <v>561932.63</v>
      </c>
      <c r="I15" s="59">
        <f>+Tableau8[[#This Row],[SIEGE]]</f>
        <v>0</v>
      </c>
      <c r="J15" s="59">
        <f>+Tableau9[[#This Row],[SIEGE]]</f>
        <v>0</v>
      </c>
      <c r="K15" s="59">
        <f>+Tableau10[[#This Row],[SIEGE]]</f>
        <v>857386.78</v>
      </c>
      <c r="L15" s="59">
        <f>+Tableau11[[#This Row],[SIEGE]]</f>
        <v>0</v>
      </c>
      <c r="M15" s="59">
        <f>+Tableau12[[#This Row],[SIEGE]]</f>
        <v>0</v>
      </c>
      <c r="N15" s="59">
        <f>+Tableau13[[#This Row],[SIEGE]]</f>
        <v>0</v>
      </c>
      <c r="O15" s="59">
        <f t="shared" si="0"/>
        <v>1523776.42</v>
      </c>
    </row>
    <row r="16" spans="1:26" s="27" customFormat="1" ht="30.75" customHeight="1" thickBot="1" x14ac:dyDescent="0.4">
      <c r="A16" s="194" t="s">
        <v>9</v>
      </c>
      <c r="B16" s="85" t="s">
        <v>10</v>
      </c>
      <c r="C16" s="62">
        <f>+Tableau2[[#This Row],[SIEGE]]</f>
        <v>2565486.0799999996</v>
      </c>
      <c r="D16" s="62">
        <f>+Tableau3[[#This Row],[SIEGE]]</f>
        <v>2993678.44</v>
      </c>
      <c r="E16" s="62">
        <f>+Tableau4[[#This Row],[SIEGE]]</f>
        <v>3456502.1</v>
      </c>
      <c r="F16" s="62">
        <f>+Tableau5[[#This Row],[SIEGE]]</f>
        <v>5538563.3800000008</v>
      </c>
      <c r="G16" s="62">
        <f>+Tableau6[[#This Row],[SIEGE]]</f>
        <v>3072455.3000000003</v>
      </c>
      <c r="H16" s="62">
        <f t="shared" ref="H16:O16" si="1">+H13+H14+H15</f>
        <v>3707031.5300000003</v>
      </c>
      <c r="I16" s="62">
        <f t="shared" si="1"/>
        <v>8521127.5099999998</v>
      </c>
      <c r="J16" s="62">
        <f t="shared" si="1"/>
        <v>1929512.81</v>
      </c>
      <c r="K16" s="62">
        <f t="shared" si="1"/>
        <v>2669985.4500000002</v>
      </c>
      <c r="L16" s="62">
        <f t="shared" si="1"/>
        <v>3546547.52</v>
      </c>
      <c r="M16" s="62">
        <f t="shared" si="1"/>
        <v>3722395.3</v>
      </c>
      <c r="N16" s="62">
        <f t="shared" si="1"/>
        <v>6709201.6500000004</v>
      </c>
      <c r="O16" s="62">
        <f t="shared" si="1"/>
        <v>48432487.069999993</v>
      </c>
    </row>
    <row r="17" spans="1:15" s="27" customFormat="1" ht="30.75" customHeight="1" thickBot="1" x14ac:dyDescent="0.4">
      <c r="A17" s="195" t="s">
        <v>11</v>
      </c>
      <c r="B17" s="86" t="s">
        <v>12</v>
      </c>
      <c r="C17" s="68">
        <f>+Tableau2[[#This Row],[SIEGE]]</f>
        <v>15434513.92</v>
      </c>
      <c r="D17" s="68">
        <f>+Tableau3[[#This Row],[SIEGE]]</f>
        <v>-2993678.44</v>
      </c>
      <c r="E17" s="68">
        <f>+Tableau4[[#This Row],[SIEGE]]</f>
        <v>-2106502.1</v>
      </c>
      <c r="F17" s="68">
        <f>+Tableau5[[#This Row],[SIEGE]]</f>
        <v>-5538563.3800000008</v>
      </c>
      <c r="G17" s="68">
        <f>+Tableau6[[#This Row],[SIEGE]]</f>
        <v>-3072455.3000000003</v>
      </c>
      <c r="H17" s="68">
        <f>+Tableau7[[#This Row],[SIEGE]]</f>
        <v>-2357031.5300000003</v>
      </c>
      <c r="I17" s="68">
        <f>+Tableau8[[#This Row],[SIEGE]]</f>
        <v>-5521127.5099999998</v>
      </c>
      <c r="J17" s="68">
        <f>+Tableau9[[#This Row],[SIEGE]]</f>
        <v>1070487.19</v>
      </c>
      <c r="K17" s="68">
        <f>+Tableau10[[#This Row],[SIEGE]]</f>
        <v>1680014.5499999998</v>
      </c>
      <c r="L17" s="68">
        <f>+Tableau11[[#This Row],[SIEGE]]</f>
        <v>-546547.52</v>
      </c>
      <c r="M17" s="68">
        <f>+Tableau12[[#This Row],[SIEGE]]</f>
        <v>-722395.29999999981</v>
      </c>
      <c r="N17" s="68">
        <f>+Tableau13[[#This Row],[SIEGE]]</f>
        <v>-2359201.6500000004</v>
      </c>
      <c r="O17" s="68">
        <f t="shared" si="0"/>
        <v>-7032487.0700000003</v>
      </c>
    </row>
    <row r="18" spans="1:15" s="32" customFormat="1" ht="30.75" customHeight="1" x14ac:dyDescent="0.35">
      <c r="A18" s="192">
        <v>63</v>
      </c>
      <c r="B18" s="84" t="s">
        <v>44</v>
      </c>
      <c r="C18" s="65">
        <f>+Tableau2[[#This Row],[SIEGE]]</f>
        <v>10559188.24</v>
      </c>
      <c r="D18" s="65">
        <f>+Tableau3[[#This Row],[SIEGE]]</f>
        <v>10849396.029999999</v>
      </c>
      <c r="E18" s="65">
        <f>+Tableau4[[#This Row],[SIEGE]]</f>
        <v>11526900.59</v>
      </c>
      <c r="F18" s="65">
        <f>+Tableau5[[#This Row],[SIEGE]]</f>
        <v>13720481.92</v>
      </c>
      <c r="G18" s="65">
        <f>+Tableau6[[#This Row],[SIEGE]]</f>
        <v>14371871.880000001</v>
      </c>
      <c r="H18" s="65">
        <f>+Tableau7[[#This Row],[SIEGE]]</f>
        <v>10587601.66</v>
      </c>
      <c r="I18" s="65">
        <f>+Tableau8[[#This Row],[SIEGE]]</f>
        <v>12983021.57</v>
      </c>
      <c r="J18" s="65">
        <f>+Tableau9[[#This Row],[SIEGE]]</f>
        <v>14649707.300000001</v>
      </c>
      <c r="K18" s="65">
        <f>+Tableau10[[#This Row],[SIEGE]]</f>
        <v>17256683.34</v>
      </c>
      <c r="L18" s="65">
        <f>+Tableau11[[#This Row],[SIEGE]]</f>
        <v>11319395.720000001</v>
      </c>
      <c r="M18" s="65">
        <f>+Tableau12[[#This Row],[SIEGE]]</f>
        <v>16422787.449999999</v>
      </c>
      <c r="N18" s="65">
        <f>+Tableau13[[#This Row],[SIEGE]]</f>
        <v>14440202.550000001</v>
      </c>
      <c r="O18" s="65">
        <f t="shared" si="0"/>
        <v>158687238.25000003</v>
      </c>
    </row>
    <row r="19" spans="1:15" s="32" customFormat="1" ht="30.75" customHeight="1" thickBot="1" x14ac:dyDescent="0.4">
      <c r="A19" s="193">
        <v>64</v>
      </c>
      <c r="B19" s="82" t="s">
        <v>13</v>
      </c>
      <c r="C19" s="59">
        <f>+Tableau2[[#This Row],[SIEGE]]</f>
        <v>539477</v>
      </c>
      <c r="D19" s="59">
        <f>+Tableau3[[#This Row],[SIEGE]]</f>
        <v>0</v>
      </c>
      <c r="E19" s="59">
        <f>+Tableau4[[#This Row],[SIEGE]]</f>
        <v>99245.82</v>
      </c>
      <c r="F19" s="59">
        <f>+Tableau5[[#This Row],[SIEGE]]</f>
        <v>5408.41</v>
      </c>
      <c r="G19" s="59">
        <f>+Tableau6[[#This Row],[SIEGE]]</f>
        <v>26121.42</v>
      </c>
      <c r="H19" s="59">
        <f>+Tableau7[[#This Row],[SIEGE]]</f>
        <v>36000</v>
      </c>
      <c r="I19" s="59">
        <f>+Tableau8[[#This Row],[SIEGE]]</f>
        <v>60140</v>
      </c>
      <c r="J19" s="59">
        <f>+Tableau9[[#This Row],[SIEGE]]</f>
        <v>248246.84</v>
      </c>
      <c r="K19" s="59">
        <f>+Tableau10[[#This Row],[SIEGE]]</f>
        <v>118600.85</v>
      </c>
      <c r="L19" s="59">
        <f>+Tableau11[[#This Row],[SIEGE]]</f>
        <v>61743.63</v>
      </c>
      <c r="M19" s="59">
        <f>+Tableau12[[#This Row],[SIEGE]]</f>
        <v>65111.85</v>
      </c>
      <c r="N19" s="59">
        <f>+Tableau13[[#This Row],[SIEGE]]</f>
        <v>87000</v>
      </c>
      <c r="O19" s="59">
        <f t="shared" si="0"/>
        <v>1347095.82</v>
      </c>
    </row>
    <row r="20" spans="1:15" s="27" customFormat="1" ht="30.75" customHeight="1" thickBot="1" x14ac:dyDescent="0.4">
      <c r="A20" s="194" t="s">
        <v>14</v>
      </c>
      <c r="B20" s="85" t="s">
        <v>15</v>
      </c>
      <c r="C20" s="62">
        <f>+Tableau2[[#This Row],[SIEGE]]</f>
        <v>4335848.68</v>
      </c>
      <c r="D20" s="62">
        <f>+Tableau3[[#This Row],[SIEGE]]</f>
        <v>-13843074.469999999</v>
      </c>
      <c r="E20" s="62">
        <f>+Tableau4[[#This Row],[SIEGE]]</f>
        <v>-13732648.51</v>
      </c>
      <c r="F20" s="62">
        <f>+Tableau5[[#This Row],[SIEGE]]</f>
        <v>-19264453.710000001</v>
      </c>
      <c r="G20" s="62">
        <f>+Tableau6[[#This Row],[SIEGE]]</f>
        <v>-17470448.600000001</v>
      </c>
      <c r="H20" s="62">
        <f>+Tableau7[[#This Row],[SIEGE]]</f>
        <v>-12980633.190000001</v>
      </c>
      <c r="I20" s="62">
        <f>+Tableau8[[#This Row],[SIEGE]]</f>
        <v>-18564289.079999998</v>
      </c>
      <c r="J20" s="62">
        <f>+Tableau9[[#This Row],[SIEGE]]</f>
        <v>-13827466.950000001</v>
      </c>
      <c r="K20" s="62">
        <f>+Tableau10[[#This Row],[SIEGE]]</f>
        <v>-15695269.639999999</v>
      </c>
      <c r="L20" s="62">
        <f>+Tableau11[[#This Row],[SIEGE]]</f>
        <v>-11927686.870000001</v>
      </c>
      <c r="M20" s="62">
        <f>+Tableau12[[#This Row],[SIEGE]]</f>
        <v>-17210294.600000001</v>
      </c>
      <c r="N20" s="62">
        <f>+Tableau13[[#This Row],[SIEGE]]</f>
        <v>-16886404.200000003</v>
      </c>
      <c r="O20" s="62">
        <f t="shared" si="0"/>
        <v>-167066821.13999999</v>
      </c>
    </row>
    <row r="21" spans="1:15" s="32" customFormat="1" ht="30.75" customHeight="1" x14ac:dyDescent="0.35">
      <c r="A21" s="192">
        <v>75</v>
      </c>
      <c r="B21" s="84" t="s">
        <v>16</v>
      </c>
      <c r="C21" s="52">
        <f>+Tableau2[[#This Row],[SIEGE]]</f>
        <v>0</v>
      </c>
      <c r="D21" s="52">
        <f>+Tableau3[[#This Row],[SIEGE]]</f>
        <v>0</v>
      </c>
      <c r="E21" s="52">
        <f>+Tableau4[[#This Row],[SIEGE]]</f>
        <v>78186884.579999998</v>
      </c>
      <c r="F21" s="52">
        <f>+Tableau5[[#This Row],[SIEGE]]</f>
        <v>0.03</v>
      </c>
      <c r="G21" s="52">
        <f>+Tableau6[[#This Row],[SIEGE]]</f>
        <v>60000</v>
      </c>
      <c r="H21" s="52">
        <f>+Tableau7[[#This Row],[SIEGE]]</f>
        <v>1.02</v>
      </c>
      <c r="I21" s="52">
        <f>+Tableau8[[#This Row],[SIEGE]]</f>
        <v>0</v>
      </c>
      <c r="J21" s="52">
        <f>+Tableau9[[#This Row],[SIEGE]]</f>
        <v>1.9</v>
      </c>
      <c r="K21" s="52">
        <f>+Tableau10[[#This Row],[SIEGE]]</f>
        <v>64058</v>
      </c>
      <c r="L21" s="52">
        <f>+Tableau11[[#This Row],[SIEGE]]</f>
        <v>0</v>
      </c>
      <c r="M21" s="52">
        <f>+Tableau12[[#This Row],[SIEGE]]</f>
        <v>317295.90000000002</v>
      </c>
      <c r="N21" s="52">
        <f>+Tableau13[[#This Row],[SIEGE]]</f>
        <v>0</v>
      </c>
      <c r="O21" s="52">
        <f t="shared" si="0"/>
        <v>78628241.430000007</v>
      </c>
    </row>
    <row r="22" spans="1:15" s="32" customFormat="1" ht="30.75" customHeight="1" x14ac:dyDescent="0.35">
      <c r="A22" s="196">
        <v>65</v>
      </c>
      <c r="B22" s="81" t="s">
        <v>17</v>
      </c>
      <c r="C22" s="55">
        <f>+Tableau2[[#This Row],[SIEGE]]</f>
        <v>49940</v>
      </c>
      <c r="D22" s="55">
        <f>+Tableau3[[#This Row],[SIEGE]]</f>
        <v>186254.12</v>
      </c>
      <c r="E22" s="55">
        <f>+Tableau4[[#This Row],[SIEGE]]</f>
        <v>214000</v>
      </c>
      <c r="F22" s="55">
        <f>+Tableau5[[#This Row],[SIEGE]]</f>
        <v>214000</v>
      </c>
      <c r="G22" s="55">
        <f>+Tableau6[[#This Row],[SIEGE]]</f>
        <v>0</v>
      </c>
      <c r="H22" s="55">
        <f>+Tableau7[[#This Row],[SIEGE]]</f>
        <v>348091.51</v>
      </c>
      <c r="I22" s="55">
        <f>+Tableau8[[#This Row],[SIEGE]]</f>
        <v>205840.37</v>
      </c>
      <c r="J22" s="55">
        <f>+Tableau9[[#This Row],[SIEGE]]</f>
        <v>573.70000000000005</v>
      </c>
      <c r="K22" s="55">
        <f>+Tableau10[[#This Row],[SIEGE]]</f>
        <v>0.76</v>
      </c>
      <c r="L22" s="55">
        <f>+Tableau11[[#This Row],[SIEGE]]</f>
        <v>0</v>
      </c>
      <c r="M22" s="55">
        <f>+Tableau12[[#This Row],[SIEGE]]</f>
        <v>236022.24</v>
      </c>
      <c r="N22" s="55">
        <f>+Tableau13[[#This Row],[SIEGE]]</f>
        <v>0</v>
      </c>
      <c r="O22" s="55">
        <f t="shared" si="0"/>
        <v>1454722.7</v>
      </c>
    </row>
    <row r="23" spans="1:15" s="27" customFormat="1" ht="30.75" customHeight="1" x14ac:dyDescent="0.35">
      <c r="A23" s="196"/>
      <c r="B23" s="87" t="s">
        <v>18</v>
      </c>
      <c r="C23" s="71">
        <f>+Tableau2[[#This Row],[SIEGE]]</f>
        <v>0</v>
      </c>
      <c r="D23" s="71">
        <f>+Tableau3[[#This Row],[SIEGE]]</f>
        <v>0</v>
      </c>
      <c r="E23" s="71">
        <f>+Tableau4[[#This Row],[SIEGE]]</f>
        <v>0</v>
      </c>
      <c r="F23" s="71">
        <f>+Tableau5[[#This Row],[SIEGE]]</f>
        <v>0</v>
      </c>
      <c r="G23" s="71">
        <f>+Tableau6[[#This Row],[SIEGE]]</f>
        <v>0</v>
      </c>
      <c r="H23" s="71">
        <f>+Tableau7[[#This Row],[SIEGE]]</f>
        <v>0</v>
      </c>
      <c r="I23" s="71">
        <f>+Tableau8[[#This Row],[SIEGE]]</f>
        <v>0</v>
      </c>
      <c r="J23" s="71">
        <f>+Tableau9[[#This Row],[SIEGE]]</f>
        <v>0</v>
      </c>
      <c r="K23" s="71">
        <f>+Tableau10[[#This Row],[SIEGE]]</f>
        <v>0</v>
      </c>
      <c r="L23" s="71">
        <f>+Tableau11[[#This Row],[SIEGE]]</f>
        <v>0</v>
      </c>
      <c r="M23" s="71">
        <f>+Tableau12[[#This Row],[SIEGE]]</f>
        <v>0</v>
      </c>
      <c r="N23" s="71">
        <f>+Tableau13[[#This Row],[SIEGE]]</f>
        <v>0</v>
      </c>
      <c r="O23" s="71">
        <f t="shared" si="0"/>
        <v>0</v>
      </c>
    </row>
    <row r="24" spans="1:15" s="27" customFormat="1" ht="30.75" customHeight="1" x14ac:dyDescent="0.35">
      <c r="A24" s="196"/>
      <c r="B24" s="87" t="s">
        <v>19</v>
      </c>
      <c r="C24" s="71">
        <f>+Tableau2[[#This Row],[SIEGE]]</f>
        <v>0</v>
      </c>
      <c r="D24" s="71">
        <f>+Tableau3[[#This Row],[SIEGE]]</f>
        <v>0</v>
      </c>
      <c r="E24" s="71">
        <f>+Tableau4[[#This Row],[SIEGE]]</f>
        <v>0</v>
      </c>
      <c r="F24" s="71">
        <f>+Tableau5[[#This Row],[SIEGE]]</f>
        <v>0</v>
      </c>
      <c r="G24" s="71">
        <f>+Tableau6[[#This Row],[SIEGE]]</f>
        <v>0</v>
      </c>
      <c r="H24" s="71">
        <f>+Tableau7[[#This Row],[SIEGE]]</f>
        <v>0</v>
      </c>
      <c r="I24" s="71">
        <f>+Tableau8[[#This Row],[SIEGE]]</f>
        <v>0</v>
      </c>
      <c r="J24" s="71">
        <f>+Tableau9[[#This Row],[SIEGE]]</f>
        <v>0</v>
      </c>
      <c r="K24" s="71">
        <f>+Tableau10[[#This Row],[SIEGE]]</f>
        <v>0</v>
      </c>
      <c r="L24" s="71">
        <f>+Tableau11[[#This Row],[SIEGE]]</f>
        <v>0</v>
      </c>
      <c r="M24" s="71">
        <f>+Tableau12[[#This Row],[SIEGE]]</f>
        <v>0</v>
      </c>
      <c r="N24" s="71">
        <f>+Tableau13[[#This Row],[SIEGE]]</f>
        <v>0</v>
      </c>
      <c r="O24" s="71">
        <f t="shared" si="0"/>
        <v>0</v>
      </c>
    </row>
    <row r="25" spans="1:15" s="32" customFormat="1" ht="30.75" customHeight="1" x14ac:dyDescent="0.35">
      <c r="A25" s="196">
        <v>68</v>
      </c>
      <c r="B25" s="81" t="s">
        <v>20</v>
      </c>
      <c r="C25" s="55">
        <f>+Tableau2[[#This Row],[SIEGE]]</f>
        <v>1241267.49</v>
      </c>
      <c r="D25" s="55">
        <f>+Tableau3[[#This Row],[SIEGE]]</f>
        <v>1250068.6200000001</v>
      </c>
      <c r="E25" s="55">
        <f>+Tableau4[[#This Row],[SIEGE]]</f>
        <v>1249834.24</v>
      </c>
      <c r="F25" s="55">
        <f>+Tableau5[[#This Row],[SIEGE]]</f>
        <v>1249194.53</v>
      </c>
      <c r="G25" s="55">
        <f>+Tableau6[[#This Row],[SIEGE]]</f>
        <v>1247332.6200000001</v>
      </c>
      <c r="H25" s="55">
        <f>+Tableau7[[#This Row],[SIEGE]]</f>
        <v>1251461.32</v>
      </c>
      <c r="I25" s="55">
        <f>+Tableau8[[#This Row],[SIEGE]]</f>
        <v>1258398.22</v>
      </c>
      <c r="J25" s="55">
        <f>+Tableau9[[#This Row],[SIEGE]]</f>
        <v>1250484.26</v>
      </c>
      <c r="K25" s="55">
        <f>+Tableau10[[#This Row],[SIEGE]]</f>
        <v>1249340.03</v>
      </c>
      <c r="L25" s="55">
        <f>+Tableau11[[#This Row],[SIEGE]]</f>
        <v>1250639.04</v>
      </c>
      <c r="M25" s="55">
        <f>+Tableau12[[#This Row],[SIEGE]]</f>
        <v>1017407.5</v>
      </c>
      <c r="N25" s="55">
        <f>+Tableau13[[#This Row],[SIEGE]]</f>
        <v>1071556.3799999999</v>
      </c>
      <c r="O25" s="55">
        <f t="shared" si="0"/>
        <v>14586984.25</v>
      </c>
    </row>
    <row r="26" spans="1:15" s="32" customFormat="1" ht="30.75" customHeight="1" thickBot="1" x14ac:dyDescent="0.4">
      <c r="A26" s="193">
        <v>78</v>
      </c>
      <c r="B26" s="82" t="s">
        <v>21</v>
      </c>
      <c r="C26" s="59">
        <f>+Tableau2[[#This Row],[SIEGE]]</f>
        <v>0</v>
      </c>
      <c r="D26" s="59">
        <f>+Tableau3[[#This Row],[SIEGE]]</f>
        <v>0</v>
      </c>
      <c r="E26" s="59">
        <f>+Tableau4[[#This Row],[SIEGE]]</f>
        <v>0</v>
      </c>
      <c r="F26" s="59">
        <f>+Tableau5[[#This Row],[SIEGE]]</f>
        <v>0</v>
      </c>
      <c r="G26" s="59">
        <f>+Tableau6[[#This Row],[SIEGE]]</f>
        <v>0</v>
      </c>
      <c r="H26" s="59">
        <f>+Tableau7[[#This Row],[SIEGE]]</f>
        <v>0</v>
      </c>
      <c r="I26" s="59">
        <f>+Tableau8[[#This Row],[SIEGE]]</f>
        <v>0</v>
      </c>
      <c r="J26" s="59">
        <f>+Tableau9[[#This Row],[SIEGE]]</f>
        <v>0</v>
      </c>
      <c r="K26" s="59">
        <f>+Tableau10[[#This Row],[SIEGE]]</f>
        <v>0</v>
      </c>
      <c r="L26" s="59">
        <f>+Tableau11[[#This Row],[SIEGE]]</f>
        <v>0</v>
      </c>
      <c r="M26" s="59">
        <f>+Tableau12[[#This Row],[SIEGE]]</f>
        <v>0</v>
      </c>
      <c r="N26" s="59">
        <f>+Tableau13[[#This Row],[SIEGE]]</f>
        <v>0</v>
      </c>
      <c r="O26" s="59">
        <f t="shared" si="0"/>
        <v>0</v>
      </c>
    </row>
    <row r="27" spans="1:15" s="27" customFormat="1" ht="30.75" customHeight="1" thickBot="1" x14ac:dyDescent="0.4">
      <c r="A27" s="194" t="s">
        <v>22</v>
      </c>
      <c r="B27" s="85" t="s">
        <v>23</v>
      </c>
      <c r="C27" s="62">
        <f>+Tableau2[[#This Row],[SIEGE]]</f>
        <v>3044641.1899999995</v>
      </c>
      <c r="D27" s="62">
        <f>+Tableau3[[#This Row],[SIEGE]]</f>
        <v>-15279397.209999999</v>
      </c>
      <c r="E27" s="62">
        <f>+Tableau4[[#This Row],[SIEGE]]</f>
        <v>62990401.829999998</v>
      </c>
      <c r="F27" s="62">
        <f>+Tableau5[[#This Row],[SIEGE]]</f>
        <v>-20727648.210000001</v>
      </c>
      <c r="G27" s="62">
        <f>+Tableau6[[#This Row],[SIEGE]]</f>
        <v>-18657781.220000003</v>
      </c>
      <c r="H27" s="62">
        <f>+Tableau7[[#This Row],[SIEGE]]</f>
        <v>-14580185.000000002</v>
      </c>
      <c r="I27" s="62">
        <f>+Tableau8[[#This Row],[SIEGE]]</f>
        <v>-20028527.669999998</v>
      </c>
      <c r="J27" s="62">
        <f>+Tableau9[[#This Row],[SIEGE]]</f>
        <v>-15078523.010000002</v>
      </c>
      <c r="K27" s="62">
        <f>+Tableau10[[#This Row],[SIEGE]]</f>
        <v>-16880552.43</v>
      </c>
      <c r="L27" s="62">
        <f>+Tableau11[[#This Row],[SIEGE]]</f>
        <v>-13178325.91</v>
      </c>
      <c r="M27" s="62">
        <f>+Tableau12[[#This Row],[SIEGE]]</f>
        <v>-18146428.440000001</v>
      </c>
      <c r="N27" s="62">
        <f>+Tableau13[[#This Row],[SIEGE]]</f>
        <v>-17957960.580000002</v>
      </c>
      <c r="O27" s="62">
        <f t="shared" si="0"/>
        <v>-104480286.66</v>
      </c>
    </row>
    <row r="28" spans="1:15" s="32" customFormat="1" ht="30.75" customHeight="1" x14ac:dyDescent="0.35">
      <c r="A28" s="192">
        <v>76</v>
      </c>
      <c r="B28" s="84" t="s">
        <v>24</v>
      </c>
      <c r="C28" s="52">
        <f>+Tableau2[[#This Row],[SIEGE]]</f>
        <v>0</v>
      </c>
      <c r="D28" s="52">
        <f>+Tableau3[[#This Row],[SIEGE]]</f>
        <v>4170000</v>
      </c>
      <c r="E28" s="52">
        <f>+Tableau4[[#This Row],[SIEGE]]</f>
        <v>0</v>
      </c>
      <c r="F28" s="52">
        <f>+Tableau5[[#This Row],[SIEGE]]</f>
        <v>0</v>
      </c>
      <c r="G28" s="52">
        <f>+Tableau6[[#This Row],[SIEGE]]</f>
        <v>0</v>
      </c>
      <c r="H28" s="52">
        <f>+Tableau7[[#This Row],[SIEGE]]</f>
        <v>147010271.78</v>
      </c>
      <c r="I28" s="52">
        <f>+Tableau8[[#This Row],[SIEGE]]</f>
        <v>0</v>
      </c>
      <c r="J28" s="52">
        <f>+Tableau9[[#This Row],[SIEGE]]</f>
        <v>0</v>
      </c>
      <c r="K28" s="52">
        <f>+Tableau10[[#This Row],[SIEGE]]</f>
        <v>0</v>
      </c>
      <c r="L28" s="52">
        <f>+Tableau11[[#This Row],[SIEGE]]</f>
        <v>0</v>
      </c>
      <c r="M28" s="52">
        <f>+Tableau12[[#This Row],[SIEGE]]</f>
        <v>0</v>
      </c>
      <c r="N28" s="52">
        <f>+Tableau13[[#This Row],[SIEGE]]</f>
        <v>0</v>
      </c>
      <c r="O28" s="52">
        <f t="shared" si="0"/>
        <v>151180271.78</v>
      </c>
    </row>
    <row r="29" spans="1:15" s="32" customFormat="1" ht="30.75" customHeight="1" thickBot="1" x14ac:dyDescent="0.4">
      <c r="A29" s="193">
        <v>66</v>
      </c>
      <c r="B29" s="82" t="s">
        <v>25</v>
      </c>
      <c r="C29" s="59">
        <f>+Tableau2[[#This Row],[SIEGE]]</f>
        <v>0</v>
      </c>
      <c r="D29" s="59">
        <f>+Tableau3[[#This Row],[SIEGE]]</f>
        <v>0</v>
      </c>
      <c r="E29" s="59">
        <f>+Tableau4[[#This Row],[SIEGE]]</f>
        <v>0</v>
      </c>
      <c r="F29" s="59">
        <f>+Tableau5[[#This Row],[SIEGE]]</f>
        <v>0</v>
      </c>
      <c r="G29" s="59">
        <f>+Tableau6[[#This Row],[SIEGE]]</f>
        <v>0</v>
      </c>
      <c r="H29" s="59">
        <f>+Tableau7[[#This Row],[SIEGE]]</f>
        <v>0</v>
      </c>
      <c r="I29" s="59">
        <f>+Tableau8[[#This Row],[SIEGE]]</f>
        <v>0</v>
      </c>
      <c r="J29" s="59">
        <f>+Tableau9[[#This Row],[SIEGE]]</f>
        <v>0</v>
      </c>
      <c r="K29" s="59">
        <f>+Tableau10[[#This Row],[SIEGE]]</f>
        <v>0</v>
      </c>
      <c r="L29" s="59">
        <f>+Tableau11[[#This Row],[SIEGE]]</f>
        <v>1375455.65</v>
      </c>
      <c r="M29" s="59">
        <f>+Tableau12[[#This Row],[SIEGE]]</f>
        <v>0</v>
      </c>
      <c r="N29" s="59">
        <f>+Tableau13[[#This Row],[SIEGE]]</f>
        <v>0</v>
      </c>
      <c r="O29" s="59">
        <f t="shared" si="0"/>
        <v>1375455.65</v>
      </c>
    </row>
    <row r="30" spans="1:15" s="27" customFormat="1" ht="30.75" customHeight="1" thickBot="1" x14ac:dyDescent="0.4">
      <c r="A30" s="194" t="s">
        <v>26</v>
      </c>
      <c r="B30" s="85" t="s">
        <v>27</v>
      </c>
      <c r="C30" s="62">
        <f>+Tableau2[[#This Row],[SIEGE]]</f>
        <v>0</v>
      </c>
      <c r="D30" s="62">
        <f>+Tableau3[[#This Row],[SIEGE]]</f>
        <v>4170000</v>
      </c>
      <c r="E30" s="62">
        <f>+Tableau4[[#This Row],[SIEGE]]</f>
        <v>0</v>
      </c>
      <c r="F30" s="62">
        <f>+Tableau5[[#This Row],[SIEGE]]</f>
        <v>0</v>
      </c>
      <c r="G30" s="62">
        <f>+Tableau6[[#This Row],[SIEGE]]</f>
        <v>0</v>
      </c>
      <c r="H30" s="62">
        <f>+Tableau7[[#This Row],[SIEGE]]</f>
        <v>147010271.78</v>
      </c>
      <c r="I30" s="62">
        <f>+Tableau8[[#This Row],[SIEGE]]</f>
        <v>0</v>
      </c>
      <c r="J30" s="62">
        <f>+Tableau9[[#This Row],[SIEGE]]</f>
        <v>0</v>
      </c>
      <c r="K30" s="62">
        <f>+Tableau10[[#This Row],[SIEGE]]</f>
        <v>0</v>
      </c>
      <c r="L30" s="62">
        <f>+Tableau11[[#This Row],[SIEGE]]</f>
        <v>-1375455.65</v>
      </c>
      <c r="M30" s="62">
        <f>+Tableau12[[#This Row],[SIEGE]]</f>
        <v>0</v>
      </c>
      <c r="N30" s="62">
        <f>+Tableau13[[#This Row],[SIEGE]]</f>
        <v>0</v>
      </c>
      <c r="O30" s="62">
        <f t="shared" si="0"/>
        <v>149804816.13</v>
      </c>
    </row>
    <row r="31" spans="1:15" s="27" customFormat="1" ht="30.75" customHeight="1" thickBot="1" x14ac:dyDescent="0.4">
      <c r="A31" s="194" t="s">
        <v>28</v>
      </c>
      <c r="B31" s="85" t="s">
        <v>29</v>
      </c>
      <c r="C31" s="62">
        <f>+Tableau2[[#This Row],[SIEGE]]</f>
        <v>3044641.1899999995</v>
      </c>
      <c r="D31" s="62">
        <f>+Tableau3[[#This Row],[SIEGE]]</f>
        <v>-11109397.209999999</v>
      </c>
      <c r="E31" s="62">
        <f>+Tableau4[[#This Row],[SIEGE]]</f>
        <v>62990401.829999998</v>
      </c>
      <c r="F31" s="62">
        <f>+Tableau5[[#This Row],[SIEGE]]</f>
        <v>-20727648.210000001</v>
      </c>
      <c r="G31" s="62">
        <f>+Tableau6[[#This Row],[SIEGE]]</f>
        <v>-18657781.220000003</v>
      </c>
      <c r="H31" s="62">
        <f>+Tableau7[[#This Row],[SIEGE]]</f>
        <v>132430086.78</v>
      </c>
      <c r="I31" s="62">
        <f>+Tableau8[[#This Row],[SIEGE]]</f>
        <v>-20028527.669999998</v>
      </c>
      <c r="J31" s="62">
        <f>+Tableau9[[#This Row],[SIEGE]]</f>
        <v>-15078523.010000002</v>
      </c>
      <c r="K31" s="62">
        <f>+Tableau10[[#This Row],[SIEGE]]</f>
        <v>-16880552.43</v>
      </c>
      <c r="L31" s="62">
        <f>+Tableau11[[#This Row],[SIEGE]]</f>
        <v>-14553781.560000001</v>
      </c>
      <c r="M31" s="62">
        <f>+Tableau12[[#This Row],[SIEGE]]</f>
        <v>-18146428.440000001</v>
      </c>
      <c r="N31" s="62">
        <f>+Tableau13[[#This Row],[SIEGE]]</f>
        <v>-17957960.580000002</v>
      </c>
      <c r="O31" s="62">
        <f t="shared" si="0"/>
        <v>45324529.469999984</v>
      </c>
    </row>
    <row r="32" spans="1:15" s="32" customFormat="1" ht="30.75" customHeight="1" x14ac:dyDescent="0.35">
      <c r="A32" s="192" t="s">
        <v>30</v>
      </c>
      <c r="B32" s="84" t="s">
        <v>31</v>
      </c>
      <c r="C32" s="52">
        <f>+Tableau2[[#This Row],[SIEGE]]</f>
        <v>0</v>
      </c>
      <c r="D32" s="52">
        <f>+Tableau3[[#This Row],[SIEGE]]</f>
        <v>0</v>
      </c>
      <c r="E32" s="52">
        <f>+Tableau4[[#This Row],[SIEGE]]</f>
        <v>0</v>
      </c>
      <c r="F32" s="52">
        <f>+Tableau5[[#This Row],[SIEGE]]</f>
        <v>0</v>
      </c>
      <c r="G32" s="52">
        <f>+Tableau6[[#This Row],[SIEGE]]</f>
        <v>0</v>
      </c>
      <c r="H32" s="52">
        <f>+Tableau7[[#This Row],[SIEGE]]</f>
        <v>0</v>
      </c>
      <c r="I32" s="52">
        <f>+Tableau8[[#This Row],[SIEGE]]</f>
        <v>-10000</v>
      </c>
      <c r="J32" s="52">
        <f>+Tableau9[[#This Row],[SIEGE]]</f>
        <v>0</v>
      </c>
      <c r="K32" s="52">
        <f>+Tableau10[[#This Row],[SIEGE]]</f>
        <v>0</v>
      </c>
      <c r="L32" s="52">
        <f>+Tableau11[[#This Row],[SIEGE]]</f>
        <v>0</v>
      </c>
      <c r="M32" s="52">
        <f>+Tableau12[[#This Row],[SIEGE]]</f>
        <v>0</v>
      </c>
      <c r="N32" s="52">
        <f>+Tableau13[[#This Row],[SIEGE]]</f>
        <v>0</v>
      </c>
      <c r="O32" s="52">
        <f t="shared" si="0"/>
        <v>-10000</v>
      </c>
    </row>
    <row r="33" spans="1:16" s="32" customFormat="1" ht="30.75" customHeight="1" x14ac:dyDescent="0.35">
      <c r="A33" s="196" t="s">
        <v>32</v>
      </c>
      <c r="B33" s="81" t="s">
        <v>33</v>
      </c>
      <c r="C33" s="55">
        <f>+Tableau2[[#This Row],[SIEGE]]</f>
        <v>0</v>
      </c>
      <c r="D33" s="55">
        <f>+Tableau3[[#This Row],[SIEGE]]</f>
        <v>0</v>
      </c>
      <c r="E33" s="55">
        <f>+Tableau4[[#This Row],[SIEGE]]</f>
        <v>0</v>
      </c>
      <c r="F33" s="55">
        <f>+Tableau5[[#This Row],[SIEGE]]</f>
        <v>0</v>
      </c>
      <c r="G33" s="55">
        <f>+Tableau6[[#This Row],[SIEGE]]</f>
        <v>0</v>
      </c>
      <c r="H33" s="55">
        <f>+Tableau7[[#This Row],[SIEGE]]</f>
        <v>0</v>
      </c>
      <c r="I33" s="55">
        <f>+Tableau8[[#This Row],[SIEGE]]</f>
        <v>0</v>
      </c>
      <c r="J33" s="55">
        <f>+Tableau9[[#This Row],[SIEGE]]</f>
        <v>0</v>
      </c>
      <c r="K33" s="55">
        <f>+Tableau10[[#This Row],[SIEGE]]</f>
        <v>0</v>
      </c>
      <c r="L33" s="55">
        <f>+Tableau11[[#This Row],[SIEGE]]</f>
        <v>0</v>
      </c>
      <c r="M33" s="55">
        <f>+Tableau12[[#This Row],[SIEGE]]</f>
        <v>0</v>
      </c>
      <c r="N33" s="55">
        <f>+Tableau13[[#This Row],[SIEGE]]</f>
        <v>0</v>
      </c>
      <c r="O33" s="55">
        <f t="shared" si="0"/>
        <v>0</v>
      </c>
    </row>
    <row r="34" spans="1:16" s="37" customFormat="1" ht="30.75" customHeight="1" x14ac:dyDescent="0.35">
      <c r="A34" s="197"/>
      <c r="B34" s="88" t="s">
        <v>45</v>
      </c>
      <c r="C34" s="75">
        <f>+Tableau2[[#This Row],[SIEGE]]</f>
        <v>18000000</v>
      </c>
      <c r="D34" s="75">
        <f>+Tableau3[[#This Row],[SIEGE]]</f>
        <v>4170000</v>
      </c>
      <c r="E34" s="75">
        <f>+Tableau4[[#This Row],[SIEGE]]</f>
        <v>79536884.579999998</v>
      </c>
      <c r="F34" s="75">
        <f>+Tableau5[[#This Row],[SIEGE]]</f>
        <v>0.03</v>
      </c>
      <c r="G34" s="75">
        <f>+Tableau6[[#This Row],[SIEGE]]</f>
        <v>60000</v>
      </c>
      <c r="H34" s="75">
        <f>+Tableau7[[#This Row],[SIEGE]]</f>
        <v>148360272.80000001</v>
      </c>
      <c r="I34" s="75">
        <f>+Tableau8[[#This Row],[SIEGE]]</f>
        <v>3000000</v>
      </c>
      <c r="J34" s="75">
        <f>+Tableau9[[#This Row],[SIEGE]]</f>
        <v>3000001.9</v>
      </c>
      <c r="K34" s="75">
        <f>+Tableau10[[#This Row],[SIEGE]]</f>
        <v>4414058</v>
      </c>
      <c r="L34" s="75">
        <f>+Tableau11[[#This Row],[SIEGE]]</f>
        <v>3000000</v>
      </c>
      <c r="M34" s="75">
        <f>+Tableau12[[#This Row],[SIEGE]]</f>
        <v>3317295.9</v>
      </c>
      <c r="N34" s="75">
        <f>+Tableau13[[#This Row],[SIEGE]]</f>
        <v>4350000</v>
      </c>
      <c r="O34" s="75">
        <f t="shared" si="0"/>
        <v>271208513.21000004</v>
      </c>
    </row>
    <row r="35" spans="1:16" s="37" customFormat="1" ht="30.75" customHeight="1" thickBot="1" x14ac:dyDescent="0.4">
      <c r="A35" s="198"/>
      <c r="B35" s="89" t="s">
        <v>46</v>
      </c>
      <c r="C35" s="77">
        <f t="shared" ref="C35:O35" si="2">+C16+C18+C19+C25+C22+C29+C33+C32</f>
        <v>14955358.810000001</v>
      </c>
      <c r="D35" s="77">
        <f t="shared" si="2"/>
        <v>15279397.209999999</v>
      </c>
      <c r="E35" s="77">
        <f t="shared" si="2"/>
        <v>16546482.75</v>
      </c>
      <c r="F35" s="77">
        <f t="shared" si="2"/>
        <v>20727648.240000002</v>
      </c>
      <c r="G35" s="77">
        <f t="shared" si="2"/>
        <v>18717781.220000003</v>
      </c>
      <c r="H35" s="77">
        <f t="shared" si="2"/>
        <v>15930186.020000001</v>
      </c>
      <c r="I35" s="77">
        <f t="shared" si="2"/>
        <v>23018527.669999998</v>
      </c>
      <c r="J35" s="77">
        <f t="shared" si="2"/>
        <v>18078524.910000004</v>
      </c>
      <c r="K35" s="77">
        <f t="shared" si="2"/>
        <v>21294610.430000003</v>
      </c>
      <c r="L35" s="77">
        <f t="shared" si="2"/>
        <v>17553781.559999999</v>
      </c>
      <c r="M35" s="77">
        <f t="shared" si="2"/>
        <v>21463724.34</v>
      </c>
      <c r="N35" s="77">
        <f t="shared" si="2"/>
        <v>22307960.580000002</v>
      </c>
      <c r="O35" s="77">
        <f t="shared" si="2"/>
        <v>225873983.74000001</v>
      </c>
    </row>
    <row r="36" spans="1:16" s="27" customFormat="1" ht="30.75" customHeight="1" thickBot="1" x14ac:dyDescent="0.4">
      <c r="A36" s="194" t="s">
        <v>34</v>
      </c>
      <c r="B36" s="85" t="s">
        <v>35</v>
      </c>
      <c r="C36" s="62">
        <f>+Tableau2[[#This Row],[SIEGE]]</f>
        <v>3044641.1899999995</v>
      </c>
      <c r="D36" s="62">
        <f>+Tableau3[[#This Row],[SIEGE]]</f>
        <v>-11109397.209999999</v>
      </c>
      <c r="E36" s="62">
        <f>+Tableau4[[#This Row],[SIEGE]]</f>
        <v>62990401.829999998</v>
      </c>
      <c r="F36" s="62">
        <f>+Tableau5[[#This Row],[SIEGE]]</f>
        <v>-20727648.210000001</v>
      </c>
      <c r="G36" s="62">
        <f>+Tableau6[[#This Row],[SIEGE]]</f>
        <v>-18657781.220000003</v>
      </c>
      <c r="H36" s="62">
        <f>+Tableau7[[#This Row],[SIEGE]]</f>
        <v>132430086.78000002</v>
      </c>
      <c r="I36" s="62">
        <f>+Tableau8[[#This Row],[SIEGE]]</f>
        <v>-20038527.669999998</v>
      </c>
      <c r="J36" s="62">
        <f>+Tableau9[[#This Row],[SIEGE]]</f>
        <v>-15078523.010000004</v>
      </c>
      <c r="K36" s="62">
        <f>+Tableau10[[#This Row],[SIEGE]]</f>
        <v>-16880552.430000003</v>
      </c>
      <c r="L36" s="62">
        <f>+Tableau11[[#This Row],[SIEGE]]</f>
        <v>-14553781.559999999</v>
      </c>
      <c r="M36" s="62">
        <f>+Tableau12[[#This Row],[SIEGE]]</f>
        <v>-18146428.440000001</v>
      </c>
      <c r="N36" s="62">
        <f>+Tableau13[[#This Row],[SIEGE]]</f>
        <v>-17957960.580000002</v>
      </c>
      <c r="O36" s="62">
        <f t="shared" si="0"/>
        <v>45314529.470000014</v>
      </c>
      <c r="P36" s="237"/>
    </row>
    <row r="37" spans="1:16" s="32" customFormat="1" ht="30.75" customHeight="1" x14ac:dyDescent="0.35">
      <c r="A37" s="192">
        <v>77</v>
      </c>
      <c r="B37" s="84" t="s">
        <v>36</v>
      </c>
      <c r="C37" s="52">
        <f>+Tableau2[[#This Row],[SIEGE]]</f>
        <v>0</v>
      </c>
      <c r="D37" s="52">
        <f>+Tableau3[[#This Row],[SIEGE]]</f>
        <v>0</v>
      </c>
      <c r="E37" s="52">
        <f>+Tableau4[[#This Row],[SIEGE]]</f>
        <v>0</v>
      </c>
      <c r="F37" s="52">
        <f>+Tableau5[[#This Row],[SIEGE]]</f>
        <v>0</v>
      </c>
      <c r="G37" s="52">
        <f>+Tableau6[[#This Row],[SIEGE]]</f>
        <v>0</v>
      </c>
      <c r="H37" s="52">
        <f>+Tableau7[[#This Row],[SIEGE]]</f>
        <v>0</v>
      </c>
      <c r="I37" s="52">
        <f>+Tableau8[[#This Row],[SIEGE]]</f>
        <v>0</v>
      </c>
      <c r="J37" s="52">
        <f>+Tableau9[[#This Row],[SIEGE]]</f>
        <v>0</v>
      </c>
      <c r="K37" s="52">
        <f>+Tableau10[[#This Row],[SIEGE]]</f>
        <v>0</v>
      </c>
      <c r="L37" s="52">
        <f>+Tableau11[[#This Row],[SIEGE]]</f>
        <v>0</v>
      </c>
      <c r="M37" s="52">
        <f>+Tableau12[[#This Row],[SIEGE]]</f>
        <v>0</v>
      </c>
      <c r="N37" s="52">
        <f>+Tableau13[[#This Row],[SIEGE]]</f>
        <v>0</v>
      </c>
      <c r="O37" s="52">
        <f t="shared" si="0"/>
        <v>0</v>
      </c>
    </row>
    <row r="38" spans="1:16" s="32" customFormat="1" ht="30.75" customHeight="1" thickBot="1" x14ac:dyDescent="0.4">
      <c r="A38" s="193">
        <v>67</v>
      </c>
      <c r="B38" s="82" t="s">
        <v>37</v>
      </c>
      <c r="C38" s="59">
        <f>+Tableau2[[#This Row],[SIEGE]]</f>
        <v>0</v>
      </c>
      <c r="D38" s="59">
        <f>+Tableau3[[#This Row],[SIEGE]]</f>
        <v>0</v>
      </c>
      <c r="E38" s="59">
        <f>+Tableau4[[#This Row],[SIEGE]]</f>
        <v>0</v>
      </c>
      <c r="F38" s="59">
        <f>+Tableau5[[#This Row],[SIEGE]]</f>
        <v>0</v>
      </c>
      <c r="G38" s="59">
        <f>+Tableau6[[#This Row],[SIEGE]]</f>
        <v>0</v>
      </c>
      <c r="H38" s="59">
        <f>+Tableau7[[#This Row],[SIEGE]]</f>
        <v>0</v>
      </c>
      <c r="I38" s="59">
        <f>+Tableau8[[#This Row],[SIEGE]]</f>
        <v>0</v>
      </c>
      <c r="J38" s="59">
        <f>+Tableau9[[#This Row],[SIEGE]]</f>
        <v>0</v>
      </c>
      <c r="K38" s="59">
        <f>+Tableau10[[#This Row],[SIEGE]]</f>
        <v>0</v>
      </c>
      <c r="L38" s="59">
        <f>+Tableau11[[#This Row],[SIEGE]]</f>
        <v>0</v>
      </c>
      <c r="M38" s="59">
        <f>+Tableau12[[#This Row],[SIEGE]]</f>
        <v>0</v>
      </c>
      <c r="N38" s="59">
        <f>+Tableau13[[#This Row],[SIEGE]]</f>
        <v>0</v>
      </c>
      <c r="O38" s="59">
        <f t="shared" si="0"/>
        <v>0</v>
      </c>
    </row>
    <row r="39" spans="1:16" s="27" customFormat="1" ht="30.75" customHeight="1" thickBot="1" x14ac:dyDescent="0.4">
      <c r="A39" s="194" t="s">
        <v>38</v>
      </c>
      <c r="B39" s="85" t="s">
        <v>39</v>
      </c>
      <c r="C39" s="62">
        <f>+Tableau2[[#This Row],[SIEGE]]</f>
        <v>0</v>
      </c>
      <c r="D39" s="62">
        <f>+Tableau3[[#This Row],[SIEGE]]</f>
        <v>0</v>
      </c>
      <c r="E39" s="62">
        <f>+Tableau4[[#This Row],[SIEGE]]</f>
        <v>0</v>
      </c>
      <c r="F39" s="62">
        <f>+Tableau5[[#This Row],[SIEGE]]</f>
        <v>0</v>
      </c>
      <c r="G39" s="62">
        <f>+Tableau6[[#This Row],[SIEGE]]</f>
        <v>0</v>
      </c>
      <c r="H39" s="62">
        <f>+Tableau7[[#This Row],[SIEGE]]</f>
        <v>0</v>
      </c>
      <c r="I39" s="62">
        <f>+Tableau8[[#This Row],[SIEGE]]</f>
        <v>0</v>
      </c>
      <c r="J39" s="62">
        <f>+Tableau9[[#This Row],[SIEGE]]</f>
        <v>0</v>
      </c>
      <c r="K39" s="62">
        <f>+Tableau10[[#This Row],[SIEGE]]</f>
        <v>0</v>
      </c>
      <c r="L39" s="62">
        <f>+Tableau11[[#This Row],[SIEGE]]</f>
        <v>0</v>
      </c>
      <c r="M39" s="62">
        <f>+Tableau12[[#This Row],[SIEGE]]</f>
        <v>0</v>
      </c>
      <c r="N39" s="62">
        <f>+Tableau13[[#This Row],[SIEGE]]</f>
        <v>0</v>
      </c>
      <c r="O39" s="62">
        <f t="shared" si="0"/>
        <v>0</v>
      </c>
    </row>
    <row r="40" spans="1:16" s="27" customFormat="1" ht="30.6" customHeight="1" thickBot="1" x14ac:dyDescent="0.4">
      <c r="A40" s="194" t="s">
        <v>40</v>
      </c>
      <c r="B40" s="85" t="s">
        <v>41</v>
      </c>
      <c r="C40" s="62">
        <f>+Tableau2[[#This Row],[SIEGE]]</f>
        <v>3044641.1899999995</v>
      </c>
      <c r="D40" s="62">
        <f>+Tableau3[[#This Row],[SIEGE]]</f>
        <v>-11109397.209999999</v>
      </c>
      <c r="E40" s="62">
        <f>+Tableau4[[#This Row],[SIEGE]]</f>
        <v>62990401.829999998</v>
      </c>
      <c r="F40" s="62">
        <f>+Tableau5[[#This Row],[SIEGE]]</f>
        <v>-20727648.210000001</v>
      </c>
      <c r="G40" s="62">
        <f>+Tableau6[[#This Row],[SIEGE]]</f>
        <v>-18657781.220000003</v>
      </c>
      <c r="H40" s="62">
        <f>+Tableau7[[#This Row],[SIEGE]]</f>
        <v>132430086.78000002</v>
      </c>
      <c r="I40" s="62">
        <f>+Tableau8[[#This Row],[SIEGE]]</f>
        <v>-20038527.669999998</v>
      </c>
      <c r="J40" s="62">
        <f>+Tableau9[[#This Row],[SIEGE]]</f>
        <v>-15078523.010000004</v>
      </c>
      <c r="K40" s="62">
        <f>+Tableau10[[#This Row],[SIEGE]]</f>
        <v>-16880552.430000003</v>
      </c>
      <c r="L40" s="62">
        <f>+Tableau11[[#This Row],[SIEGE]]</f>
        <v>-14553781.559999999</v>
      </c>
      <c r="M40" s="62">
        <f>+Tableau12[[#This Row],[SIEGE]]</f>
        <v>-18146428.440000001</v>
      </c>
      <c r="N40" s="62">
        <f>+Tableau13[[#This Row],[SIEGE]]</f>
        <v>-17957960.580000002</v>
      </c>
      <c r="O40" s="62">
        <f t="shared" si="0"/>
        <v>45314529.470000014</v>
      </c>
    </row>
    <row r="41" spans="1:16" s="27" customFormat="1" ht="11.4" customHeight="1" thickBot="1" x14ac:dyDescent="0.4">
      <c r="A41" s="90"/>
      <c r="B41" s="90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</row>
    <row r="42" spans="1:16" s="27" customFormat="1" ht="18.600000000000001" thickBot="1" x14ac:dyDescent="0.4">
      <c r="A42" s="348" t="s">
        <v>51</v>
      </c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50"/>
    </row>
    <row r="43" spans="1:16" s="37" customFormat="1" ht="18" x14ac:dyDescent="0.35">
      <c r="A43" s="199">
        <v>1</v>
      </c>
      <c r="B43" s="200" t="s">
        <v>52</v>
      </c>
      <c r="C43" s="201">
        <f t="shared" ref="C43:O43" si="3">+C12/C7</f>
        <v>1</v>
      </c>
      <c r="D43" s="201" t="e">
        <f t="shared" si="3"/>
        <v>#DIV/0!</v>
      </c>
      <c r="E43" s="201">
        <f t="shared" si="3"/>
        <v>1</v>
      </c>
      <c r="F43" s="201" t="e">
        <f t="shared" si="3"/>
        <v>#DIV/0!</v>
      </c>
      <c r="G43" s="201" t="e">
        <f t="shared" si="3"/>
        <v>#DIV/0!</v>
      </c>
      <c r="H43" s="201">
        <f t="shared" si="3"/>
        <v>1</v>
      </c>
      <c r="I43" s="201">
        <f t="shared" si="3"/>
        <v>1</v>
      </c>
      <c r="J43" s="201">
        <f t="shared" si="3"/>
        <v>1</v>
      </c>
      <c r="K43" s="201">
        <f t="shared" si="3"/>
        <v>1</v>
      </c>
      <c r="L43" s="201">
        <f t="shared" si="3"/>
        <v>1</v>
      </c>
      <c r="M43" s="201">
        <f t="shared" si="3"/>
        <v>1</v>
      </c>
      <c r="N43" s="201">
        <f t="shared" si="3"/>
        <v>1</v>
      </c>
      <c r="O43" s="201">
        <f t="shared" si="3"/>
        <v>1</v>
      </c>
    </row>
    <row r="44" spans="1:16" s="37" customFormat="1" ht="18" x14ac:dyDescent="0.35">
      <c r="A44" s="92">
        <v>2</v>
      </c>
      <c r="B44" s="93" t="s">
        <v>53</v>
      </c>
      <c r="C44" s="95">
        <f t="shared" ref="C44:O44" si="4">+C13/C7</f>
        <v>2.5860895555555555E-2</v>
      </c>
      <c r="D44" s="95" t="e">
        <f t="shared" si="4"/>
        <v>#DIV/0!</v>
      </c>
      <c r="E44" s="95">
        <f t="shared" si="4"/>
        <v>0.48263898518518517</v>
      </c>
      <c r="F44" s="95" t="e">
        <f t="shared" si="4"/>
        <v>#DIV/0!</v>
      </c>
      <c r="G44" s="95" t="e">
        <f t="shared" si="4"/>
        <v>#DIV/0!</v>
      </c>
      <c r="H44" s="95">
        <f t="shared" si="4"/>
        <v>0.19615017777777777</v>
      </c>
      <c r="I44" s="95">
        <f t="shared" si="4"/>
        <v>6.6480853333333326E-2</v>
      </c>
      <c r="J44" s="95">
        <f t="shared" si="4"/>
        <v>0.19885537666666667</v>
      </c>
      <c r="K44" s="95">
        <f t="shared" si="4"/>
        <v>-0.12680195402298849</v>
      </c>
      <c r="L44" s="95">
        <f t="shared" si="4"/>
        <v>0.10165896999999999</v>
      </c>
      <c r="M44" s="95">
        <f t="shared" si="4"/>
        <v>0.15548682333333333</v>
      </c>
      <c r="N44" s="95">
        <f t="shared" si="4"/>
        <v>0.25806586896551725</v>
      </c>
      <c r="O44" s="95">
        <f t="shared" si="4"/>
        <v>0.14084777198067636</v>
      </c>
    </row>
    <row r="45" spans="1:16" s="36" customFormat="1" ht="18" x14ac:dyDescent="0.35">
      <c r="A45" s="223">
        <v>3</v>
      </c>
      <c r="B45" s="224" t="s">
        <v>56</v>
      </c>
      <c r="C45" s="140">
        <f t="shared" ref="C45:O45" si="5">+C13/C12</f>
        <v>2.5860895555555555E-2</v>
      </c>
      <c r="D45" s="140" t="e">
        <f t="shared" si="5"/>
        <v>#DIV/0!</v>
      </c>
      <c r="E45" s="140">
        <f t="shared" si="5"/>
        <v>0.48263898518518517</v>
      </c>
      <c r="F45" s="140" t="e">
        <f t="shared" si="5"/>
        <v>#DIV/0!</v>
      </c>
      <c r="G45" s="140" t="e">
        <f t="shared" si="5"/>
        <v>#DIV/0!</v>
      </c>
      <c r="H45" s="140">
        <f t="shared" si="5"/>
        <v>0.19615017777777777</v>
      </c>
      <c r="I45" s="140">
        <f t="shared" si="5"/>
        <v>6.6480853333333326E-2</v>
      </c>
      <c r="J45" s="140">
        <f t="shared" si="5"/>
        <v>0.19885537666666667</v>
      </c>
      <c r="K45" s="140">
        <f t="shared" si="5"/>
        <v>-0.12680195402298849</v>
      </c>
      <c r="L45" s="140">
        <f t="shared" si="5"/>
        <v>0.10165896999999999</v>
      </c>
      <c r="M45" s="140">
        <f t="shared" si="5"/>
        <v>0.15548682333333333</v>
      </c>
      <c r="N45" s="140">
        <f t="shared" si="5"/>
        <v>0.25806586896551725</v>
      </c>
      <c r="O45" s="140">
        <f t="shared" si="5"/>
        <v>0.14084777198067636</v>
      </c>
    </row>
    <row r="46" spans="1:16" s="37" customFormat="1" ht="18" x14ac:dyDescent="0.35">
      <c r="A46" s="92">
        <v>4</v>
      </c>
      <c r="B46" s="93" t="s">
        <v>57</v>
      </c>
      <c r="C46" s="95">
        <f t="shared" ref="C46:O46" si="6">+C16/C12</f>
        <v>0.14252700444444441</v>
      </c>
      <c r="D46" s="95" t="e">
        <f t="shared" si="6"/>
        <v>#DIV/0!</v>
      </c>
      <c r="E46" s="95">
        <f t="shared" si="6"/>
        <v>2.5603719259259261</v>
      </c>
      <c r="F46" s="95" t="e">
        <f t="shared" si="6"/>
        <v>#DIV/0!</v>
      </c>
      <c r="G46" s="95" t="e">
        <f t="shared" si="6"/>
        <v>#DIV/0!</v>
      </c>
      <c r="H46" s="95">
        <f t="shared" si="6"/>
        <v>2.7459492814814817</v>
      </c>
      <c r="I46" s="95">
        <f t="shared" si="6"/>
        <v>2.8403758366666665</v>
      </c>
      <c r="J46" s="95">
        <f t="shared" si="6"/>
        <v>0.64317093666666669</v>
      </c>
      <c r="K46" s="95">
        <f t="shared" si="6"/>
        <v>0.61378975862068974</v>
      </c>
      <c r="L46" s="95">
        <f t="shared" si="6"/>
        <v>1.1821825066666667</v>
      </c>
      <c r="M46" s="95">
        <f t="shared" si="6"/>
        <v>1.2407984333333333</v>
      </c>
      <c r="N46" s="95">
        <f t="shared" si="6"/>
        <v>1.5423452068965517</v>
      </c>
      <c r="O46" s="95">
        <f t="shared" si="6"/>
        <v>1.1698668374396133</v>
      </c>
    </row>
    <row r="47" spans="1:16" s="37" customFormat="1" ht="18" x14ac:dyDescent="0.35">
      <c r="A47" s="92">
        <v>5</v>
      </c>
      <c r="B47" s="93" t="s">
        <v>58</v>
      </c>
      <c r="C47" s="95">
        <f t="shared" ref="C47:O47" si="7">+C18/C12</f>
        <v>0.58662156888888894</v>
      </c>
      <c r="D47" s="95" t="e">
        <f t="shared" si="7"/>
        <v>#DIV/0!</v>
      </c>
      <c r="E47" s="95">
        <f t="shared" si="7"/>
        <v>8.5384448814814817</v>
      </c>
      <c r="F47" s="95" t="e">
        <f t="shared" si="7"/>
        <v>#DIV/0!</v>
      </c>
      <c r="G47" s="95" t="e">
        <f t="shared" si="7"/>
        <v>#DIV/0!</v>
      </c>
      <c r="H47" s="95">
        <f t="shared" si="7"/>
        <v>7.8426678962962963</v>
      </c>
      <c r="I47" s="95">
        <f t="shared" si="7"/>
        <v>4.3276738566666664</v>
      </c>
      <c r="J47" s="95">
        <f t="shared" si="7"/>
        <v>4.883235766666667</v>
      </c>
      <c r="K47" s="95">
        <f t="shared" si="7"/>
        <v>3.9670536413793105</v>
      </c>
      <c r="L47" s="95">
        <f t="shared" si="7"/>
        <v>3.7731319066666669</v>
      </c>
      <c r="M47" s="95">
        <f t="shared" si="7"/>
        <v>5.4742624833333329</v>
      </c>
      <c r="N47" s="95">
        <f t="shared" si="7"/>
        <v>3.3195867931034484</v>
      </c>
      <c r="O47" s="95">
        <f t="shared" si="7"/>
        <v>3.8330250785024162</v>
      </c>
    </row>
    <row r="48" spans="1:16" s="37" customFormat="1" ht="18" x14ac:dyDescent="0.35">
      <c r="A48" s="92">
        <v>6</v>
      </c>
      <c r="B48" s="93" t="s">
        <v>54</v>
      </c>
      <c r="C48" s="95">
        <f t="shared" ref="C48:O48" si="8">+C17/C18</f>
        <v>1.4617140607013177</v>
      </c>
      <c r="D48" s="95">
        <f t="shared" si="8"/>
        <v>-0.27593042338228668</v>
      </c>
      <c r="E48" s="95">
        <f t="shared" si="8"/>
        <v>-0.18274661810022602</v>
      </c>
      <c r="F48" s="95">
        <f t="shared" si="8"/>
        <v>-0.40367119845306432</v>
      </c>
      <c r="G48" s="95">
        <f t="shared" si="8"/>
        <v>-0.21378254173526628</v>
      </c>
      <c r="H48" s="95">
        <f t="shared" si="8"/>
        <v>-0.22262185579807695</v>
      </c>
      <c r="I48" s="95">
        <f t="shared" si="8"/>
        <v>-0.42525751653665317</v>
      </c>
      <c r="J48" s="95">
        <f t="shared" si="8"/>
        <v>7.3072257901016208E-2</v>
      </c>
      <c r="K48" s="95">
        <f t="shared" si="8"/>
        <v>9.7354428826182532E-2</v>
      </c>
      <c r="L48" s="95">
        <f t="shared" si="8"/>
        <v>-4.8284160525841217E-2</v>
      </c>
      <c r="M48" s="95">
        <f t="shared" si="8"/>
        <v>-4.3987374384486709E-2</v>
      </c>
      <c r="N48" s="95">
        <f t="shared" si="8"/>
        <v>-0.16337732395588872</v>
      </c>
      <c r="O48" s="95">
        <f t="shared" si="8"/>
        <v>-4.4316651720416461E-2</v>
      </c>
    </row>
    <row r="49" spans="1:15" s="37" customFormat="1" ht="18" x14ac:dyDescent="0.35">
      <c r="A49" s="92">
        <v>7</v>
      </c>
      <c r="B49" s="93" t="s">
        <v>55</v>
      </c>
      <c r="C49" s="95">
        <f t="shared" ref="C49:O49" si="9">+C20/C12</f>
        <v>0.24088048222222219</v>
      </c>
      <c r="D49" s="95" t="e">
        <f t="shared" si="9"/>
        <v>#DIV/0!</v>
      </c>
      <c r="E49" s="95">
        <f t="shared" si="9"/>
        <v>-10.17233222962963</v>
      </c>
      <c r="F49" s="95" t="e">
        <f t="shared" si="9"/>
        <v>#DIV/0!</v>
      </c>
      <c r="G49" s="95" t="e">
        <f t="shared" si="9"/>
        <v>#DIV/0!</v>
      </c>
      <c r="H49" s="95">
        <f t="shared" si="9"/>
        <v>-9.6152838444444448</v>
      </c>
      <c r="I49" s="95">
        <f t="shared" si="9"/>
        <v>-6.1880963599999994</v>
      </c>
      <c r="J49" s="95">
        <f t="shared" si="9"/>
        <v>-4.6091556499999999</v>
      </c>
      <c r="K49" s="95">
        <f t="shared" si="9"/>
        <v>-3.6081079632183903</v>
      </c>
      <c r="L49" s="95">
        <f t="shared" si="9"/>
        <v>-3.9758956233333338</v>
      </c>
      <c r="M49" s="95">
        <f t="shared" si="9"/>
        <v>-5.7367648666666673</v>
      </c>
      <c r="N49" s="95">
        <f t="shared" si="9"/>
        <v>-3.8819320000000008</v>
      </c>
      <c r="O49" s="95">
        <f t="shared" si="9"/>
        <v>-4.03543046231884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O1:P1"/>
    <mergeCell ref="O2:P2"/>
    <mergeCell ref="O3:P3"/>
    <mergeCell ref="A42:O42"/>
    <mergeCell ref="A5:O5"/>
  </mergeCells>
  <conditionalFormatting sqref="C41:O41 C1:O4 C6:N6 C43:O1048576">
    <cfRule type="cellIs" dxfId="38" priority="5" operator="lessThan">
      <formula>-0.01</formula>
    </cfRule>
  </conditionalFormatting>
  <conditionalFormatting sqref="C7:C40">
    <cfRule type="cellIs" dxfId="37" priority="4" operator="lessThan">
      <formula>-0.01</formula>
    </cfRule>
  </conditionalFormatting>
  <conditionalFormatting sqref="D7:O40">
    <cfRule type="cellIs" dxfId="36" priority="3" operator="lessThan">
      <formula>-0.01</formula>
    </cfRule>
  </conditionalFormatting>
  <conditionalFormatting sqref="O6">
    <cfRule type="cellIs" dxfId="35" priority="1" operator="lessThan">
      <formula>-0.01</formula>
    </cfRule>
  </conditionalFormatting>
  <pageMargins left="0.15748031496062992" right="0.11811023622047245" top="0.15748031496062992" bottom="0.15748031496062992" header="0.15748031496062992" footer="0"/>
  <pageSetup paperSize="9" scale="42" orientation="landscape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49"/>
  <sheetViews>
    <sheetView view="pageBreakPreview" zoomScale="60" zoomScaleNormal="50" workbookViewId="0">
      <pane xSplit="2" ySplit="6" topLeftCell="C16" activePane="bottomRight" state="frozen"/>
      <selection activeCell="C5" sqref="C5:D5"/>
      <selection pane="topRight" activeCell="C5" sqref="C5:D5"/>
      <selection pane="bottomLeft" activeCell="C5" sqref="C5:D5"/>
      <selection pane="bottomRight" activeCell="C40" sqref="C40:O40"/>
    </sheetView>
  </sheetViews>
  <sheetFormatPr baseColWidth="10" defaultColWidth="11.44140625" defaultRowHeight="23.4" x14ac:dyDescent="0.45"/>
  <cols>
    <col min="1" max="1" width="7.6640625" style="2" customWidth="1"/>
    <col min="2" max="2" width="76.5546875" style="2" customWidth="1"/>
    <col min="3" max="14" width="19.77734375" style="3" customWidth="1"/>
    <col min="15" max="15" width="19.77734375" style="96" customWidth="1"/>
    <col min="16" max="17" width="19.33203125" style="315" customWidth="1"/>
    <col min="18" max="16384" width="11.44140625" style="1"/>
  </cols>
  <sheetData>
    <row r="1" spans="1:26" s="42" customFormat="1" ht="13.8" customHeight="1" x14ac:dyDescent="0.45">
      <c r="A1" s="25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4"/>
      <c r="P1" s="344"/>
      <c r="Q1" s="312"/>
      <c r="R1" s="39"/>
      <c r="S1" s="39"/>
      <c r="T1" s="39"/>
      <c r="U1" s="39"/>
      <c r="V1" s="39"/>
      <c r="W1" s="39"/>
      <c r="X1" s="39"/>
      <c r="Y1" s="39"/>
      <c r="Z1" s="39"/>
    </row>
    <row r="2" spans="1:26" s="42" customFormat="1" ht="13.8" customHeight="1" x14ac:dyDescent="0.45">
      <c r="A2" s="25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345"/>
      <c r="P2" s="345"/>
      <c r="Q2" s="312"/>
      <c r="R2" s="39"/>
      <c r="S2" s="39"/>
      <c r="T2" s="39"/>
      <c r="U2" s="39"/>
      <c r="V2" s="39"/>
      <c r="W2" s="39"/>
      <c r="X2" s="39"/>
      <c r="Y2" s="39"/>
      <c r="Z2" s="39"/>
    </row>
    <row r="3" spans="1:26" s="42" customFormat="1" ht="13.8" customHeight="1" x14ac:dyDescent="0.4">
      <c r="A3" s="46"/>
      <c r="B3" s="47"/>
      <c r="C3" s="48"/>
      <c r="D3" s="48"/>
      <c r="E3" s="48"/>
      <c r="F3" s="48"/>
      <c r="G3" s="48"/>
      <c r="H3" s="48"/>
      <c r="I3" s="294"/>
      <c r="J3" s="295"/>
      <c r="K3" s="228"/>
      <c r="L3" s="48"/>
      <c r="M3" s="48"/>
      <c r="N3" s="48"/>
      <c r="O3" s="346"/>
      <c r="P3" s="346"/>
      <c r="Q3" s="313"/>
      <c r="R3" s="46"/>
      <c r="S3" s="46"/>
      <c r="T3" s="46"/>
      <c r="U3" s="46"/>
      <c r="V3" s="46"/>
      <c r="W3" s="46"/>
      <c r="X3" s="46"/>
      <c r="Y3" s="46"/>
      <c r="Z3" s="46"/>
    </row>
    <row r="4" spans="1:26" s="42" customFormat="1" ht="13.8" customHeight="1" x14ac:dyDescent="0.4">
      <c r="A4" s="46"/>
      <c r="B4" s="46"/>
      <c r="C4" s="50"/>
      <c r="D4" s="50"/>
      <c r="E4" s="50"/>
      <c r="F4" s="50"/>
      <c r="G4" s="50"/>
      <c r="H4" s="50"/>
      <c r="I4" s="294"/>
      <c r="J4" s="296"/>
      <c r="K4" s="50"/>
      <c r="L4" s="50"/>
      <c r="M4" s="50"/>
      <c r="N4" s="50"/>
      <c r="O4" s="100"/>
      <c r="P4" s="314"/>
      <c r="Q4" s="314"/>
    </row>
    <row r="5" spans="1:26" ht="29.4" customHeight="1" thickBot="1" x14ac:dyDescent="0.55000000000000004">
      <c r="A5" s="347" t="s">
        <v>105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</row>
    <row r="6" spans="1:26" s="27" customFormat="1" ht="52.2" customHeight="1" thickBot="1" x14ac:dyDescent="0.4">
      <c r="A6" s="246" t="s">
        <v>0</v>
      </c>
      <c r="B6" s="246" t="s">
        <v>1</v>
      </c>
      <c r="C6" s="247">
        <v>44197</v>
      </c>
      <c r="D6" s="248">
        <v>44228</v>
      </c>
      <c r="E6" s="247">
        <v>44256</v>
      </c>
      <c r="F6" s="248">
        <v>44287</v>
      </c>
      <c r="G6" s="247">
        <v>44317</v>
      </c>
      <c r="H6" s="248">
        <v>44348</v>
      </c>
      <c r="I6" s="247">
        <v>44378</v>
      </c>
      <c r="J6" s="248">
        <v>44409</v>
      </c>
      <c r="K6" s="247">
        <v>44440</v>
      </c>
      <c r="L6" s="248">
        <v>44470</v>
      </c>
      <c r="M6" s="247">
        <v>44501</v>
      </c>
      <c r="N6" s="248">
        <v>44531</v>
      </c>
      <c r="O6" s="249" t="s">
        <v>85</v>
      </c>
      <c r="P6" s="316"/>
      <c r="Q6" s="316"/>
    </row>
    <row r="7" spans="1:26" s="29" customFormat="1" ht="30.75" customHeight="1" x14ac:dyDescent="0.35">
      <c r="A7" s="188"/>
      <c r="B7" s="79" t="s">
        <v>2</v>
      </c>
      <c r="C7" s="52">
        <f>+Tableau2[[#This Row],[KDU]]</f>
        <v>36362607.789999999</v>
      </c>
      <c r="D7" s="52">
        <f>+Tableau3[[#This Row],[KDU]]</f>
        <v>49471433.079999998</v>
      </c>
      <c r="E7" s="52">
        <f>+Tableau4[[#This Row],[KDU]]</f>
        <v>84961264.099999994</v>
      </c>
      <c r="F7" s="52">
        <f>+Tableau5[[#This Row],[KDU]]</f>
        <v>85694295.980000004</v>
      </c>
      <c r="G7" s="52">
        <f>+Tableau6[[#This Row],[KDU]]</f>
        <v>83862202.469999999</v>
      </c>
      <c r="H7" s="52">
        <f>+Tableau7[[#This Row],[KDU]]</f>
        <v>159328855.41</v>
      </c>
      <c r="I7" s="52">
        <f>+Tableau8[[#This Row],[KDU]]</f>
        <v>35241349.82</v>
      </c>
      <c r="J7" s="52">
        <f>+Tableau9[[#This Row],[KDU]]</f>
        <v>105296681.22</v>
      </c>
      <c r="K7" s="52">
        <f>+Tableau10[[#This Row],[KDU]]</f>
        <v>89344148.939999998</v>
      </c>
      <c r="L7" s="52">
        <f>+Tableau11[[#This Row],[KDU]]</f>
        <v>109073848.94</v>
      </c>
      <c r="M7" s="52">
        <f>+Tableau12[[#This Row],[KDU]]</f>
        <v>126884353.98999999</v>
      </c>
      <c r="N7" s="52">
        <f>+Tableau13[[#This Row],[KDU]]</f>
        <v>148347636.41999999</v>
      </c>
      <c r="O7" s="52">
        <f>SUM(C7:N7)</f>
        <v>1113868678.1600001</v>
      </c>
      <c r="P7" s="317">
        <v>729562838.80999994</v>
      </c>
      <c r="Q7" s="317">
        <f>+O7-P7</f>
        <v>384305839.35000014</v>
      </c>
    </row>
    <row r="8" spans="1:26" s="29" customFormat="1" ht="30.75" customHeight="1" x14ac:dyDescent="0.35">
      <c r="A8" s="189"/>
      <c r="B8" s="80" t="s">
        <v>42</v>
      </c>
      <c r="C8" s="55">
        <f>+Tableau2[[#This Row],[KDU]]</f>
        <v>0</v>
      </c>
      <c r="D8" s="55">
        <f>+Tableau3[[#This Row],[KDU]]</f>
        <v>104457.01</v>
      </c>
      <c r="E8" s="55">
        <f>+Tableau4[[#This Row],[KDU]]</f>
        <v>0</v>
      </c>
      <c r="F8" s="55">
        <f>+Tableau5[[#This Row],[KDU]]</f>
        <v>0</v>
      </c>
      <c r="G8" s="55">
        <f>+Tableau6[[#This Row],[KDU]]</f>
        <v>561932.63</v>
      </c>
      <c r="H8" s="55">
        <f>+Tableau7[[#This Row],[KDU]]</f>
        <v>0</v>
      </c>
      <c r="I8" s="55">
        <f>+Tableau8[[#This Row],[KDU]]</f>
        <v>0</v>
      </c>
      <c r="J8" s="55">
        <f>+Tableau9[[#This Row],[KDU]]</f>
        <v>0</v>
      </c>
      <c r="K8" s="55">
        <f>+Tableau10[[#This Row],[KDU]]</f>
        <v>857386.78</v>
      </c>
      <c r="L8" s="55">
        <f>+Tableau11[[#This Row],[KDU]]</f>
        <v>0</v>
      </c>
      <c r="M8" s="55">
        <f>+Tableau12[[#This Row],[KDU]]</f>
        <v>0</v>
      </c>
      <c r="N8" s="55">
        <f>+Tableau13[[#This Row],[KDU]]</f>
        <v>925372.58</v>
      </c>
      <c r="O8" s="55">
        <f t="shared" ref="O8:O40" si="0">SUM(C8:N8)</f>
        <v>2449149</v>
      </c>
      <c r="P8" s="317">
        <v>1523776.42</v>
      </c>
      <c r="Q8" s="317">
        <f t="shared" ref="Q8:Q40" si="1">+O8-P8</f>
        <v>925372.58000000007</v>
      </c>
    </row>
    <row r="9" spans="1:26" s="27" customFormat="1" ht="30.75" customHeight="1" x14ac:dyDescent="0.35">
      <c r="A9" s="189"/>
      <c r="B9" s="81" t="s">
        <v>3</v>
      </c>
      <c r="C9" s="55">
        <f>+Tableau2[[#This Row],[KDU]]</f>
        <v>97146444.209999993</v>
      </c>
      <c r="D9" s="55">
        <f>+Tableau3[[#This Row],[KDU]]</f>
        <v>63172356.079999998</v>
      </c>
      <c r="E9" s="55">
        <f>+Tableau4[[#This Row],[KDU]]</f>
        <v>112561416.64</v>
      </c>
      <c r="F9" s="55">
        <f>+Tableau5[[#This Row],[KDU]]</f>
        <v>27306783.649999999</v>
      </c>
      <c r="G9" s="55">
        <f>+Tableau6[[#This Row],[KDU]]</f>
        <v>26246443.149999999</v>
      </c>
      <c r="H9" s="55">
        <f>+Tableau7[[#This Row],[KDU]]</f>
        <v>-26050776.57</v>
      </c>
      <c r="I9" s="55">
        <f>+Tableau8[[#This Row],[KDU]]</f>
        <v>40847842.840000004</v>
      </c>
      <c r="J9" s="55">
        <f>+Tableau9[[#This Row],[KDU]]</f>
        <v>13783204.789999999</v>
      </c>
      <c r="K9" s="55">
        <f>+Tableau10[[#This Row],[KDU]]</f>
        <v>8936688.9199999999</v>
      </c>
      <c r="L9" s="55">
        <f>+Tableau11[[#This Row],[KDU]]</f>
        <v>86255627.530000001</v>
      </c>
      <c r="M9" s="55">
        <f>+Tableau12[[#This Row],[KDU]]</f>
        <v>29423059.300000001</v>
      </c>
      <c r="N9" s="55">
        <f>+Tableau13[[#This Row],[KDU]]</f>
        <v>104267681.48999999</v>
      </c>
      <c r="O9" s="55">
        <f t="shared" si="0"/>
        <v>583896772.02999997</v>
      </c>
      <c r="P9" s="316">
        <v>363950403.70999998</v>
      </c>
      <c r="Q9" s="317">
        <f t="shared" si="1"/>
        <v>219946368.31999999</v>
      </c>
    </row>
    <row r="10" spans="1:26" s="27" customFormat="1" ht="30.75" customHeight="1" x14ac:dyDescent="0.35">
      <c r="A10" s="189"/>
      <c r="B10" s="81" t="s">
        <v>4</v>
      </c>
      <c r="C10" s="55">
        <f>+Tableau2[[#This Row],[KDU]]</f>
        <v>110175.3</v>
      </c>
      <c r="D10" s="55">
        <f>+Tableau3[[#This Row],[KDU]]</f>
        <v>0</v>
      </c>
      <c r="E10" s="55">
        <f>+Tableau4[[#This Row],[KDU]]</f>
        <v>0</v>
      </c>
      <c r="F10" s="55">
        <f>+Tableau5[[#This Row],[KDU]]</f>
        <v>0</v>
      </c>
      <c r="G10" s="55">
        <f>+Tableau6[[#This Row],[KDU]]</f>
        <v>590627.23</v>
      </c>
      <c r="H10" s="55">
        <f>+Tableau7[[#This Row],[KDU]]</f>
        <v>0</v>
      </c>
      <c r="I10" s="55">
        <f>+Tableau8[[#This Row],[KDU]]</f>
        <v>0</v>
      </c>
      <c r="J10" s="55">
        <f>+Tableau9[[#This Row],[KDU]]</f>
        <v>0</v>
      </c>
      <c r="K10" s="55">
        <f>+Tableau10[[#This Row],[KDU]]</f>
        <v>0</v>
      </c>
      <c r="L10" s="55">
        <f>+Tableau11[[#This Row],[KDU]]</f>
        <v>0</v>
      </c>
      <c r="M10" s="55">
        <f>+Tableau12[[#This Row],[KDU]]</f>
        <v>374097.95</v>
      </c>
      <c r="N10" s="55">
        <f>+Tableau13[[#This Row],[KDU]]</f>
        <v>0</v>
      </c>
      <c r="O10" s="55">
        <f t="shared" si="0"/>
        <v>1074900.48</v>
      </c>
      <c r="P10" s="316">
        <v>700802.53</v>
      </c>
      <c r="Q10" s="317">
        <f t="shared" si="1"/>
        <v>374097.94999999995</v>
      </c>
    </row>
    <row r="11" spans="1:26" s="27" customFormat="1" ht="30.75" customHeight="1" thickBot="1" x14ac:dyDescent="0.4">
      <c r="A11" s="190"/>
      <c r="B11" s="82" t="s">
        <v>5</v>
      </c>
      <c r="C11" s="59">
        <f>+Tableau2[[#This Row],[KDU]]</f>
        <v>0</v>
      </c>
      <c r="D11" s="59">
        <f>+Tableau3[[#This Row],[KDU]]</f>
        <v>0</v>
      </c>
      <c r="E11" s="59">
        <f>+Tableau4[[#This Row],[KDU]]</f>
        <v>0</v>
      </c>
      <c r="F11" s="59">
        <f>+Tableau5[[#This Row],[KDU]]</f>
        <v>0</v>
      </c>
      <c r="G11" s="59">
        <f>+Tableau6[[#This Row],[KDU]]</f>
        <v>0</v>
      </c>
      <c r="H11" s="59">
        <f>+Tableau7[[#This Row],[KDU]]</f>
        <v>0</v>
      </c>
      <c r="I11" s="59">
        <f>+Tableau8[[#This Row],[KDU]]</f>
        <v>0</v>
      </c>
      <c r="J11" s="59">
        <f>+Tableau9[[#This Row],[KDU]]</f>
        <v>0</v>
      </c>
      <c r="K11" s="59">
        <f>+Tableau10[[#This Row],[KDU]]</f>
        <v>0</v>
      </c>
      <c r="L11" s="59">
        <f>+Tableau11[[#This Row],[KDU]]</f>
        <v>0</v>
      </c>
      <c r="M11" s="59">
        <f>+Tableau12[[#This Row],[KDU]]</f>
        <v>0</v>
      </c>
      <c r="N11" s="59">
        <f>+Tableau13[[#This Row],[KDU]]</f>
        <v>0</v>
      </c>
      <c r="O11" s="59">
        <f t="shared" si="0"/>
        <v>0</v>
      </c>
      <c r="P11" s="316"/>
      <c r="Q11" s="317">
        <f t="shared" si="1"/>
        <v>0</v>
      </c>
    </row>
    <row r="12" spans="1:26" s="27" customFormat="1" ht="30.75" customHeight="1" thickBot="1" x14ac:dyDescent="0.4">
      <c r="A12" s="191"/>
      <c r="B12" s="83" t="s">
        <v>6</v>
      </c>
      <c r="C12" s="62">
        <f>+Tableau2[[#This Row],[KDU]]</f>
        <v>133619227.3</v>
      </c>
      <c r="D12" s="62">
        <f>+Tableau3[[#This Row],[KDU]]</f>
        <v>112748246.16999999</v>
      </c>
      <c r="E12" s="62">
        <f>+Tableau4[[#This Row],[KDU]]</f>
        <v>197522680.74000001</v>
      </c>
      <c r="F12" s="62">
        <f>+Tableau5[[#This Row],[KDU]]</f>
        <v>113001079.63</v>
      </c>
      <c r="G12" s="62">
        <f>+Tableau6[[#This Row],[KDU]]</f>
        <v>111261205.48</v>
      </c>
      <c r="H12" s="62">
        <f>+Tableau7[[#This Row],[KDU]]</f>
        <v>133278078.84</v>
      </c>
      <c r="I12" s="62">
        <f>+Tableau8[[#This Row],[KDU]]</f>
        <v>76089192.659999996</v>
      </c>
      <c r="J12" s="62">
        <f>+Tableau9[[#This Row],[KDU]]</f>
        <v>119079886.00999999</v>
      </c>
      <c r="K12" s="62">
        <f>+Tableau10[[#This Row],[KDU]]</f>
        <v>99138224.640000001</v>
      </c>
      <c r="L12" s="62">
        <f>+Tableau11[[#This Row],[KDU]]</f>
        <v>195329476.47</v>
      </c>
      <c r="M12" s="62">
        <f>+Tableau12[[#This Row],[KDU]]</f>
        <v>156681511.23999998</v>
      </c>
      <c r="N12" s="62">
        <f>+Tableau13[[#This Row],[KDU]]</f>
        <v>253540690.49000001</v>
      </c>
      <c r="O12" s="62">
        <f t="shared" si="0"/>
        <v>1701289499.6700001</v>
      </c>
      <c r="P12" s="316">
        <v>1095737821.47</v>
      </c>
      <c r="Q12" s="317">
        <f t="shared" si="1"/>
        <v>605551678.20000005</v>
      </c>
    </row>
    <row r="13" spans="1:26" s="32" customFormat="1" ht="30.6" customHeight="1" x14ac:dyDescent="0.35">
      <c r="A13" s="192">
        <v>60</v>
      </c>
      <c r="B13" s="84" t="s">
        <v>7</v>
      </c>
      <c r="C13" s="65">
        <f>+Tableau2[[#This Row],[KDU]]</f>
        <v>115143391.2</v>
      </c>
      <c r="D13" s="65">
        <f>+Tableau3[[#This Row],[KDU]]</f>
        <v>85340355.810000002</v>
      </c>
      <c r="E13" s="65">
        <f>+Tableau4[[#This Row],[KDU]]</f>
        <v>160817789.96000001</v>
      </c>
      <c r="F13" s="65">
        <f>+Tableau5[[#This Row],[KDU]]</f>
        <v>84180428.849999994</v>
      </c>
      <c r="G13" s="65">
        <f>+Tableau6[[#This Row],[KDU]]</f>
        <v>87676561.359999999</v>
      </c>
      <c r="H13" s="65">
        <f>+Tableau7[[#This Row],[KDU]]</f>
        <v>101376038.16</v>
      </c>
      <c r="I13" s="65">
        <f>+Tableau8[[#This Row],[KDU]]</f>
        <v>57604893.329999998</v>
      </c>
      <c r="J13" s="65">
        <f>+Tableau9[[#This Row],[KDU]]</f>
        <v>85188913.590000004</v>
      </c>
      <c r="K13" s="65">
        <f>+Tableau10[[#This Row],[KDU]]</f>
        <v>82324132.340000004</v>
      </c>
      <c r="L13" s="65">
        <f>+Tableau11[[#This Row],[KDU]]</f>
        <v>153359740.66</v>
      </c>
      <c r="M13" s="65">
        <f>+Tableau12[[#This Row],[KDU]]</f>
        <v>103320591.23</v>
      </c>
      <c r="N13" s="65">
        <f>+Tableau13[[#This Row],[KDU]]</f>
        <v>189732393.38</v>
      </c>
      <c r="O13" s="65">
        <f t="shared" si="0"/>
        <v>1306065229.8699999</v>
      </c>
      <c r="P13" s="318">
        <v>859558963.86000001</v>
      </c>
      <c r="Q13" s="317">
        <f t="shared" si="1"/>
        <v>446506266.00999987</v>
      </c>
    </row>
    <row r="14" spans="1:26" s="32" customFormat="1" ht="30.75" customHeight="1" x14ac:dyDescent="0.35">
      <c r="A14" s="193" t="s">
        <v>8</v>
      </c>
      <c r="B14" s="82" t="s">
        <v>43</v>
      </c>
      <c r="C14" s="59">
        <f>+Tableau2[[#This Row],[KDU]]</f>
        <v>5438432.3700000001</v>
      </c>
      <c r="D14" s="59">
        <f>+Tableau3[[#This Row],[KDU]]</f>
        <v>5533036.8700000001</v>
      </c>
      <c r="E14" s="59">
        <f>+Tableau4[[#This Row],[KDU]]</f>
        <v>5266389.43</v>
      </c>
      <c r="F14" s="59">
        <f>+Tableau5[[#This Row],[KDU]]</f>
        <v>3732721.11</v>
      </c>
      <c r="G14" s="59">
        <f>+Tableau6[[#This Row],[KDU]]</f>
        <v>5448287.6600000001</v>
      </c>
      <c r="H14" s="59">
        <f>+Tableau7[[#This Row],[KDU]]</f>
        <v>6043615.1399999997</v>
      </c>
      <c r="I14" s="59">
        <f>+Tableau8[[#This Row],[KDU]]</f>
        <v>3970988.89</v>
      </c>
      <c r="J14" s="59">
        <f>+Tableau9[[#This Row],[KDU]]</f>
        <v>6899497.1500000004</v>
      </c>
      <c r="K14" s="59">
        <f>+Tableau10[[#This Row],[KDU]]</f>
        <v>6367916.2999999998</v>
      </c>
      <c r="L14" s="59">
        <f>+Tableau11[[#This Row],[KDU]]</f>
        <v>5282368.9800000004</v>
      </c>
      <c r="M14" s="59">
        <f>+Tableau12[[#This Row],[KDU]]</f>
        <v>5342824.8899999997</v>
      </c>
      <c r="N14" s="59">
        <f>+Tableau13[[#This Row],[KDU]]</f>
        <v>6094269.9199999999</v>
      </c>
      <c r="O14" s="77">
        <f t="shared" si="0"/>
        <v>65420348.709999993</v>
      </c>
      <c r="P14" s="318">
        <v>47895349.890000001</v>
      </c>
      <c r="Q14" s="317">
        <f t="shared" si="1"/>
        <v>17524998.819999993</v>
      </c>
    </row>
    <row r="15" spans="1:26" s="32" customFormat="1" ht="30.75" customHeight="1" thickBot="1" x14ac:dyDescent="0.4">
      <c r="A15" s="234"/>
      <c r="B15" s="230" t="s">
        <v>124</v>
      </c>
      <c r="C15" s="59">
        <f>+Tableau2[[#This Row],[KDU]]</f>
        <v>0</v>
      </c>
      <c r="D15" s="59">
        <f>+Tableau3[[#This Row],[KDU]]</f>
        <v>0</v>
      </c>
      <c r="E15" s="59">
        <f>+Tableau4[[#This Row],[KDU]]</f>
        <v>0</v>
      </c>
      <c r="F15" s="59">
        <f>+Tableau5[[#This Row],[KDU]]</f>
        <v>0</v>
      </c>
      <c r="G15" s="59">
        <f>+Tableau6[[#This Row],[KDU]]</f>
        <v>0</v>
      </c>
      <c r="H15" s="59">
        <f>+Tableau7[[#This Row],[KDU]]</f>
        <v>0</v>
      </c>
      <c r="I15" s="59">
        <f>+Tableau8[[#This Row],[KDU]]</f>
        <v>0</v>
      </c>
      <c r="J15" s="59">
        <f>+Tableau9[[#This Row],[KDU]]</f>
        <v>0</v>
      </c>
      <c r="K15" s="59">
        <f>+Tableau10[[#This Row],[KDU]]</f>
        <v>0</v>
      </c>
      <c r="L15" s="59">
        <f>+Tableau11[[#This Row],[KDU]]</f>
        <v>0</v>
      </c>
      <c r="M15" s="59">
        <f>+Tableau12[[#This Row],[KDU]]</f>
        <v>0</v>
      </c>
      <c r="N15" s="59">
        <f>+Tableau13[[#This Row],[KDU]]</f>
        <v>0</v>
      </c>
      <c r="O15" s="77">
        <f t="shared" si="0"/>
        <v>0</v>
      </c>
      <c r="P15" s="318">
        <v>0</v>
      </c>
      <c r="Q15" s="317">
        <f t="shared" si="1"/>
        <v>0</v>
      </c>
    </row>
    <row r="16" spans="1:26" s="27" customFormat="1" ht="30.75" customHeight="1" thickBot="1" x14ac:dyDescent="0.4">
      <c r="A16" s="194" t="s">
        <v>9</v>
      </c>
      <c r="B16" s="85" t="s">
        <v>10</v>
      </c>
      <c r="C16" s="62">
        <f t="shared" ref="C16:O16" si="2">+C13+C14+C15</f>
        <v>120581823.57000001</v>
      </c>
      <c r="D16" s="62">
        <f t="shared" si="2"/>
        <v>90873392.680000007</v>
      </c>
      <c r="E16" s="62">
        <f t="shared" si="2"/>
        <v>166084179.39000002</v>
      </c>
      <c r="F16" s="62">
        <f t="shared" si="2"/>
        <v>87913149.959999993</v>
      </c>
      <c r="G16" s="62">
        <f t="shared" si="2"/>
        <v>93124849.019999996</v>
      </c>
      <c r="H16" s="62">
        <f t="shared" si="2"/>
        <v>107419653.3</v>
      </c>
      <c r="I16" s="62">
        <f t="shared" si="2"/>
        <v>61575882.219999999</v>
      </c>
      <c r="J16" s="62">
        <f t="shared" si="2"/>
        <v>92088410.74000001</v>
      </c>
      <c r="K16" s="62">
        <f t="shared" si="2"/>
        <v>88692048.640000001</v>
      </c>
      <c r="L16" s="62">
        <f t="shared" si="2"/>
        <v>158642109.63999999</v>
      </c>
      <c r="M16" s="62">
        <f t="shared" si="2"/>
        <v>108663416.12</v>
      </c>
      <c r="N16" s="62">
        <f t="shared" si="2"/>
        <v>195826663.29999998</v>
      </c>
      <c r="O16" s="62">
        <f t="shared" si="2"/>
        <v>1371485578.5799999</v>
      </c>
      <c r="P16" s="316">
        <v>907454286.75</v>
      </c>
      <c r="Q16" s="317">
        <f t="shared" si="1"/>
        <v>464031291.82999992</v>
      </c>
    </row>
    <row r="17" spans="1:17" s="27" customFormat="1" ht="30.75" customHeight="1" thickBot="1" x14ac:dyDescent="0.4">
      <c r="A17" s="195" t="s">
        <v>11</v>
      </c>
      <c r="B17" s="86" t="s">
        <v>12</v>
      </c>
      <c r="C17" s="68">
        <f>+Tableau2[[#This Row],[KDU]]</f>
        <v>13037403.729999989</v>
      </c>
      <c r="D17" s="68">
        <f>+Tableau3[[#This Row],[KDU]]</f>
        <v>21874853.48999998</v>
      </c>
      <c r="E17" s="68">
        <f>+Tableau4[[#This Row],[KDU]]</f>
        <v>31438501.349999994</v>
      </c>
      <c r="F17" s="68">
        <f>+Tableau5[[#This Row],[KDU]]</f>
        <v>25087929.670000002</v>
      </c>
      <c r="G17" s="68">
        <f>+Tableau6[[#This Row],[KDU]]</f>
        <v>18136356.460000008</v>
      </c>
      <c r="H17" s="68">
        <f>+Tableau7[[#This Row],[KDU]]</f>
        <v>25858425.540000007</v>
      </c>
      <c r="I17" s="68">
        <f>+Tableau8[[#This Row],[KDU]]</f>
        <v>14513310.439999998</v>
      </c>
      <c r="J17" s="68">
        <f>+Tableau9[[#This Row],[KDU]]</f>
        <v>26991475.269999981</v>
      </c>
      <c r="K17" s="68">
        <f>+Tableau10[[#This Row],[KDU]]</f>
        <v>10446176</v>
      </c>
      <c r="L17" s="68">
        <f>+Tableau11[[#This Row],[KDU]]</f>
        <v>36687366.830000013</v>
      </c>
      <c r="M17" s="68">
        <f>+Tableau12[[#This Row],[KDU]]</f>
        <v>48018095.119999975</v>
      </c>
      <c r="N17" s="68">
        <f>+Tableau13[[#This Row],[KDU]]</f>
        <v>57714027.190000027</v>
      </c>
      <c r="O17" s="68">
        <f t="shared" si="0"/>
        <v>329803921.09000003</v>
      </c>
      <c r="P17" s="316">
        <v>188283534.72</v>
      </c>
      <c r="Q17" s="317">
        <f t="shared" si="1"/>
        <v>141520386.37000003</v>
      </c>
    </row>
    <row r="18" spans="1:17" s="32" customFormat="1" ht="30.75" customHeight="1" x14ac:dyDescent="0.35">
      <c r="A18" s="192">
        <v>63</v>
      </c>
      <c r="B18" s="84" t="s">
        <v>44</v>
      </c>
      <c r="C18" s="65">
        <f>+Tableau2[[#This Row],[KDU]]</f>
        <v>28960107.699999999</v>
      </c>
      <c r="D18" s="65">
        <f>+Tableau3[[#This Row],[KDU]]</f>
        <v>30178071.329999998</v>
      </c>
      <c r="E18" s="65">
        <f>+Tableau4[[#This Row],[KDU]]</f>
        <v>29044887.010000002</v>
      </c>
      <c r="F18" s="65">
        <f>+Tableau5[[#This Row],[KDU]]</f>
        <v>27445369.859999999</v>
      </c>
      <c r="G18" s="65">
        <f>+Tableau6[[#This Row],[KDU]]</f>
        <v>28285670.949999999</v>
      </c>
      <c r="H18" s="65">
        <f>+Tableau7[[#This Row],[KDU]]</f>
        <v>26933209.579999998</v>
      </c>
      <c r="I18" s="65">
        <f>+Tableau8[[#This Row],[KDU]]</f>
        <v>40381946.359999999</v>
      </c>
      <c r="J18" s="65">
        <f>+Tableau9[[#This Row],[KDU]]</f>
        <v>33961358.740000002</v>
      </c>
      <c r="K18" s="65">
        <f>+Tableau10[[#This Row],[KDU]]</f>
        <v>25593083</v>
      </c>
      <c r="L18" s="65">
        <f>+Tableau11[[#This Row],[KDU]]</f>
        <v>27562896.359999999</v>
      </c>
      <c r="M18" s="65">
        <f>+Tableau12[[#This Row],[KDU]]</f>
        <v>27309523.579999998</v>
      </c>
      <c r="N18" s="65">
        <f>+Tableau13[[#This Row],[KDU]]</f>
        <v>29238492.620000001</v>
      </c>
      <c r="O18" s="65">
        <f t="shared" si="0"/>
        <v>354894617.09000003</v>
      </c>
      <c r="P18" s="318">
        <v>270783704.52999997</v>
      </c>
      <c r="Q18" s="317">
        <f t="shared" si="1"/>
        <v>84110912.560000062</v>
      </c>
    </row>
    <row r="19" spans="1:17" s="32" customFormat="1" ht="30.75" customHeight="1" thickBot="1" x14ac:dyDescent="0.4">
      <c r="A19" s="193">
        <v>64</v>
      </c>
      <c r="B19" s="82" t="s">
        <v>13</v>
      </c>
      <c r="C19" s="59">
        <f>+Tableau2[[#This Row],[KDU]]</f>
        <v>370879.67</v>
      </c>
      <c r="D19" s="59">
        <f>+Tableau3[[#This Row],[KDU]]</f>
        <v>495134</v>
      </c>
      <c r="E19" s="59">
        <f>+Tableau4[[#This Row],[KDU]]</f>
        <v>861244</v>
      </c>
      <c r="F19" s="59">
        <f>+Tableau5[[#This Row],[KDU]]</f>
        <v>856943</v>
      </c>
      <c r="G19" s="59">
        <f>+Tableau6[[#This Row],[KDU]]</f>
        <v>813894.4</v>
      </c>
      <c r="H19" s="59">
        <f>+Tableau7[[#This Row],[KDU]]</f>
        <v>1618481</v>
      </c>
      <c r="I19" s="59">
        <f>+Tableau8[[#This Row],[KDU]]</f>
        <v>352793</v>
      </c>
      <c r="J19" s="59">
        <f>+Tableau9[[#This Row],[KDU]]</f>
        <v>1053726</v>
      </c>
      <c r="K19" s="59">
        <f>+Tableau10[[#This Row],[KDU]]</f>
        <v>893506</v>
      </c>
      <c r="L19" s="59">
        <f>+Tableau11[[#This Row],[KDU]]</f>
        <v>1090738</v>
      </c>
      <c r="M19" s="59">
        <f>+Tableau12[[#This Row],[KDU]]</f>
        <v>1268843</v>
      </c>
      <c r="N19" s="59">
        <f>+Tableau13[[#This Row],[KDU]]</f>
        <v>1483776</v>
      </c>
      <c r="O19" s="59">
        <f t="shared" si="0"/>
        <v>11159958.07</v>
      </c>
      <c r="P19" s="318">
        <v>7316601.5499999998</v>
      </c>
      <c r="Q19" s="317">
        <f t="shared" si="1"/>
        <v>3843356.5200000005</v>
      </c>
    </row>
    <row r="20" spans="1:17" s="27" customFormat="1" ht="30.75" customHeight="1" thickBot="1" x14ac:dyDescent="0.4">
      <c r="A20" s="194" t="s">
        <v>14</v>
      </c>
      <c r="B20" s="85" t="s">
        <v>15</v>
      </c>
      <c r="C20" s="62">
        <f>+Tableau2[[#This Row],[KDU]]</f>
        <v>-16293583.64000001</v>
      </c>
      <c r="D20" s="62">
        <f>+Tableau3[[#This Row],[KDU]]</f>
        <v>-8798351.8400000185</v>
      </c>
      <c r="E20" s="62">
        <f>+Tableau4[[#This Row],[KDU]]</f>
        <v>1532370.3399999924</v>
      </c>
      <c r="F20" s="62">
        <f>+Tableau5[[#This Row],[KDU]]</f>
        <v>-3214383.1899999976</v>
      </c>
      <c r="G20" s="62">
        <f>+Tableau6[[#This Row],[KDU]]</f>
        <v>-10963208.889999991</v>
      </c>
      <c r="H20" s="62">
        <f>+Tableau7[[#This Row],[KDU]]</f>
        <v>-2693265.0399999917</v>
      </c>
      <c r="I20" s="62">
        <f>+Tableau8[[#This Row],[KDU]]</f>
        <v>-26221428.920000002</v>
      </c>
      <c r="J20" s="62">
        <f>+Tableau9[[#This Row],[KDU]]</f>
        <v>-8023609.4700000212</v>
      </c>
      <c r="K20" s="62">
        <f>+Tableau10[[#This Row],[KDU]]</f>
        <v>-16040413</v>
      </c>
      <c r="L20" s="62">
        <f>+Tableau11[[#This Row],[KDU]]</f>
        <v>8033732.4700000137</v>
      </c>
      <c r="M20" s="62">
        <f>+Tableau12[[#This Row],[KDU]]</f>
        <v>19439728.539999977</v>
      </c>
      <c r="N20" s="62">
        <f>+Tableau13[[#This Row],[KDU]]</f>
        <v>26991758.570000026</v>
      </c>
      <c r="O20" s="62">
        <f t="shared" si="0"/>
        <v>-36250654.070000023</v>
      </c>
      <c r="P20" s="316">
        <v>-89816771.359999999</v>
      </c>
      <c r="Q20" s="317">
        <f t="shared" si="1"/>
        <v>53566117.289999977</v>
      </c>
    </row>
    <row r="21" spans="1:17" s="32" customFormat="1" ht="30.75" customHeight="1" x14ac:dyDescent="0.35">
      <c r="A21" s="192">
        <v>75</v>
      </c>
      <c r="B21" s="84" t="s">
        <v>16</v>
      </c>
      <c r="C21" s="52">
        <f>+Tableau2[[#This Row],[KDU]]</f>
        <v>335677.86</v>
      </c>
      <c r="D21" s="52">
        <f>+Tableau3[[#This Row],[KDU]]</f>
        <v>1053173.24</v>
      </c>
      <c r="E21" s="52">
        <f>+Tableau4[[#This Row],[KDU]]</f>
        <v>463776.63</v>
      </c>
      <c r="F21" s="52">
        <f>+Tableau5[[#This Row],[KDU]]</f>
        <v>2877078.78</v>
      </c>
      <c r="G21" s="52">
        <f>+Tableau6[[#This Row],[KDU]]</f>
        <v>1142350.46</v>
      </c>
      <c r="H21" s="52">
        <f>+Tableau7[[#This Row],[KDU]]</f>
        <v>1294050.8799999999</v>
      </c>
      <c r="I21" s="52">
        <f>+Tableau8[[#This Row],[KDU]]</f>
        <v>143416.54</v>
      </c>
      <c r="J21" s="52">
        <f>+Tableau9[[#This Row],[KDU]]</f>
        <v>654689.38</v>
      </c>
      <c r="K21" s="52">
        <f>+Tableau10[[#This Row],[KDU]]</f>
        <v>788365.92</v>
      </c>
      <c r="L21" s="52">
        <f>+Tableau11[[#This Row],[KDU]]</f>
        <v>55000.17</v>
      </c>
      <c r="M21" s="52">
        <f>+Tableau12[[#This Row],[KDU]]</f>
        <v>34401.980000000003</v>
      </c>
      <c r="N21" s="52">
        <f>+Tableau13[[#This Row],[KDU]]</f>
        <v>30000</v>
      </c>
      <c r="O21" s="52">
        <f t="shared" si="0"/>
        <v>8871981.8399999999</v>
      </c>
      <c r="P21" s="318">
        <v>8653196.6699999999</v>
      </c>
      <c r="Q21" s="317">
        <f t="shared" si="1"/>
        <v>218785.16999999993</v>
      </c>
    </row>
    <row r="22" spans="1:17" s="32" customFormat="1" ht="30.75" customHeight="1" x14ac:dyDescent="0.35">
      <c r="A22" s="196">
        <v>65</v>
      </c>
      <c r="B22" s="81" t="s">
        <v>17</v>
      </c>
      <c r="C22" s="55">
        <f>+Tableau2[[#This Row],[KDU]]</f>
        <v>1.06</v>
      </c>
      <c r="D22" s="55">
        <f>+Tableau3[[#This Row],[KDU]]</f>
        <v>0</v>
      </c>
      <c r="E22" s="55">
        <f>+Tableau4[[#This Row],[KDU]]</f>
        <v>1002.71</v>
      </c>
      <c r="F22" s="55">
        <f>+Tableau5[[#This Row],[KDU]]</f>
        <v>58374.99</v>
      </c>
      <c r="G22" s="55">
        <f>+Tableau6[[#This Row],[KDU]]</f>
        <v>0.03</v>
      </c>
      <c r="H22" s="55">
        <f>+Tableau7[[#This Row],[KDU]]</f>
        <v>8307.86</v>
      </c>
      <c r="I22" s="55">
        <f>+Tableau8[[#This Row],[KDU]]</f>
        <v>0.21</v>
      </c>
      <c r="J22" s="55">
        <f>+Tableau9[[#This Row],[KDU]]</f>
        <v>65.069999999999993</v>
      </c>
      <c r="K22" s="55">
        <f>+Tableau10[[#This Row],[KDU]]</f>
        <v>0.13</v>
      </c>
      <c r="L22" s="55">
        <f>+Tableau11[[#This Row],[KDU]]</f>
        <v>0.25</v>
      </c>
      <c r="M22" s="55">
        <f>+Tableau12[[#This Row],[KDU]]</f>
        <v>0</v>
      </c>
      <c r="N22" s="55">
        <f>+Tableau13[[#This Row],[KDU]]</f>
        <v>32001.34</v>
      </c>
      <c r="O22" s="55">
        <f t="shared" si="0"/>
        <v>99753.650000000009</v>
      </c>
      <c r="P22" s="318">
        <v>67751.94</v>
      </c>
      <c r="Q22" s="317">
        <f t="shared" si="1"/>
        <v>32001.710000000006</v>
      </c>
    </row>
    <row r="23" spans="1:17" s="27" customFormat="1" ht="30.75" customHeight="1" x14ac:dyDescent="0.35">
      <c r="A23" s="196"/>
      <c r="B23" s="87" t="s">
        <v>18</v>
      </c>
      <c r="C23" s="71">
        <f>+Tableau2[[#This Row],[KDU]]</f>
        <v>0</v>
      </c>
      <c r="D23" s="71">
        <f>+Tableau3[[#This Row],[KDU]]</f>
        <v>0</v>
      </c>
      <c r="E23" s="71">
        <f>+Tableau4[[#This Row],[KDU]]</f>
        <v>0</v>
      </c>
      <c r="F23" s="71">
        <f>+Tableau5[[#This Row],[KDU]]</f>
        <v>0</v>
      </c>
      <c r="G23" s="71">
        <f>+Tableau6[[#This Row],[KDU]]</f>
        <v>0</v>
      </c>
      <c r="H23" s="71">
        <f>+Tableau7[[#This Row],[KDU]]</f>
        <v>0</v>
      </c>
      <c r="I23" s="71">
        <f>+Tableau8[[#This Row],[KDU]]</f>
        <v>0</v>
      </c>
      <c r="J23" s="71">
        <f>+Tableau9[[#This Row],[KDU]]</f>
        <v>0</v>
      </c>
      <c r="K23" s="71">
        <f>+Tableau10[[#This Row],[KDU]]</f>
        <v>0</v>
      </c>
      <c r="L23" s="71">
        <f>+Tableau11[[#This Row],[KDU]]</f>
        <v>0</v>
      </c>
      <c r="M23" s="71">
        <f>+Tableau12[[#This Row],[KDU]]</f>
        <v>0</v>
      </c>
      <c r="N23" s="71">
        <f>+Tableau13[[#This Row],[KDU]]</f>
        <v>0</v>
      </c>
      <c r="O23" s="71">
        <f t="shared" si="0"/>
        <v>0</v>
      </c>
      <c r="P23" s="316"/>
      <c r="Q23" s="317">
        <f t="shared" si="1"/>
        <v>0</v>
      </c>
    </row>
    <row r="24" spans="1:17" s="27" customFormat="1" ht="30.75" customHeight="1" x14ac:dyDescent="0.35">
      <c r="A24" s="196"/>
      <c r="B24" s="87" t="s">
        <v>19</v>
      </c>
      <c r="C24" s="71">
        <f>+Tableau2[[#This Row],[KDU]]</f>
        <v>0</v>
      </c>
      <c r="D24" s="71">
        <f>+Tableau3[[#This Row],[KDU]]</f>
        <v>0</v>
      </c>
      <c r="E24" s="71">
        <f>+Tableau4[[#This Row],[KDU]]</f>
        <v>0</v>
      </c>
      <c r="F24" s="71">
        <f>+Tableau5[[#This Row],[KDU]]</f>
        <v>0</v>
      </c>
      <c r="G24" s="71">
        <f>+Tableau6[[#This Row],[KDU]]</f>
        <v>0</v>
      </c>
      <c r="H24" s="71">
        <f>+Tableau7[[#This Row],[KDU]]</f>
        <v>0</v>
      </c>
      <c r="I24" s="71">
        <f>+Tableau8[[#This Row],[KDU]]</f>
        <v>0</v>
      </c>
      <c r="J24" s="71">
        <f>+Tableau9[[#This Row],[KDU]]</f>
        <v>0</v>
      </c>
      <c r="K24" s="71">
        <f>+Tableau10[[#This Row],[KDU]]</f>
        <v>0</v>
      </c>
      <c r="L24" s="71">
        <f>+Tableau11[[#This Row],[KDU]]</f>
        <v>0</v>
      </c>
      <c r="M24" s="71">
        <f>+Tableau12[[#This Row],[KDU]]</f>
        <v>0</v>
      </c>
      <c r="N24" s="71">
        <f>+Tableau13[[#This Row],[KDU]]</f>
        <v>0</v>
      </c>
      <c r="O24" s="71">
        <f t="shared" si="0"/>
        <v>0</v>
      </c>
      <c r="P24" s="316"/>
      <c r="Q24" s="317">
        <f t="shared" si="1"/>
        <v>0</v>
      </c>
    </row>
    <row r="25" spans="1:17" s="32" customFormat="1" ht="30.75" customHeight="1" x14ac:dyDescent="0.35">
      <c r="A25" s="196">
        <v>68</v>
      </c>
      <c r="B25" s="81" t="s">
        <v>20</v>
      </c>
      <c r="C25" s="55">
        <f>+Tableau2[[#This Row],[KDU]]</f>
        <v>5851567.3799999999</v>
      </c>
      <c r="D25" s="55">
        <f>+Tableau3[[#This Row],[KDU]]</f>
        <v>5851567.3799999999</v>
      </c>
      <c r="E25" s="55">
        <f>+Tableau4[[#This Row],[KDU]]</f>
        <v>5851567.3600000003</v>
      </c>
      <c r="F25" s="55">
        <f>+Tableau5[[#This Row],[KDU]]</f>
        <v>5848695.3600000003</v>
      </c>
      <c r="G25" s="55">
        <f>+Tableau6[[#This Row],[KDU]]</f>
        <v>5846514.5599999996</v>
      </c>
      <c r="H25" s="55">
        <f>+Tableau7[[#This Row],[KDU]]</f>
        <v>5845575.5099999998</v>
      </c>
      <c r="I25" s="55">
        <f>+Tableau8[[#This Row],[KDU]]</f>
        <v>5843790.6900000004</v>
      </c>
      <c r="J25" s="55">
        <f>+Tableau9[[#This Row],[KDU]]</f>
        <v>5842947.8399999999</v>
      </c>
      <c r="K25" s="55">
        <f>+Tableau10[[#This Row],[KDU]]</f>
        <v>5866520.5999999996</v>
      </c>
      <c r="L25" s="55">
        <f>+Tableau11[[#This Row],[KDU]]</f>
        <v>5866523.5099999998</v>
      </c>
      <c r="M25" s="55">
        <f>+Tableau12[[#This Row],[KDU]]</f>
        <v>5866520.5999999996</v>
      </c>
      <c r="N25" s="55">
        <f>+Tableau13[[#This Row],[KDU]]</f>
        <v>5866520.5999999996</v>
      </c>
      <c r="O25" s="55">
        <f t="shared" si="0"/>
        <v>70248311.390000001</v>
      </c>
      <c r="P25" s="318">
        <v>52648746.68</v>
      </c>
      <c r="Q25" s="317">
        <f t="shared" si="1"/>
        <v>17599564.710000001</v>
      </c>
    </row>
    <row r="26" spans="1:17" s="32" customFormat="1" ht="30.75" customHeight="1" thickBot="1" x14ac:dyDescent="0.4">
      <c r="A26" s="193">
        <v>78</v>
      </c>
      <c r="B26" s="82" t="s">
        <v>21</v>
      </c>
      <c r="C26" s="59">
        <f>+Tableau2[[#This Row],[KDU]]</f>
        <v>0</v>
      </c>
      <c r="D26" s="59">
        <f>+Tableau3[[#This Row],[KDU]]</f>
        <v>0</v>
      </c>
      <c r="E26" s="59">
        <f>+Tableau4[[#This Row],[KDU]]</f>
        <v>0</v>
      </c>
      <c r="F26" s="59">
        <f>+Tableau5[[#This Row],[KDU]]</f>
        <v>0</v>
      </c>
      <c r="G26" s="59">
        <f>+Tableau6[[#This Row],[KDU]]</f>
        <v>0</v>
      </c>
      <c r="H26" s="59">
        <f>+Tableau7[[#This Row],[KDU]]</f>
        <v>0</v>
      </c>
      <c r="I26" s="59">
        <f>+Tableau8[[#This Row],[KDU]]</f>
        <v>0</v>
      </c>
      <c r="J26" s="59">
        <f>+Tableau9[[#This Row],[KDU]]</f>
        <v>0</v>
      </c>
      <c r="K26" s="59">
        <f>+Tableau10[[#This Row],[KDU]]</f>
        <v>0</v>
      </c>
      <c r="L26" s="59">
        <f>+Tableau11[[#This Row],[KDU]]</f>
        <v>0</v>
      </c>
      <c r="M26" s="59">
        <f>+Tableau12[[#This Row],[KDU]]</f>
        <v>0</v>
      </c>
      <c r="N26" s="59">
        <f>+Tableau13[[#This Row],[KDU]]</f>
        <v>0</v>
      </c>
      <c r="O26" s="59">
        <f t="shared" si="0"/>
        <v>0</v>
      </c>
      <c r="P26" s="318"/>
      <c r="Q26" s="317">
        <f t="shared" si="1"/>
        <v>0</v>
      </c>
    </row>
    <row r="27" spans="1:17" s="27" customFormat="1" ht="30.75" customHeight="1" thickBot="1" x14ac:dyDescent="0.4">
      <c r="A27" s="194" t="s">
        <v>22</v>
      </c>
      <c r="B27" s="85" t="s">
        <v>23</v>
      </c>
      <c r="C27" s="62">
        <f>+Tableau2[[#This Row],[KDU]]</f>
        <v>-21809474.22000001</v>
      </c>
      <c r="D27" s="62">
        <f>+Tableau3[[#This Row],[KDU]]</f>
        <v>-13596745.980000019</v>
      </c>
      <c r="E27" s="62">
        <f>+Tableau4[[#This Row],[KDU]]</f>
        <v>-3856423.100000008</v>
      </c>
      <c r="F27" s="62">
        <f>+Tableau5[[#This Row],[KDU]]</f>
        <v>-6244374.7599999979</v>
      </c>
      <c r="G27" s="62">
        <f>+Tableau6[[#This Row],[KDU]]</f>
        <v>-15667373.019999992</v>
      </c>
      <c r="H27" s="62">
        <f>+Tableau7[[#This Row],[KDU]]</f>
        <v>-7253097.5299999919</v>
      </c>
      <c r="I27" s="62">
        <f>+Tableau8[[#This Row],[KDU]]</f>
        <v>-31921803.280000001</v>
      </c>
      <c r="J27" s="62">
        <f>+Tableau9[[#This Row],[KDU]]</f>
        <v>-13211933.000000022</v>
      </c>
      <c r="K27" s="62">
        <f>+Tableau10[[#This Row],[KDU]]</f>
        <v>-21118567.809999999</v>
      </c>
      <c r="L27" s="62">
        <f>+Tableau11[[#This Row],[KDU]]</f>
        <v>2222208.8800000139</v>
      </c>
      <c r="M27" s="62">
        <f>+Tableau12[[#This Row],[KDU]]</f>
        <v>13607609.919999978</v>
      </c>
      <c r="N27" s="62">
        <f>+Tableau13[[#This Row],[KDU]]</f>
        <v>21123236.630000025</v>
      </c>
      <c r="O27" s="62">
        <f t="shared" si="0"/>
        <v>-97726737.270000041</v>
      </c>
      <c r="P27" s="316">
        <v>-133880073.31</v>
      </c>
      <c r="Q27" s="317">
        <f t="shared" si="1"/>
        <v>36153336.039999962</v>
      </c>
    </row>
    <row r="28" spans="1:17" s="32" customFormat="1" ht="30.75" customHeight="1" x14ac:dyDescent="0.35">
      <c r="A28" s="192">
        <v>76</v>
      </c>
      <c r="B28" s="84" t="s">
        <v>24</v>
      </c>
      <c r="C28" s="52">
        <f>+Tableau2[[#This Row],[KDU]]</f>
        <v>140447.62</v>
      </c>
      <c r="D28" s="52">
        <f>+Tableau3[[#This Row],[KDU]]</f>
        <v>58690.97</v>
      </c>
      <c r="E28" s="52">
        <f>+Tableau4[[#This Row],[KDU]]</f>
        <v>99114.66</v>
      </c>
      <c r="F28" s="52">
        <f>+Tableau5[[#This Row],[KDU]]</f>
        <v>0</v>
      </c>
      <c r="G28" s="52">
        <f>+Tableau6[[#This Row],[KDU]]</f>
        <v>0</v>
      </c>
      <c r="H28" s="52">
        <f>+Tableau7[[#This Row],[KDU]]</f>
        <v>11175.17</v>
      </c>
      <c r="I28" s="52">
        <f>+Tableau8[[#This Row],[KDU]]</f>
        <v>81006.34</v>
      </c>
      <c r="J28" s="52">
        <f>+Tableau9[[#This Row],[KDU]]</f>
        <v>626824.14</v>
      </c>
      <c r="K28" s="52">
        <f>+Tableau10[[#This Row],[KDU]]</f>
        <v>83007.09</v>
      </c>
      <c r="L28" s="52">
        <f>+Tableau11[[#This Row],[KDU]]</f>
        <v>361738.87</v>
      </c>
      <c r="M28" s="52">
        <f>+Tableau12[[#This Row],[KDU]]</f>
        <v>0</v>
      </c>
      <c r="N28" s="52">
        <f>+Tableau13[[#This Row],[KDU]]</f>
        <v>0</v>
      </c>
      <c r="O28" s="52">
        <f t="shared" si="0"/>
        <v>1462004.8599999999</v>
      </c>
      <c r="P28" s="318">
        <v>1017258.9</v>
      </c>
      <c r="Q28" s="317">
        <f t="shared" si="1"/>
        <v>444745.95999999985</v>
      </c>
    </row>
    <row r="29" spans="1:17" s="32" customFormat="1" ht="30.75" customHeight="1" thickBot="1" x14ac:dyDescent="0.4">
      <c r="A29" s="193">
        <v>66</v>
      </c>
      <c r="B29" s="82" t="s">
        <v>25</v>
      </c>
      <c r="C29" s="59">
        <f>+Tableau2[[#This Row],[KDU]]</f>
        <v>1203708.6499999999</v>
      </c>
      <c r="D29" s="59">
        <f>+Tableau3[[#This Row],[KDU]]</f>
        <v>213491.87</v>
      </c>
      <c r="E29" s="59">
        <f>+Tableau4[[#This Row],[KDU]]</f>
        <v>126180.26</v>
      </c>
      <c r="F29" s="59">
        <f>+Tableau5[[#This Row],[KDU]]</f>
        <v>0</v>
      </c>
      <c r="G29" s="59">
        <f>+Tableau6[[#This Row],[KDU]]</f>
        <v>-12799.57</v>
      </c>
      <c r="H29" s="59">
        <f>+Tableau7[[#This Row],[KDU]]</f>
        <v>413580.02</v>
      </c>
      <c r="I29" s="59">
        <f>+Tableau8[[#This Row],[KDU]]</f>
        <v>0</v>
      </c>
      <c r="J29" s="59">
        <f>+Tableau9[[#This Row],[KDU]]</f>
        <v>9236.35</v>
      </c>
      <c r="K29" s="59">
        <f>+Tableau10[[#This Row],[KDU]]</f>
        <v>0</v>
      </c>
      <c r="L29" s="59">
        <f>+Tableau11[[#This Row],[KDU]]</f>
        <v>250296.38</v>
      </c>
      <c r="M29" s="59">
        <f>+Tableau12[[#This Row],[KDU]]</f>
        <v>0</v>
      </c>
      <c r="N29" s="59">
        <f>+Tableau13[[#This Row],[KDU]]</f>
        <v>0</v>
      </c>
      <c r="O29" s="59">
        <f t="shared" si="0"/>
        <v>2203693.96</v>
      </c>
      <c r="P29" s="318">
        <v>1953397.58</v>
      </c>
      <c r="Q29" s="317">
        <f t="shared" si="1"/>
        <v>250296.37999999989</v>
      </c>
    </row>
    <row r="30" spans="1:17" s="27" customFormat="1" ht="30.75" customHeight="1" thickBot="1" x14ac:dyDescent="0.4">
      <c r="A30" s="194" t="s">
        <v>26</v>
      </c>
      <c r="B30" s="85" t="s">
        <v>27</v>
      </c>
      <c r="C30" s="62">
        <f>+Tableau2[[#This Row],[KDU]]</f>
        <v>-1063261.0299999998</v>
      </c>
      <c r="D30" s="62">
        <f>+Tableau3[[#This Row],[KDU]]</f>
        <v>-154800.9</v>
      </c>
      <c r="E30" s="62">
        <f>+Tableau4[[#This Row],[KDU]]</f>
        <v>-27065.599999999991</v>
      </c>
      <c r="F30" s="62">
        <f>+Tableau5[[#This Row],[KDU]]</f>
        <v>0</v>
      </c>
      <c r="G30" s="62">
        <f>+Tableau6[[#This Row],[KDU]]</f>
        <v>12799.57</v>
      </c>
      <c r="H30" s="62">
        <f>+Tableau7[[#This Row],[KDU]]</f>
        <v>-402404.85000000003</v>
      </c>
      <c r="I30" s="62">
        <f>+Tableau8[[#This Row],[KDU]]</f>
        <v>81006.34</v>
      </c>
      <c r="J30" s="62">
        <f>+Tableau9[[#This Row],[KDU]]</f>
        <v>617587.79</v>
      </c>
      <c r="K30" s="62">
        <f>+Tableau10[[#This Row],[KDU]]</f>
        <v>83007.09</v>
      </c>
      <c r="L30" s="62">
        <f>+Tableau11[[#This Row],[KDU]]</f>
        <v>111442.48999999999</v>
      </c>
      <c r="M30" s="62">
        <f>+Tableau12[[#This Row],[KDU]]</f>
        <v>0</v>
      </c>
      <c r="N30" s="62">
        <f>+Tableau13[[#This Row],[KDU]]</f>
        <v>0</v>
      </c>
      <c r="O30" s="62">
        <f t="shared" si="0"/>
        <v>-741689.09999999974</v>
      </c>
      <c r="P30" s="316">
        <v>-936138.68</v>
      </c>
      <c r="Q30" s="317">
        <f t="shared" si="1"/>
        <v>194449.58000000031</v>
      </c>
    </row>
    <row r="31" spans="1:17" s="27" customFormat="1" ht="30.75" customHeight="1" thickBot="1" x14ac:dyDescent="0.4">
      <c r="A31" s="194" t="s">
        <v>28</v>
      </c>
      <c r="B31" s="85" t="s">
        <v>29</v>
      </c>
      <c r="C31" s="62">
        <f>+Tableau2[[#This Row],[KDU]]</f>
        <v>-22872735.250000011</v>
      </c>
      <c r="D31" s="62">
        <f>+Tableau3[[#This Row],[KDU]]</f>
        <v>-13751546.880000019</v>
      </c>
      <c r="E31" s="62">
        <f>+Tableau4[[#This Row],[KDU]]</f>
        <v>-3883488.7000000081</v>
      </c>
      <c r="F31" s="62">
        <f>+Tableau5[[#This Row],[KDU]]</f>
        <v>-6244374.7599999979</v>
      </c>
      <c r="G31" s="62">
        <f>+Tableau6[[#This Row],[KDU]]</f>
        <v>-15654573.449999992</v>
      </c>
      <c r="H31" s="62">
        <f>+Tableau7[[#This Row],[KDU]]</f>
        <v>-7655502.3799999915</v>
      </c>
      <c r="I31" s="62">
        <f>+Tableau8[[#This Row],[KDU]]</f>
        <v>-31840796.940000001</v>
      </c>
      <c r="J31" s="62">
        <f>+Tableau9[[#This Row],[KDU]]</f>
        <v>-12594345.210000023</v>
      </c>
      <c r="K31" s="62">
        <f>+Tableau10[[#This Row],[KDU]]</f>
        <v>-21035560.719999999</v>
      </c>
      <c r="L31" s="62">
        <f>+Tableau11[[#This Row],[KDU]]</f>
        <v>2333651.3700000141</v>
      </c>
      <c r="M31" s="62">
        <f>+Tableau12[[#This Row],[KDU]]</f>
        <v>13607609.919999978</v>
      </c>
      <c r="N31" s="62">
        <f>+Tableau13[[#This Row],[KDU]]</f>
        <v>21123236.630000025</v>
      </c>
      <c r="O31" s="62">
        <f t="shared" si="0"/>
        <v>-98468426.370000035</v>
      </c>
      <c r="P31" s="316">
        <v>-134816211.99000001</v>
      </c>
      <c r="Q31" s="317">
        <f t="shared" si="1"/>
        <v>36347785.619999975</v>
      </c>
    </row>
    <row r="32" spans="1:17" s="32" customFormat="1" ht="30.75" customHeight="1" x14ac:dyDescent="0.35">
      <c r="A32" s="192" t="s">
        <v>30</v>
      </c>
      <c r="B32" s="84" t="s">
        <v>31</v>
      </c>
      <c r="C32" s="52">
        <f>+Tableau2[[#This Row],[KDU]]</f>
        <v>0</v>
      </c>
      <c r="D32" s="52">
        <f>+Tableau3[[#This Row],[KDU]]</f>
        <v>0</v>
      </c>
      <c r="E32" s="52">
        <f>+Tableau4[[#This Row],[KDU]]</f>
        <v>0</v>
      </c>
      <c r="F32" s="52">
        <f>+Tableau5[[#This Row],[KDU]]</f>
        <v>0</v>
      </c>
      <c r="G32" s="52">
        <f>+Tableau6[[#This Row],[KDU]]</f>
        <v>0</v>
      </c>
      <c r="H32" s="52">
        <f>+Tableau7[[#This Row],[KDU]]</f>
        <v>0</v>
      </c>
      <c r="I32" s="52">
        <f>+Tableau8[[#This Row],[KDU]]</f>
        <v>0</v>
      </c>
      <c r="J32" s="52">
        <f>+Tableau9[[#This Row],[KDU]]</f>
        <v>0</v>
      </c>
      <c r="K32" s="52">
        <f>+Tableau10[[#This Row],[KDU]]</f>
        <v>0</v>
      </c>
      <c r="L32" s="52">
        <f>+Tableau11[[#This Row],[KDU]]</f>
        <v>0</v>
      </c>
      <c r="M32" s="52">
        <f>+Tableau12[[#This Row],[KDU]]</f>
        <v>0</v>
      </c>
      <c r="N32" s="52">
        <f>+Tableau13[[#This Row],[KDU]]</f>
        <v>0</v>
      </c>
      <c r="O32" s="52">
        <f t="shared" si="0"/>
        <v>0</v>
      </c>
      <c r="P32" s="318"/>
      <c r="Q32" s="317">
        <f t="shared" si="1"/>
        <v>0</v>
      </c>
    </row>
    <row r="33" spans="1:17" s="32" customFormat="1" ht="30.75" customHeight="1" x14ac:dyDescent="0.35">
      <c r="A33" s="196" t="s">
        <v>32</v>
      </c>
      <c r="B33" s="81" t="s">
        <v>33</v>
      </c>
      <c r="C33" s="55">
        <f>+Tableau2[[#This Row],[KDU]]</f>
        <v>0</v>
      </c>
      <c r="D33" s="55">
        <f>+Tableau3[[#This Row],[KDU]]</f>
        <v>0</v>
      </c>
      <c r="E33" s="55">
        <f>+Tableau4[[#This Row],[KDU]]</f>
        <v>0</v>
      </c>
      <c r="F33" s="55">
        <f>+Tableau5[[#This Row],[KDU]]</f>
        <v>0</v>
      </c>
      <c r="G33" s="55">
        <f>+Tableau6[[#This Row],[KDU]]</f>
        <v>0</v>
      </c>
      <c r="H33" s="55">
        <f>+Tableau7[[#This Row],[KDU]]</f>
        <v>0</v>
      </c>
      <c r="I33" s="55">
        <f>+Tableau8[[#This Row],[KDU]]</f>
        <v>0</v>
      </c>
      <c r="J33" s="55">
        <f>+Tableau9[[#This Row],[KDU]]</f>
        <v>0</v>
      </c>
      <c r="K33" s="55">
        <f>+Tableau10[[#This Row],[KDU]]</f>
        <v>0</v>
      </c>
      <c r="L33" s="55">
        <f>+Tableau11[[#This Row],[KDU]]</f>
        <v>0</v>
      </c>
      <c r="M33" s="55">
        <f>+Tableau12[[#This Row],[KDU]]</f>
        <v>0</v>
      </c>
      <c r="N33" s="55">
        <f>+Tableau13[[#This Row],[KDU]]</f>
        <v>0</v>
      </c>
      <c r="O33" s="55">
        <f t="shared" si="0"/>
        <v>0</v>
      </c>
      <c r="P33" s="318"/>
      <c r="Q33" s="317">
        <f t="shared" si="1"/>
        <v>0</v>
      </c>
    </row>
    <row r="34" spans="1:17" s="37" customFormat="1" ht="30.75" customHeight="1" x14ac:dyDescent="0.35">
      <c r="A34" s="197"/>
      <c r="B34" s="88" t="s">
        <v>45</v>
      </c>
      <c r="C34" s="75">
        <f>+Tableau2[[#This Row],[KDU]]</f>
        <v>134095352.78</v>
      </c>
      <c r="D34" s="75">
        <f>+Tableau3[[#This Row],[KDU]]</f>
        <v>113860110.37999998</v>
      </c>
      <c r="E34" s="75">
        <f>+Tableau4[[#This Row],[KDU]]</f>
        <v>198085572.03</v>
      </c>
      <c r="F34" s="75">
        <f>+Tableau5[[#This Row],[KDU]]</f>
        <v>115878158.41</v>
      </c>
      <c r="G34" s="75">
        <f>+Tableau6[[#This Row],[KDU]]</f>
        <v>112403555.94</v>
      </c>
      <c r="H34" s="75">
        <f>+Tableau7[[#This Row],[KDU]]</f>
        <v>134583304.88999999</v>
      </c>
      <c r="I34" s="75">
        <f>+Tableau8[[#This Row],[KDU]]</f>
        <v>76313615.540000007</v>
      </c>
      <c r="J34" s="75">
        <f>+Tableau9[[#This Row],[KDU]]</f>
        <v>120361399.52999999</v>
      </c>
      <c r="K34" s="75">
        <f>+Tableau10[[#This Row],[KDU]]</f>
        <v>100009597.65000001</v>
      </c>
      <c r="L34" s="75">
        <f>+Tableau11[[#This Row],[KDU]]</f>
        <v>195746215.50999999</v>
      </c>
      <c r="M34" s="75">
        <f>+Tableau12[[#This Row],[KDU]]</f>
        <v>156715913.21999997</v>
      </c>
      <c r="N34" s="75">
        <f>+Tableau13[[#This Row],[KDU]]</f>
        <v>253570690.49000001</v>
      </c>
      <c r="O34" s="75">
        <f t="shared" si="0"/>
        <v>1711623486.3699999</v>
      </c>
      <c r="P34" s="319">
        <v>1105408277.04</v>
      </c>
      <c r="Q34" s="317">
        <f t="shared" si="1"/>
        <v>606215209.32999992</v>
      </c>
    </row>
    <row r="35" spans="1:17" s="37" customFormat="1" ht="30.75" customHeight="1" thickBot="1" x14ac:dyDescent="0.4">
      <c r="A35" s="198"/>
      <c r="B35" s="89" t="s">
        <v>46</v>
      </c>
      <c r="C35" s="77">
        <f t="shared" ref="C35:O35" si="3">+C16+C18+C19+C25+C22+C29+C33+C32</f>
        <v>156968088.03</v>
      </c>
      <c r="D35" s="77">
        <f t="shared" si="3"/>
        <v>127611657.26000001</v>
      </c>
      <c r="E35" s="77">
        <f t="shared" si="3"/>
        <v>201969060.73000002</v>
      </c>
      <c r="F35" s="77">
        <f t="shared" si="3"/>
        <v>122122533.16999999</v>
      </c>
      <c r="G35" s="77">
        <f t="shared" si="3"/>
        <v>128058129.39000002</v>
      </c>
      <c r="H35" s="77">
        <f t="shared" si="3"/>
        <v>142238807.27000001</v>
      </c>
      <c r="I35" s="77">
        <f t="shared" si="3"/>
        <v>108154412.47999999</v>
      </c>
      <c r="J35" s="77">
        <f t="shared" si="3"/>
        <v>132955744.74000001</v>
      </c>
      <c r="K35" s="77">
        <f t="shared" si="3"/>
        <v>121045158.36999999</v>
      </c>
      <c r="L35" s="77">
        <f t="shared" si="3"/>
        <v>193412564.13999999</v>
      </c>
      <c r="M35" s="77">
        <f t="shared" si="3"/>
        <v>143108303.29999998</v>
      </c>
      <c r="N35" s="77">
        <f t="shared" si="3"/>
        <v>232447453.85999998</v>
      </c>
      <c r="O35" s="77">
        <f t="shared" si="3"/>
        <v>1810091912.7400002</v>
      </c>
      <c r="P35" s="319">
        <v>1240224489.03</v>
      </c>
      <c r="Q35" s="317">
        <f t="shared" si="1"/>
        <v>569867423.71000028</v>
      </c>
    </row>
    <row r="36" spans="1:17" s="27" customFormat="1" ht="30.75" customHeight="1" thickBot="1" x14ac:dyDescent="0.4">
      <c r="A36" s="194" t="s">
        <v>34</v>
      </c>
      <c r="B36" s="85" t="s">
        <v>35</v>
      </c>
      <c r="C36" s="62">
        <f>+Tableau2[[#This Row],[KDU]]</f>
        <v>-22872735.25</v>
      </c>
      <c r="D36" s="62">
        <f>+Tableau3[[#This Row],[KDU]]</f>
        <v>-13751546.880000025</v>
      </c>
      <c r="E36" s="62">
        <f>+Tableau4[[#This Row],[KDU]]</f>
        <v>-3883488.7000000179</v>
      </c>
      <c r="F36" s="62">
        <f>+Tableau5[[#This Row],[KDU]]</f>
        <v>-6244374.7599999905</v>
      </c>
      <c r="G36" s="62">
        <f>+Tableau6[[#This Row],[KDU]]</f>
        <v>-15654573.450000018</v>
      </c>
      <c r="H36" s="62">
        <f>+Tableau7[[#This Row],[KDU]]</f>
        <v>-7655502.380000025</v>
      </c>
      <c r="I36" s="62">
        <f>+Tableau8[[#This Row],[KDU]]</f>
        <v>-31840796.939999983</v>
      </c>
      <c r="J36" s="62">
        <f>+Tableau9[[#This Row],[KDU]]</f>
        <v>-12594345.210000023</v>
      </c>
      <c r="K36" s="62">
        <f>+Tableau10[[#This Row],[KDU]]</f>
        <v>-21035560.719999984</v>
      </c>
      <c r="L36" s="62">
        <f>+Tableau11[[#This Row],[KDU]]</f>
        <v>2333651.3700000048</v>
      </c>
      <c r="M36" s="62">
        <f>+Tableau12[[#This Row],[KDU]]</f>
        <v>13607609.919999987</v>
      </c>
      <c r="N36" s="62">
        <f>+Tableau13[[#This Row],[KDU]]</f>
        <v>21123236.630000025</v>
      </c>
      <c r="O36" s="62">
        <f t="shared" si="0"/>
        <v>-98468426.370000064</v>
      </c>
      <c r="P36" s="316">
        <v>-134816211.99000001</v>
      </c>
      <c r="Q36" s="317">
        <f t="shared" si="1"/>
        <v>36347785.619999945</v>
      </c>
    </row>
    <row r="37" spans="1:17" s="32" customFormat="1" ht="30.75" customHeight="1" x14ac:dyDescent="0.35">
      <c r="A37" s="192">
        <v>77</v>
      </c>
      <c r="B37" s="84" t="s">
        <v>36</v>
      </c>
      <c r="C37" s="52">
        <f>+Tableau2[[#This Row],[KDU]]</f>
        <v>0</v>
      </c>
      <c r="D37" s="52">
        <f>+Tableau3[[#This Row],[KDU]]</f>
        <v>0</v>
      </c>
      <c r="E37" s="52">
        <f>+Tableau4[[#This Row],[KDU]]</f>
        <v>0</v>
      </c>
      <c r="F37" s="52">
        <f>+Tableau5[[#This Row],[KDU]]</f>
        <v>0</v>
      </c>
      <c r="G37" s="52">
        <f>+Tableau6[[#This Row],[KDU]]</f>
        <v>0</v>
      </c>
      <c r="H37" s="52">
        <f>+Tableau7[[#This Row],[KDU]]</f>
        <v>0</v>
      </c>
      <c r="I37" s="52">
        <f>+Tableau8[[#This Row],[KDU]]</f>
        <v>0</v>
      </c>
      <c r="J37" s="52">
        <f>+Tableau9[[#This Row],[KDU]]</f>
        <v>0</v>
      </c>
      <c r="K37" s="52">
        <f>+Tableau10[[#This Row],[KDU]]</f>
        <v>0</v>
      </c>
      <c r="L37" s="52">
        <f>+Tableau11[[#This Row],[KDU]]</f>
        <v>0</v>
      </c>
      <c r="M37" s="52">
        <f>+Tableau12[[#This Row],[KDU]]</f>
        <v>0</v>
      </c>
      <c r="N37" s="52">
        <f>+Tableau13[[#This Row],[KDU]]</f>
        <v>0</v>
      </c>
      <c r="O37" s="52">
        <f t="shared" si="0"/>
        <v>0</v>
      </c>
      <c r="P37" s="318"/>
      <c r="Q37" s="317">
        <f t="shared" si="1"/>
        <v>0</v>
      </c>
    </row>
    <row r="38" spans="1:17" s="32" customFormat="1" ht="30.75" customHeight="1" thickBot="1" x14ac:dyDescent="0.4">
      <c r="A38" s="193">
        <v>67</v>
      </c>
      <c r="B38" s="82" t="s">
        <v>37</v>
      </c>
      <c r="C38" s="59">
        <f>+Tableau2[[#This Row],[KDU]]</f>
        <v>0</v>
      </c>
      <c r="D38" s="59">
        <f>+Tableau3[[#This Row],[KDU]]</f>
        <v>0</v>
      </c>
      <c r="E38" s="59">
        <f>+Tableau4[[#This Row],[KDU]]</f>
        <v>0</v>
      </c>
      <c r="F38" s="59">
        <f>+Tableau5[[#This Row],[KDU]]</f>
        <v>0</v>
      </c>
      <c r="G38" s="59">
        <f>+Tableau6[[#This Row],[KDU]]</f>
        <v>0</v>
      </c>
      <c r="H38" s="59">
        <f>+Tableau7[[#This Row],[KDU]]</f>
        <v>0</v>
      </c>
      <c r="I38" s="59">
        <f>+Tableau8[[#This Row],[KDU]]</f>
        <v>0</v>
      </c>
      <c r="J38" s="59">
        <f>+Tableau9[[#This Row],[KDU]]</f>
        <v>0</v>
      </c>
      <c r="K38" s="59">
        <f>+Tableau10[[#This Row],[KDU]]</f>
        <v>0</v>
      </c>
      <c r="L38" s="59">
        <f>+Tableau11[[#This Row],[KDU]]</f>
        <v>0</v>
      </c>
      <c r="M38" s="59">
        <f>+Tableau12[[#This Row],[KDU]]</f>
        <v>0</v>
      </c>
      <c r="N38" s="59">
        <f>+Tableau13[[#This Row],[KDU]]</f>
        <v>0</v>
      </c>
      <c r="O38" s="59">
        <f t="shared" si="0"/>
        <v>0</v>
      </c>
      <c r="P38" s="318"/>
      <c r="Q38" s="317">
        <f t="shared" si="1"/>
        <v>0</v>
      </c>
    </row>
    <row r="39" spans="1:17" s="27" customFormat="1" ht="30.75" customHeight="1" thickBot="1" x14ac:dyDescent="0.4">
      <c r="A39" s="194" t="s">
        <v>38</v>
      </c>
      <c r="B39" s="85" t="s">
        <v>39</v>
      </c>
      <c r="C39" s="62">
        <f>+Tableau2[[#This Row],[KDU]]</f>
        <v>0</v>
      </c>
      <c r="D39" s="62">
        <f>+Tableau3[[#This Row],[KDU]]</f>
        <v>0</v>
      </c>
      <c r="E39" s="62">
        <f>+Tableau4[[#This Row],[KDU]]</f>
        <v>0</v>
      </c>
      <c r="F39" s="62">
        <f>+Tableau5[[#This Row],[KDU]]</f>
        <v>0</v>
      </c>
      <c r="G39" s="62">
        <f>+Tableau6[[#This Row],[KDU]]</f>
        <v>0</v>
      </c>
      <c r="H39" s="62">
        <f>+Tableau7[[#This Row],[KDU]]</f>
        <v>0</v>
      </c>
      <c r="I39" s="62">
        <f>+Tableau8[[#This Row],[KDU]]</f>
        <v>0</v>
      </c>
      <c r="J39" s="62">
        <f>+Tableau9[[#This Row],[KDU]]</f>
        <v>0</v>
      </c>
      <c r="K39" s="62">
        <f>+Tableau10[[#This Row],[KDU]]</f>
        <v>0</v>
      </c>
      <c r="L39" s="62">
        <f>+Tableau11[[#This Row],[KDU]]</f>
        <v>0</v>
      </c>
      <c r="M39" s="62">
        <f>+Tableau12[[#This Row],[KDU]]</f>
        <v>0</v>
      </c>
      <c r="N39" s="62">
        <f>+Tableau13[[#This Row],[KDU]]</f>
        <v>0</v>
      </c>
      <c r="O39" s="62">
        <f t="shared" si="0"/>
        <v>0</v>
      </c>
      <c r="P39" s="316"/>
      <c r="Q39" s="317">
        <f t="shared" si="1"/>
        <v>0</v>
      </c>
    </row>
    <row r="40" spans="1:17" s="27" customFormat="1" ht="30.6" customHeight="1" thickBot="1" x14ac:dyDescent="0.4">
      <c r="A40" s="194" t="s">
        <v>40</v>
      </c>
      <c r="B40" s="85" t="s">
        <v>41</v>
      </c>
      <c r="C40" s="62">
        <f>+Tableau2[[#This Row],[KDU]]</f>
        <v>-22872735.25</v>
      </c>
      <c r="D40" s="62">
        <f>+Tableau3[[#This Row],[KDU]]</f>
        <v>-13751546.880000025</v>
      </c>
      <c r="E40" s="62">
        <f>+Tableau4[[#This Row],[KDU]]</f>
        <v>-3883488.7000000179</v>
      </c>
      <c r="F40" s="62">
        <f>+Tableau5[[#This Row],[KDU]]</f>
        <v>-6244374.7599999905</v>
      </c>
      <c r="G40" s="62">
        <f>+Tableau6[[#This Row],[KDU]]</f>
        <v>-15654573.450000018</v>
      </c>
      <c r="H40" s="62">
        <f>+Tableau7[[#This Row],[KDU]]</f>
        <v>-7655502.380000025</v>
      </c>
      <c r="I40" s="62">
        <f>+Tableau8[[#This Row],[KDU]]</f>
        <v>-31840796.939999983</v>
      </c>
      <c r="J40" s="62">
        <f>+Tableau9[[#This Row],[KDU]]</f>
        <v>-12594345.210000023</v>
      </c>
      <c r="K40" s="62">
        <f>+Tableau10[[#This Row],[KDU]]</f>
        <v>-21035560.719999984</v>
      </c>
      <c r="L40" s="62">
        <f>+Tableau11[[#This Row],[KDU]]</f>
        <v>2333651.3700000048</v>
      </c>
      <c r="M40" s="62">
        <f>+Tableau12[[#This Row],[KDU]]</f>
        <v>13607609.919999987</v>
      </c>
      <c r="N40" s="62">
        <f>+Tableau13[[#This Row],[KDU]]</f>
        <v>21123236.630000025</v>
      </c>
      <c r="O40" s="62">
        <f t="shared" si="0"/>
        <v>-98468426.370000064</v>
      </c>
      <c r="P40" s="316">
        <v>-134816211.99000001</v>
      </c>
      <c r="Q40" s="317">
        <f t="shared" si="1"/>
        <v>36347785.619999945</v>
      </c>
    </row>
    <row r="41" spans="1:17" s="27" customFormat="1" ht="11.4" customHeight="1" thickBot="1" x14ac:dyDescent="0.4">
      <c r="A41" s="90"/>
      <c r="B41" s="90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316"/>
      <c r="Q41" s="316"/>
    </row>
    <row r="42" spans="1:17" s="27" customFormat="1" ht="18.600000000000001" thickBot="1" x14ac:dyDescent="0.4">
      <c r="A42" s="348" t="s">
        <v>51</v>
      </c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50"/>
      <c r="P42" s="316"/>
      <c r="Q42" s="316"/>
    </row>
    <row r="43" spans="1:17" s="37" customFormat="1" ht="18" x14ac:dyDescent="0.35">
      <c r="A43" s="199">
        <v>1</v>
      </c>
      <c r="B43" s="200" t="s">
        <v>52</v>
      </c>
      <c r="C43" s="201">
        <f t="shared" ref="C43:O43" si="4">+C12/C7</f>
        <v>3.6746326905834934</v>
      </c>
      <c r="D43" s="201">
        <f t="shared" si="4"/>
        <v>2.2790576126564877</v>
      </c>
      <c r="E43" s="201">
        <f t="shared" si="4"/>
        <v>2.3248557190429096</v>
      </c>
      <c r="F43" s="201">
        <f t="shared" si="4"/>
        <v>1.3186534568925459</v>
      </c>
      <c r="G43" s="201">
        <f t="shared" si="4"/>
        <v>1.3267145651201022</v>
      </c>
      <c r="H43" s="201">
        <f t="shared" si="4"/>
        <v>0.83649680716676411</v>
      </c>
      <c r="I43" s="201">
        <f t="shared" si="4"/>
        <v>2.1590884869233422</v>
      </c>
      <c r="J43" s="201">
        <f t="shared" si="4"/>
        <v>1.1308987579694203</v>
      </c>
      <c r="K43" s="201">
        <f t="shared" si="4"/>
        <v>1.1096219037978337</v>
      </c>
      <c r="L43" s="201">
        <f t="shared" si="4"/>
        <v>1.790800254765448</v>
      </c>
      <c r="M43" s="201">
        <f t="shared" si="4"/>
        <v>1.2348371277702872</v>
      </c>
      <c r="N43" s="201">
        <f t="shared" si="4"/>
        <v>1.7090982816347593</v>
      </c>
      <c r="O43" s="201">
        <f t="shared" si="4"/>
        <v>1.5273699072680278</v>
      </c>
      <c r="P43" s="319"/>
      <c r="Q43" s="319"/>
    </row>
    <row r="44" spans="1:17" s="37" customFormat="1" ht="18" x14ac:dyDescent="0.35">
      <c r="A44" s="92">
        <v>2</v>
      </c>
      <c r="B44" s="93" t="s">
        <v>53</v>
      </c>
      <c r="C44" s="95">
        <f t="shared" ref="C44:O44" si="5">+C13/C7</f>
        <v>3.1665328258350418</v>
      </c>
      <c r="D44" s="95">
        <f t="shared" si="5"/>
        <v>1.7250431308912471</v>
      </c>
      <c r="E44" s="95">
        <f t="shared" si="5"/>
        <v>1.8928365963424973</v>
      </c>
      <c r="F44" s="95">
        <f t="shared" si="5"/>
        <v>0.98233409688839346</v>
      </c>
      <c r="G44" s="95">
        <f t="shared" si="5"/>
        <v>1.0454836479087763</v>
      </c>
      <c r="H44" s="95">
        <f t="shared" si="5"/>
        <v>0.63626916730889482</v>
      </c>
      <c r="I44" s="95">
        <f t="shared" si="5"/>
        <v>1.6345824897237151</v>
      </c>
      <c r="J44" s="95">
        <f t="shared" si="5"/>
        <v>0.80903702379766229</v>
      </c>
      <c r="K44" s="95">
        <f t="shared" si="5"/>
        <v>0.92142723744881871</v>
      </c>
      <c r="L44" s="95">
        <f t="shared" si="5"/>
        <v>1.4060175023654025</v>
      </c>
      <c r="M44" s="95">
        <f t="shared" si="5"/>
        <v>0.81428945319879942</v>
      </c>
      <c r="N44" s="95">
        <f t="shared" si="5"/>
        <v>1.2789714616202714</v>
      </c>
      <c r="O44" s="95">
        <f t="shared" si="5"/>
        <v>1.1725486634811291</v>
      </c>
      <c r="P44" s="319"/>
      <c r="Q44" s="319"/>
    </row>
    <row r="45" spans="1:17" s="36" customFormat="1" ht="18" x14ac:dyDescent="0.35">
      <c r="A45" s="223">
        <v>3</v>
      </c>
      <c r="B45" s="224" t="s">
        <v>56</v>
      </c>
      <c r="C45" s="140">
        <f t="shared" ref="C45:O45" si="6">+C13/C12</f>
        <v>0.86172771334384157</v>
      </c>
      <c r="D45" s="140">
        <f t="shared" si="6"/>
        <v>0.75691071665385545</v>
      </c>
      <c r="E45" s="140">
        <f t="shared" si="6"/>
        <v>0.8141737918780334</v>
      </c>
      <c r="F45" s="140">
        <f t="shared" si="6"/>
        <v>0.74495242988502763</v>
      </c>
      <c r="G45" s="140">
        <f t="shared" si="6"/>
        <v>0.78802454981274217</v>
      </c>
      <c r="H45" s="140">
        <f t="shared" si="6"/>
        <v>0.76063550016879877</v>
      </c>
      <c r="I45" s="140">
        <f t="shared" si="6"/>
        <v>0.75707063403082775</v>
      </c>
      <c r="J45" s="140">
        <f t="shared" si="6"/>
        <v>0.71539297226776044</v>
      </c>
      <c r="K45" s="140">
        <f t="shared" si="6"/>
        <v>0.83039748430984217</v>
      </c>
      <c r="L45" s="140">
        <f t="shared" si="6"/>
        <v>0.78513362873602954</v>
      </c>
      <c r="M45" s="140">
        <f t="shared" si="6"/>
        <v>0.65943065274457724</v>
      </c>
      <c r="N45" s="140">
        <f t="shared" si="6"/>
        <v>0.74833113774880766</v>
      </c>
      <c r="O45" s="140">
        <f t="shared" si="6"/>
        <v>0.76769134831158248</v>
      </c>
      <c r="P45" s="320"/>
      <c r="Q45" s="320"/>
    </row>
    <row r="46" spans="1:17" s="37" customFormat="1" ht="18" x14ac:dyDescent="0.35">
      <c r="A46" s="92">
        <v>4</v>
      </c>
      <c r="B46" s="93" t="s">
        <v>57</v>
      </c>
      <c r="C46" s="95">
        <f t="shared" ref="C46:O46" si="7">+C16/C12</f>
        <v>0.90242868490229633</v>
      </c>
      <c r="D46" s="95">
        <f t="shared" si="7"/>
        <v>0.80598497774397815</v>
      </c>
      <c r="E46" s="95">
        <f t="shared" si="7"/>
        <v>0.84083599294917111</v>
      </c>
      <c r="F46" s="95">
        <f t="shared" si="7"/>
        <v>0.77798504446023409</v>
      </c>
      <c r="G46" s="95">
        <f t="shared" si="7"/>
        <v>0.83699298976892578</v>
      </c>
      <c r="H46" s="95">
        <f t="shared" si="7"/>
        <v>0.80598140545645935</v>
      </c>
      <c r="I46" s="95">
        <f t="shared" si="7"/>
        <v>0.8092592399442079</v>
      </c>
      <c r="J46" s="95">
        <f t="shared" si="7"/>
        <v>0.77333304410676618</v>
      </c>
      <c r="K46" s="95">
        <f t="shared" si="7"/>
        <v>0.89463018893133162</v>
      </c>
      <c r="L46" s="95">
        <f t="shared" si="7"/>
        <v>0.81217700731597109</v>
      </c>
      <c r="M46" s="95">
        <f t="shared" si="7"/>
        <v>0.69353055928566254</v>
      </c>
      <c r="N46" s="95">
        <f t="shared" si="7"/>
        <v>0.77236779201610506</v>
      </c>
      <c r="O46" s="95">
        <f t="shared" si="7"/>
        <v>0.80614473835642175</v>
      </c>
      <c r="P46" s="319"/>
      <c r="Q46" s="319"/>
    </row>
    <row r="47" spans="1:17" s="37" customFormat="1" ht="18" x14ac:dyDescent="0.35">
      <c r="A47" s="92">
        <v>5</v>
      </c>
      <c r="B47" s="93" t="s">
        <v>58</v>
      </c>
      <c r="C47" s="95">
        <f t="shared" ref="C47:O47" si="8">+C18/C12</f>
        <v>0.21673608121516205</v>
      </c>
      <c r="D47" s="95">
        <f t="shared" si="8"/>
        <v>0.26765889807720811</v>
      </c>
      <c r="E47" s="95">
        <f t="shared" si="8"/>
        <v>0.14704583241370603</v>
      </c>
      <c r="F47" s="95">
        <f t="shared" si="8"/>
        <v>0.24287705878443386</v>
      </c>
      <c r="G47" s="95">
        <f t="shared" si="8"/>
        <v>0.25422761534868099</v>
      </c>
      <c r="H47" s="95">
        <f t="shared" si="8"/>
        <v>0.2020828167273723</v>
      </c>
      <c r="I47" s="95">
        <f t="shared" si="8"/>
        <v>0.53071855474198959</v>
      </c>
      <c r="J47" s="95">
        <f t="shared" si="8"/>
        <v>0.28519811261112582</v>
      </c>
      <c r="K47" s="95">
        <f t="shared" si="8"/>
        <v>0.25815555092837295</v>
      </c>
      <c r="L47" s="95">
        <f t="shared" si="8"/>
        <v>0.14110976416932799</v>
      </c>
      <c r="M47" s="95">
        <f t="shared" si="8"/>
        <v>0.17429959261860897</v>
      </c>
      <c r="N47" s="95">
        <f t="shared" si="8"/>
        <v>0.11532071070522389</v>
      </c>
      <c r="O47" s="95">
        <f t="shared" si="8"/>
        <v>0.20860330776087144</v>
      </c>
      <c r="P47" s="319"/>
      <c r="Q47" s="319"/>
    </row>
    <row r="48" spans="1:17" s="37" customFormat="1" ht="18" x14ac:dyDescent="0.35">
      <c r="A48" s="92">
        <v>6</v>
      </c>
      <c r="B48" s="93" t="s">
        <v>54</v>
      </c>
      <c r="C48" s="95">
        <f t="shared" ref="C48:O48" si="9">+C17/C18</f>
        <v>0.4501849186838483</v>
      </c>
      <c r="D48" s="95">
        <f t="shared" si="9"/>
        <v>0.72485922810627745</v>
      </c>
      <c r="E48" s="95">
        <f t="shared" si="9"/>
        <v>1.0824108676744337</v>
      </c>
      <c r="F48" s="95">
        <f t="shared" si="9"/>
        <v>0.91410426596451788</v>
      </c>
      <c r="G48" s="95">
        <f t="shared" si="9"/>
        <v>0.641185301634148</v>
      </c>
      <c r="H48" s="95">
        <f t="shared" si="9"/>
        <v>0.96009446862218373</v>
      </c>
      <c r="I48" s="95">
        <f t="shared" si="9"/>
        <v>0.35940096375285258</v>
      </c>
      <c r="J48" s="95">
        <f t="shared" si="9"/>
        <v>0.79477018209548755</v>
      </c>
      <c r="K48" s="95">
        <f t="shared" si="9"/>
        <v>0.40816403400872026</v>
      </c>
      <c r="L48" s="95">
        <f t="shared" si="9"/>
        <v>1.3310417871483813</v>
      </c>
      <c r="M48" s="95">
        <f t="shared" si="9"/>
        <v>1.7582912048735191</v>
      </c>
      <c r="N48" s="95">
        <f t="shared" si="9"/>
        <v>1.9739056982206364</v>
      </c>
      <c r="O48" s="95">
        <f t="shared" si="9"/>
        <v>0.92930099586819859</v>
      </c>
      <c r="P48" s="319"/>
      <c r="Q48" s="319"/>
    </row>
    <row r="49" spans="1:17" s="37" customFormat="1" ht="18" x14ac:dyDescent="0.35">
      <c r="A49" s="92">
        <v>7</v>
      </c>
      <c r="B49" s="93" t="s">
        <v>55</v>
      </c>
      <c r="C49" s="95">
        <f t="shared" ref="C49:O49" si="10">+C20/C12</f>
        <v>-0.12194041208918149</v>
      </c>
      <c r="D49" s="95">
        <f t="shared" si="10"/>
        <v>-7.8035376503630974E-2</v>
      </c>
      <c r="E49" s="95">
        <f t="shared" si="10"/>
        <v>7.7579462482946877E-3</v>
      </c>
      <c r="F49" s="95">
        <f t="shared" si="10"/>
        <v>-2.8445597161769327E-2</v>
      </c>
      <c r="G49" s="95">
        <f t="shared" si="10"/>
        <v>-9.8535773028009352E-2</v>
      </c>
      <c r="H49" s="95">
        <f t="shared" si="10"/>
        <v>-2.0207862113868325E-2</v>
      </c>
      <c r="I49" s="95">
        <f t="shared" si="10"/>
        <v>-0.34461436642085147</v>
      </c>
      <c r="J49" s="95">
        <f t="shared" si="10"/>
        <v>-6.7380056690062848E-2</v>
      </c>
      <c r="K49" s="95">
        <f t="shared" si="10"/>
        <v>-0.16179846934164344</v>
      </c>
      <c r="L49" s="95">
        <f t="shared" si="10"/>
        <v>4.1129135321436687E-2</v>
      </c>
      <c r="M49" s="95">
        <f t="shared" si="10"/>
        <v>0.12407161755175307</v>
      </c>
      <c r="N49" s="95">
        <f t="shared" si="10"/>
        <v>0.10645927688307143</v>
      </c>
      <c r="O49" s="95">
        <f t="shared" si="10"/>
        <v>-2.1307751606667518E-2</v>
      </c>
      <c r="P49" s="319"/>
      <c r="Q49" s="319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O1:P1"/>
    <mergeCell ref="O2:P2"/>
    <mergeCell ref="O3:P3"/>
    <mergeCell ref="A42:O42"/>
    <mergeCell ref="A5:O5"/>
  </mergeCells>
  <conditionalFormatting sqref="C1:O4 C41:O41 C43:O1048576">
    <cfRule type="cellIs" dxfId="34" priority="9" operator="lessThan">
      <formula>-0.01</formula>
    </cfRule>
  </conditionalFormatting>
  <conditionalFormatting sqref="C7:C40">
    <cfRule type="cellIs" dxfId="33" priority="8" operator="lessThan">
      <formula>-0.01</formula>
    </cfRule>
  </conditionalFormatting>
  <conditionalFormatting sqref="D7:N40">
    <cfRule type="cellIs" dxfId="32" priority="7" operator="lessThan">
      <formula>-0.01</formula>
    </cfRule>
  </conditionalFormatting>
  <conditionalFormatting sqref="O7:O40">
    <cfRule type="cellIs" dxfId="31" priority="4" operator="lessThan">
      <formula>-0.01</formula>
    </cfRule>
  </conditionalFormatting>
  <conditionalFormatting sqref="C6:N6">
    <cfRule type="cellIs" dxfId="30" priority="2" operator="lessThan">
      <formula>-0.01</formula>
    </cfRule>
  </conditionalFormatting>
  <conditionalFormatting sqref="O6">
    <cfRule type="cellIs" dxfId="29" priority="1" operator="lessThan">
      <formula>-0.01</formula>
    </cfRule>
  </conditionalFormatting>
  <pageMargins left="0.15748031496062992" right="0.11811023622047245" top="0.15748031496062992" bottom="0.15748031496062992" header="0.15748031496062992" footer="0"/>
  <pageSetup paperSize="9" scale="40" orientation="landscape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9"/>
  <sheetViews>
    <sheetView view="pageBreakPreview" zoomScale="60" zoomScaleNormal="50" workbookViewId="0">
      <pane xSplit="2" ySplit="6" topLeftCell="C16" activePane="bottomRight" state="frozen"/>
      <selection activeCell="C5" sqref="C5:D5"/>
      <selection pane="topRight" activeCell="C5" sqref="C5:D5"/>
      <selection pane="bottomLeft" activeCell="C5" sqref="C5:D5"/>
      <selection pane="bottomRight" activeCell="C40" sqref="C40:N40"/>
    </sheetView>
  </sheetViews>
  <sheetFormatPr baseColWidth="10" defaultColWidth="11.44140625" defaultRowHeight="23.4" x14ac:dyDescent="0.45"/>
  <cols>
    <col min="1" max="1" width="7.6640625" style="2" customWidth="1"/>
    <col min="2" max="2" width="76.5546875" style="2" customWidth="1"/>
    <col min="3" max="14" width="19.77734375" style="3" customWidth="1"/>
    <col min="15" max="15" width="19.77734375" style="96" customWidth="1"/>
    <col min="16" max="16" width="18.109375" style="221" bestFit="1" customWidth="1"/>
    <col min="17" max="17" width="13.33203125" style="221" bestFit="1" customWidth="1"/>
    <col min="18" max="16384" width="11.44140625" style="1"/>
  </cols>
  <sheetData>
    <row r="1" spans="1:26" s="42" customFormat="1" ht="13.8" customHeight="1" x14ac:dyDescent="0.45">
      <c r="A1" s="25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4"/>
      <c r="P1" s="344"/>
      <c r="Q1" s="218"/>
      <c r="R1" s="39"/>
      <c r="S1" s="39"/>
      <c r="T1" s="39"/>
      <c r="U1" s="39"/>
      <c r="V1" s="39"/>
      <c r="W1" s="39"/>
      <c r="X1" s="39"/>
      <c r="Y1" s="39"/>
      <c r="Z1" s="39"/>
    </row>
    <row r="2" spans="1:26" s="42" customFormat="1" ht="13.8" customHeight="1" x14ac:dyDescent="0.45">
      <c r="A2" s="25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345"/>
      <c r="P2" s="345"/>
      <c r="Q2" s="218"/>
      <c r="R2" s="39"/>
      <c r="S2" s="39"/>
      <c r="T2" s="39"/>
      <c r="U2" s="39"/>
      <c r="V2" s="39"/>
      <c r="W2" s="39"/>
      <c r="X2" s="39"/>
      <c r="Y2" s="39"/>
      <c r="Z2" s="39"/>
    </row>
    <row r="3" spans="1:26" s="42" customFormat="1" ht="13.8" customHeight="1" x14ac:dyDescent="0.4">
      <c r="A3" s="46"/>
      <c r="B3" s="47"/>
      <c r="C3" s="99"/>
      <c r="D3" s="48"/>
      <c r="E3" s="228"/>
      <c r="F3" s="48"/>
      <c r="G3" s="48"/>
      <c r="H3" s="48"/>
      <c r="I3" s="48"/>
      <c r="J3" s="48"/>
      <c r="K3" s="48"/>
      <c r="L3" s="48"/>
      <c r="M3" s="48"/>
      <c r="N3" s="48"/>
      <c r="O3" s="346"/>
      <c r="P3" s="346"/>
      <c r="Q3" s="219"/>
      <c r="R3" s="46"/>
      <c r="S3" s="46"/>
      <c r="T3" s="46"/>
      <c r="U3" s="46"/>
      <c r="V3" s="46"/>
      <c r="W3" s="46"/>
      <c r="X3" s="46"/>
      <c r="Y3" s="46"/>
      <c r="Z3" s="46"/>
    </row>
    <row r="4" spans="1:26" s="42" customFormat="1" ht="13.8" customHeight="1" x14ac:dyDescent="0.4">
      <c r="A4" s="46"/>
      <c r="B4" s="46"/>
      <c r="C4" s="50"/>
      <c r="D4" s="293"/>
      <c r="E4" s="293"/>
      <c r="F4" s="293"/>
      <c r="G4" s="293"/>
      <c r="H4" s="293"/>
      <c r="I4" s="50"/>
      <c r="J4" s="50"/>
      <c r="K4" s="50"/>
      <c r="L4" s="50"/>
      <c r="M4" s="50"/>
      <c r="N4" s="50"/>
      <c r="O4" s="100"/>
      <c r="P4" s="220"/>
      <c r="Q4" s="220"/>
    </row>
    <row r="5" spans="1:26" ht="29.4" customHeight="1" thickBot="1" x14ac:dyDescent="0.55000000000000004">
      <c r="A5" s="347" t="s">
        <v>106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</row>
    <row r="6" spans="1:26" s="27" customFormat="1" ht="52.2" customHeight="1" thickBot="1" x14ac:dyDescent="0.4">
      <c r="A6" s="246" t="s">
        <v>0</v>
      </c>
      <c r="B6" s="246" t="s">
        <v>1</v>
      </c>
      <c r="C6" s="247">
        <v>44197</v>
      </c>
      <c r="D6" s="248">
        <v>44228</v>
      </c>
      <c r="E6" s="247">
        <v>44256</v>
      </c>
      <c r="F6" s="248">
        <v>44287</v>
      </c>
      <c r="G6" s="247">
        <v>44317</v>
      </c>
      <c r="H6" s="248">
        <v>44348</v>
      </c>
      <c r="I6" s="247">
        <v>44378</v>
      </c>
      <c r="J6" s="248">
        <v>44409</v>
      </c>
      <c r="K6" s="247">
        <v>44440</v>
      </c>
      <c r="L6" s="248">
        <v>44470</v>
      </c>
      <c r="M6" s="247">
        <v>44501</v>
      </c>
      <c r="N6" s="248">
        <v>44531</v>
      </c>
      <c r="O6" s="249" t="s">
        <v>85</v>
      </c>
    </row>
    <row r="7" spans="1:26" s="29" customFormat="1" ht="30.75" customHeight="1" x14ac:dyDescent="0.35">
      <c r="A7" s="207"/>
      <c r="B7" s="208" t="s">
        <v>2</v>
      </c>
      <c r="C7" s="209">
        <f>+Tableau2[[#This Row],[SKDU]]</f>
        <v>23460707.800000001</v>
      </c>
      <c r="D7" s="209">
        <f>+Tableau3[[#This Row],[SKDU]]</f>
        <v>30616077.859999999</v>
      </c>
      <c r="E7" s="209">
        <f>+Tableau4[[#This Row],[SKDU]]</f>
        <v>54755497.799999997</v>
      </c>
      <c r="F7" s="209">
        <f>+Tableau5[[#This Row],[SKDU]]</f>
        <v>40951519.619999997</v>
      </c>
      <c r="G7" s="209">
        <f>+Tableau6[[#This Row],[SKDU]]</f>
        <v>111164383.15000001</v>
      </c>
      <c r="H7" s="209">
        <f>+Tableau7[[#This Row],[SKDU]]</f>
        <v>59212911.990000002</v>
      </c>
      <c r="I7" s="209">
        <f>+Tableau8[[#This Row],[SKDU]]</f>
        <v>37633035</v>
      </c>
      <c r="J7" s="209">
        <f>+Tableau9[[#This Row],[SKDU]]</f>
        <v>31518268.640000001</v>
      </c>
      <c r="K7" s="209">
        <f>+Tableau10[[#This Row],[SKDU]]</f>
        <v>54354414.719999999</v>
      </c>
      <c r="L7" s="209">
        <f>+Tableau11[[#This Row],[SKDU]]</f>
        <v>91070764.439999998</v>
      </c>
      <c r="M7" s="209">
        <f>+Tableau12[[#This Row],[SKDU]]</f>
        <v>78890960.180000007</v>
      </c>
      <c r="N7" s="209">
        <f>+Tableau13[[#This Row],[SKDU]]</f>
        <v>103352877.61</v>
      </c>
      <c r="O7" s="209">
        <f>SUM(C7:N7)</f>
        <v>716981418.80999994</v>
      </c>
      <c r="P7" s="130"/>
      <c r="Q7" s="130"/>
    </row>
    <row r="8" spans="1:26" s="29" customFormat="1" ht="30.75" customHeight="1" x14ac:dyDescent="0.35">
      <c r="A8" s="189"/>
      <c r="B8" s="80" t="s">
        <v>42</v>
      </c>
      <c r="C8" s="55">
        <f>+Tableau2[[#This Row],[SKDU]]</f>
        <v>0</v>
      </c>
      <c r="D8" s="55">
        <f>+Tableau3[[#This Row],[SKDU]]</f>
        <v>0</v>
      </c>
      <c r="E8" s="55">
        <f>+Tableau4[[#This Row],[SKDU]]</f>
        <v>0</v>
      </c>
      <c r="F8" s="55">
        <f>+Tableau5[[#This Row],[SKDU]]</f>
        <v>0</v>
      </c>
      <c r="G8" s="55">
        <f>+Tableau6[[#This Row],[SKDU]]</f>
        <v>0</v>
      </c>
      <c r="H8" s="55">
        <f>+Tableau7[[#This Row],[SKDU]]</f>
        <v>0</v>
      </c>
      <c r="I8" s="55">
        <f>+Tableau8[[#This Row],[SKDU]]</f>
        <v>0</v>
      </c>
      <c r="J8" s="55">
        <f>+Tableau9[[#This Row],[SKDU]]</f>
        <v>0</v>
      </c>
      <c r="K8" s="55">
        <f>+Tableau10[[#This Row],[SKDU]]</f>
        <v>0</v>
      </c>
      <c r="L8" s="55">
        <f>+Tableau11[[#This Row],[SKDU]]</f>
        <v>0</v>
      </c>
      <c r="M8" s="55">
        <f>+Tableau12[[#This Row],[SKDU]]</f>
        <v>0</v>
      </c>
      <c r="N8" s="55">
        <f>+Tableau13[[#This Row],[SKDU]]</f>
        <v>0</v>
      </c>
      <c r="O8" s="55">
        <f t="shared" ref="O8:O40" si="0">SUM(C8:N8)</f>
        <v>0</v>
      </c>
      <c r="P8" s="130"/>
      <c r="Q8" s="130"/>
    </row>
    <row r="9" spans="1:26" s="27" customFormat="1" ht="30.75" customHeight="1" x14ac:dyDescent="0.35">
      <c r="A9" s="189"/>
      <c r="B9" s="81" t="s">
        <v>3</v>
      </c>
      <c r="C9" s="55">
        <f>+Tableau2[[#This Row],[SKDU]]</f>
        <v>8232882.1799999997</v>
      </c>
      <c r="D9" s="55">
        <f>+Tableau3[[#This Row],[SKDU]]</f>
        <v>4460637.79</v>
      </c>
      <c r="E9" s="55">
        <f>+Tableau4[[#This Row],[SKDU]]</f>
        <v>-25111478.879999999</v>
      </c>
      <c r="F9" s="55">
        <f>+Tableau5[[#This Row],[SKDU]]</f>
        <v>-17282702</v>
      </c>
      <c r="G9" s="55">
        <f>+Tableau6[[#This Row],[SKDU]]</f>
        <v>-63310883.289999999</v>
      </c>
      <c r="H9" s="55">
        <f>+Tableau7[[#This Row],[SKDU]]</f>
        <v>-31345724.079999998</v>
      </c>
      <c r="I9" s="55">
        <f>+Tableau8[[#This Row],[SKDU]]</f>
        <v>-19475095.699999999</v>
      </c>
      <c r="J9" s="55">
        <f>+Tableau9[[#This Row],[SKDU]]</f>
        <v>-11648992.279999999</v>
      </c>
      <c r="K9" s="55">
        <f>+Tableau10[[#This Row],[SKDU]]</f>
        <v>-13906764.689999999</v>
      </c>
      <c r="L9" s="55">
        <f>+Tableau11[[#This Row],[SKDU]]</f>
        <v>-32392715.289999999</v>
      </c>
      <c r="M9" s="55">
        <f>+Tableau12[[#This Row],[SKDU]]</f>
        <v>-22267906.52</v>
      </c>
      <c r="N9" s="55">
        <f>+Tableau13[[#This Row],[SKDU]]</f>
        <v>-28351866.440000001</v>
      </c>
      <c r="O9" s="55">
        <f t="shared" si="0"/>
        <v>-252400609.19999999</v>
      </c>
      <c r="P9" s="129"/>
      <c r="Q9" s="129"/>
    </row>
    <row r="10" spans="1:26" s="27" customFormat="1" ht="30.75" customHeight="1" x14ac:dyDescent="0.35">
      <c r="A10" s="189"/>
      <c r="B10" s="81" t="s">
        <v>4</v>
      </c>
      <c r="C10" s="55">
        <f>+Tableau2[[#This Row],[SKDU]]</f>
        <v>0</v>
      </c>
      <c r="D10" s="55">
        <f>+Tableau3[[#This Row],[SKDU]]</f>
        <v>0</v>
      </c>
      <c r="E10" s="55">
        <f>+Tableau4[[#This Row],[SKDU]]</f>
        <v>0</v>
      </c>
      <c r="F10" s="55">
        <f>+Tableau5[[#This Row],[SKDU]]</f>
        <v>0</v>
      </c>
      <c r="G10" s="55">
        <f>+Tableau6[[#This Row],[SKDU]]</f>
        <v>0</v>
      </c>
      <c r="H10" s="55">
        <f>+Tableau7[[#This Row],[SKDU]]</f>
        <v>0</v>
      </c>
      <c r="I10" s="55">
        <f>+Tableau8[[#This Row],[SKDU]]</f>
        <v>0</v>
      </c>
      <c r="J10" s="55">
        <f>+Tableau9[[#This Row],[SKDU]]</f>
        <v>0</v>
      </c>
      <c r="K10" s="55">
        <f>+Tableau10[[#This Row],[SKDU]]</f>
        <v>0</v>
      </c>
      <c r="L10" s="55">
        <f>+Tableau11[[#This Row],[SKDU]]</f>
        <v>0</v>
      </c>
      <c r="M10" s="55">
        <f>+Tableau12[[#This Row],[SKDU]]</f>
        <v>0</v>
      </c>
      <c r="N10" s="55">
        <f>+Tableau13[[#This Row],[SKDU]]</f>
        <v>0</v>
      </c>
      <c r="O10" s="55">
        <f t="shared" si="0"/>
        <v>0</v>
      </c>
      <c r="P10" s="129"/>
      <c r="Q10" s="129"/>
    </row>
    <row r="11" spans="1:26" s="27" customFormat="1" ht="30.75" customHeight="1" thickBot="1" x14ac:dyDescent="0.4">
      <c r="A11" s="190"/>
      <c r="B11" s="82" t="s">
        <v>5</v>
      </c>
      <c r="C11" s="59">
        <f>+Tableau2[[#This Row],[SKDU]]</f>
        <v>0</v>
      </c>
      <c r="D11" s="59">
        <f>+Tableau3[[#This Row],[SKDU]]</f>
        <v>0</v>
      </c>
      <c r="E11" s="59">
        <f>+Tableau4[[#This Row],[SKDU]]</f>
        <v>0</v>
      </c>
      <c r="F11" s="59">
        <f>+Tableau5[[#This Row],[SKDU]]</f>
        <v>0</v>
      </c>
      <c r="G11" s="59">
        <f>+Tableau6[[#This Row],[SKDU]]</f>
        <v>0</v>
      </c>
      <c r="H11" s="59">
        <f>+Tableau7[[#This Row],[SKDU]]</f>
        <v>0</v>
      </c>
      <c r="I11" s="59">
        <f>+Tableau8[[#This Row],[SKDU]]</f>
        <v>0</v>
      </c>
      <c r="J11" s="59">
        <f>+Tableau9[[#This Row],[SKDU]]</f>
        <v>0</v>
      </c>
      <c r="K11" s="59">
        <f>+Tableau10[[#This Row],[SKDU]]</f>
        <v>0</v>
      </c>
      <c r="L11" s="59">
        <f>+Tableau11[[#This Row],[SKDU]]</f>
        <v>0</v>
      </c>
      <c r="M11" s="59">
        <f>+Tableau12[[#This Row],[SKDU]]</f>
        <v>0</v>
      </c>
      <c r="N11" s="59">
        <f>+Tableau13[[#This Row],[SKDU]]</f>
        <v>0</v>
      </c>
      <c r="O11" s="59">
        <f t="shared" si="0"/>
        <v>0</v>
      </c>
      <c r="P11" s="129"/>
      <c r="Q11" s="129"/>
    </row>
    <row r="12" spans="1:26" s="27" customFormat="1" ht="30.75" customHeight="1" thickBot="1" x14ac:dyDescent="0.4">
      <c r="A12" s="191"/>
      <c r="B12" s="83" t="s">
        <v>6</v>
      </c>
      <c r="C12" s="62">
        <f>+Tableau2[[#This Row],[SKDU]]</f>
        <v>31693589.98</v>
      </c>
      <c r="D12" s="62">
        <f>+Tableau3[[#This Row],[SKDU]]</f>
        <v>35076715.649999999</v>
      </c>
      <c r="E12" s="62">
        <f>+Tableau4[[#This Row],[SKDU]]</f>
        <v>29644018.919999998</v>
      </c>
      <c r="F12" s="62">
        <f>+Tableau5[[#This Row],[SKDU]]</f>
        <v>23668817.619999997</v>
      </c>
      <c r="G12" s="62">
        <f>+Tableau6[[#This Row],[SKDU]]</f>
        <v>47853499.860000007</v>
      </c>
      <c r="H12" s="62">
        <f>+Tableau7[[#This Row],[SKDU]]</f>
        <v>27867187.910000004</v>
      </c>
      <c r="I12" s="62">
        <f>+Tableau8[[#This Row],[SKDU]]</f>
        <v>18157939.300000001</v>
      </c>
      <c r="J12" s="62">
        <f>+Tableau9[[#This Row],[SKDU]]</f>
        <v>19869276.359999999</v>
      </c>
      <c r="K12" s="62">
        <f>+Tableau10[[#This Row],[SKDU]]</f>
        <v>40447650.030000001</v>
      </c>
      <c r="L12" s="62">
        <f>+Tableau11[[#This Row],[SKDU]]</f>
        <v>58678049.149999999</v>
      </c>
      <c r="M12" s="62">
        <f>+Tableau12[[#This Row],[SKDU]]</f>
        <v>56623053.660000011</v>
      </c>
      <c r="N12" s="62">
        <f>+Tableau13[[#This Row],[SKDU]]</f>
        <v>75001011.170000002</v>
      </c>
      <c r="O12" s="62">
        <f t="shared" si="0"/>
        <v>464580809.61000001</v>
      </c>
      <c r="P12" s="129"/>
      <c r="Q12" s="129"/>
    </row>
    <row r="13" spans="1:26" s="32" customFormat="1" ht="30.75" customHeight="1" x14ac:dyDescent="0.35">
      <c r="A13" s="192">
        <v>60</v>
      </c>
      <c r="B13" s="84" t="s">
        <v>7</v>
      </c>
      <c r="C13" s="65">
        <f>+Tableau2[[#This Row],[SKDU]]</f>
        <v>19132746.190000001</v>
      </c>
      <c r="D13" s="65">
        <f>+Tableau3[[#This Row],[SKDU]]</f>
        <v>19222554.890000001</v>
      </c>
      <c r="E13" s="65">
        <f>+Tableau4[[#This Row],[SKDU]]</f>
        <v>15808313.609999999</v>
      </c>
      <c r="F13" s="65">
        <f>+Tableau5[[#This Row],[SKDU]]</f>
        <v>12375091.33</v>
      </c>
      <c r="G13" s="65">
        <f>+Tableau6[[#This Row],[SKDU]]</f>
        <v>13514240.59</v>
      </c>
      <c r="H13" s="65">
        <f>+Tableau7[[#This Row],[SKDU]]</f>
        <v>10581666.6</v>
      </c>
      <c r="I13" s="65">
        <f>+Tableau8[[#This Row],[SKDU]]</f>
        <v>7056433.6299999999</v>
      </c>
      <c r="J13" s="65">
        <f>+Tableau9[[#This Row],[SKDU]]</f>
        <v>13048746.34</v>
      </c>
      <c r="K13" s="65">
        <f>+Tableau10[[#This Row],[SKDU]]</f>
        <v>12959217.449999999</v>
      </c>
      <c r="L13" s="65">
        <f>+Tableau11[[#This Row],[SKDU]]</f>
        <v>16708490.51</v>
      </c>
      <c r="M13" s="65">
        <f>+Tableau12[[#This Row],[SKDU]]</f>
        <v>21478970.510000002</v>
      </c>
      <c r="N13" s="65">
        <f>+Tableau13[[#This Row],[SKDU]]</f>
        <v>31529071.940000001</v>
      </c>
      <c r="O13" s="65">
        <f t="shared" si="0"/>
        <v>193415543.58999997</v>
      </c>
      <c r="P13" s="131"/>
      <c r="Q13" s="131"/>
    </row>
    <row r="14" spans="1:26" s="32" customFormat="1" ht="30.75" customHeight="1" x14ac:dyDescent="0.35">
      <c r="A14" s="193" t="s">
        <v>8</v>
      </c>
      <c r="B14" s="82" t="s">
        <v>43</v>
      </c>
      <c r="C14" s="59">
        <f>+Tableau2[[#This Row],[SKDU]]</f>
        <v>2208431.21</v>
      </c>
      <c r="D14" s="59">
        <f>+Tableau3[[#This Row],[SKDU]]</f>
        <v>1943483.68</v>
      </c>
      <c r="E14" s="59">
        <f>+Tableau4[[#This Row],[SKDU]]</f>
        <v>2514343.2400000002</v>
      </c>
      <c r="F14" s="59">
        <f>+Tableau5[[#This Row],[SKDU]]</f>
        <v>535141.93999999994</v>
      </c>
      <c r="G14" s="59">
        <f>+Tableau6[[#This Row],[SKDU]]</f>
        <v>2709073.5</v>
      </c>
      <c r="H14" s="59">
        <f>+Tableau7[[#This Row],[SKDU]]</f>
        <v>2895059.57</v>
      </c>
      <c r="I14" s="59">
        <f>+Tableau8[[#This Row],[SKDU]]</f>
        <v>3259519.15</v>
      </c>
      <c r="J14" s="59">
        <f>+Tableau9[[#This Row],[SKDU]]</f>
        <v>3093064.96</v>
      </c>
      <c r="K14" s="59">
        <f>+Tableau10[[#This Row],[SKDU]]</f>
        <v>5024518.13</v>
      </c>
      <c r="L14" s="59">
        <f>+Tableau11[[#This Row],[SKDU]]</f>
        <v>3393370.49</v>
      </c>
      <c r="M14" s="59">
        <f>+Tableau12[[#This Row],[SKDU]]</f>
        <v>3769959.54</v>
      </c>
      <c r="N14" s="59">
        <f>+Tableau13[[#This Row],[SKDU]]</f>
        <v>3670453.76</v>
      </c>
      <c r="O14" s="77">
        <f t="shared" si="0"/>
        <v>35016419.169999994</v>
      </c>
      <c r="P14" s="131"/>
      <c r="Q14" s="131"/>
    </row>
    <row r="15" spans="1:26" s="32" customFormat="1" ht="30.75" customHeight="1" thickBot="1" x14ac:dyDescent="0.4">
      <c r="A15" s="234"/>
      <c r="B15" s="230" t="s">
        <v>124</v>
      </c>
      <c r="C15" s="59">
        <f>+Tableau2[[#This Row],[SKDU]]</f>
        <v>0</v>
      </c>
      <c r="D15" s="59">
        <f>+Tableau3[[#This Row],[SKDU]]</f>
        <v>0</v>
      </c>
      <c r="E15" s="59">
        <f>+Tableau4[[#This Row],[SKDU]]</f>
        <v>0</v>
      </c>
      <c r="F15" s="59">
        <f>+Tableau5[[#This Row],[SKDU]]</f>
        <v>0</v>
      </c>
      <c r="G15" s="59">
        <f>+Tableau6[[#This Row],[SKDU]]</f>
        <v>0</v>
      </c>
      <c r="H15" s="59">
        <f>+Tableau7[[#This Row],[SKDU]]</f>
        <v>0</v>
      </c>
      <c r="I15" s="59">
        <f>+Tableau8[[#This Row],[SKDU]]</f>
        <v>0</v>
      </c>
      <c r="J15" s="59">
        <f>+Tableau9[[#This Row],[SKDU]]</f>
        <v>0</v>
      </c>
      <c r="K15" s="59">
        <f>+Tableau10[[#This Row],[SKDU]]</f>
        <v>0</v>
      </c>
      <c r="L15" s="59">
        <f>+Tableau11[[#This Row],[SKDU]]</f>
        <v>0</v>
      </c>
      <c r="M15" s="59">
        <f>+Tableau12[[#This Row],[SKDU]]</f>
        <v>0</v>
      </c>
      <c r="N15" s="59">
        <f>+Tableau13[[#This Row],[SKDU]]</f>
        <v>0</v>
      </c>
      <c r="O15" s="77">
        <f t="shared" si="0"/>
        <v>0</v>
      </c>
      <c r="P15" s="131"/>
      <c r="Q15" s="131"/>
    </row>
    <row r="16" spans="1:26" s="27" customFormat="1" ht="30.75" customHeight="1" thickBot="1" x14ac:dyDescent="0.4">
      <c r="A16" s="194" t="s">
        <v>9</v>
      </c>
      <c r="B16" s="85" t="s">
        <v>10</v>
      </c>
      <c r="C16" s="62">
        <f t="shared" ref="C16:O16" si="1">+C13+C14+C15</f>
        <v>21341177.400000002</v>
      </c>
      <c r="D16" s="62">
        <f t="shared" si="1"/>
        <v>21166038.57</v>
      </c>
      <c r="E16" s="62">
        <f t="shared" si="1"/>
        <v>18322656.850000001</v>
      </c>
      <c r="F16" s="62">
        <f t="shared" si="1"/>
        <v>12910233.27</v>
      </c>
      <c r="G16" s="62">
        <f t="shared" si="1"/>
        <v>16223314.09</v>
      </c>
      <c r="H16" s="62">
        <f t="shared" si="1"/>
        <v>13476726.17</v>
      </c>
      <c r="I16" s="62">
        <f t="shared" si="1"/>
        <v>10315952.779999999</v>
      </c>
      <c r="J16" s="62">
        <f t="shared" si="1"/>
        <v>16141811.300000001</v>
      </c>
      <c r="K16" s="62">
        <f t="shared" si="1"/>
        <v>17983735.579999998</v>
      </c>
      <c r="L16" s="62">
        <f t="shared" si="1"/>
        <v>20101861</v>
      </c>
      <c r="M16" s="62">
        <f t="shared" si="1"/>
        <v>25248930.050000001</v>
      </c>
      <c r="N16" s="62">
        <f t="shared" si="1"/>
        <v>35199525.700000003</v>
      </c>
      <c r="O16" s="62">
        <f t="shared" si="1"/>
        <v>228431962.75999996</v>
      </c>
      <c r="P16" s="129"/>
      <c r="Q16" s="129"/>
    </row>
    <row r="17" spans="1:17" s="27" customFormat="1" ht="30.75" customHeight="1" thickBot="1" x14ac:dyDescent="0.4">
      <c r="A17" s="195" t="s">
        <v>11</v>
      </c>
      <c r="B17" s="86" t="s">
        <v>12</v>
      </c>
      <c r="C17" s="68">
        <f>+Tableau2[[#This Row],[SKDU]]</f>
        <v>10352412.579999998</v>
      </c>
      <c r="D17" s="68">
        <f>+Tableau3[[#This Row],[SKDU]]</f>
        <v>13910677.079999998</v>
      </c>
      <c r="E17" s="68">
        <f>+Tableau4[[#This Row],[SKDU]]</f>
        <v>11321362.069999997</v>
      </c>
      <c r="F17" s="68">
        <f>+Tableau5[[#This Row],[SKDU]]</f>
        <v>10758584.349999998</v>
      </c>
      <c r="G17" s="68">
        <f>+Tableau6[[#This Row],[SKDU]]</f>
        <v>31630185.770000007</v>
      </c>
      <c r="H17" s="68">
        <f>+Tableau7[[#This Row],[SKDU]]</f>
        <v>14390461.740000004</v>
      </c>
      <c r="I17" s="68">
        <f>+Tableau8[[#This Row],[SKDU]]</f>
        <v>7841986.5200000014</v>
      </c>
      <c r="J17" s="68">
        <f>+Tableau9[[#This Row],[SKDU]]</f>
        <v>3727465.0599999987</v>
      </c>
      <c r="K17" s="68">
        <f>+Tableau10[[#This Row],[SKDU]]</f>
        <v>22463914.450000003</v>
      </c>
      <c r="L17" s="68">
        <f>+Tableau11[[#This Row],[SKDU]]</f>
        <v>38576188.149999999</v>
      </c>
      <c r="M17" s="68">
        <f>+Tableau12[[#This Row],[SKDU]]</f>
        <v>31374123.610000011</v>
      </c>
      <c r="N17" s="68">
        <f>+Tableau13[[#This Row],[SKDU]]</f>
        <v>39801485.469999999</v>
      </c>
      <c r="O17" s="68">
        <f t="shared" si="0"/>
        <v>236148846.85000002</v>
      </c>
      <c r="P17" s="129"/>
      <c r="Q17" s="129"/>
    </row>
    <row r="18" spans="1:17" s="32" customFormat="1" ht="30.75" customHeight="1" x14ac:dyDescent="0.35">
      <c r="A18" s="192">
        <v>63</v>
      </c>
      <c r="B18" s="84" t="s">
        <v>44</v>
      </c>
      <c r="C18" s="65">
        <f>+Tableau2[[#This Row],[SKDU]]</f>
        <v>10783219.189999999</v>
      </c>
      <c r="D18" s="65">
        <f>+Tableau3[[#This Row],[SKDU]]</f>
        <v>12372266.439999999</v>
      </c>
      <c r="E18" s="65">
        <f>+Tableau4[[#This Row],[SKDU]]</f>
        <v>11799770.210000001</v>
      </c>
      <c r="F18" s="65">
        <f>+Tableau5[[#This Row],[SKDU]]</f>
        <v>11685859.289999999</v>
      </c>
      <c r="G18" s="65">
        <f>+Tableau6[[#This Row],[SKDU]]</f>
        <v>11311545.810000001</v>
      </c>
      <c r="H18" s="65">
        <f>+Tableau7[[#This Row],[SKDU]]</f>
        <v>10983826.08</v>
      </c>
      <c r="I18" s="65">
        <f>+Tableau8[[#This Row],[SKDU]]</f>
        <v>11221899.689999999</v>
      </c>
      <c r="J18" s="65">
        <f>+Tableau9[[#This Row],[SKDU]]</f>
        <v>15548418.15</v>
      </c>
      <c r="K18" s="65">
        <f>+Tableau10[[#This Row],[SKDU]]</f>
        <v>10018925.699999999</v>
      </c>
      <c r="L18" s="65">
        <f>+Tableau11[[#This Row],[SKDU]]</f>
        <v>11022407.050000001</v>
      </c>
      <c r="M18" s="65">
        <f>+Tableau12[[#This Row],[SKDU]]</f>
        <v>11392522.939999999</v>
      </c>
      <c r="N18" s="65">
        <f>+Tableau13[[#This Row],[SKDU]]</f>
        <v>11072428.35</v>
      </c>
      <c r="O18" s="65">
        <f t="shared" si="0"/>
        <v>139213088.90000001</v>
      </c>
      <c r="P18" s="131"/>
      <c r="Q18" s="131"/>
    </row>
    <row r="19" spans="1:17" s="32" customFormat="1" ht="30.75" customHeight="1" thickBot="1" x14ac:dyDescent="0.4">
      <c r="A19" s="193">
        <v>64</v>
      </c>
      <c r="B19" s="82" t="s">
        <v>13</v>
      </c>
      <c r="C19" s="59">
        <f>+Tableau2[[#This Row],[SKDU]]</f>
        <v>392145.36</v>
      </c>
      <c r="D19" s="59">
        <f>+Tableau3[[#This Row],[SKDU]]</f>
        <v>311798</v>
      </c>
      <c r="E19" s="59">
        <f>+Tableau4[[#This Row],[SKDU]]</f>
        <v>568218.93999999994</v>
      </c>
      <c r="F19" s="59">
        <f>+Tableau5[[#This Row],[SKDU]]</f>
        <v>417119</v>
      </c>
      <c r="G19" s="59">
        <f>+Tableau6[[#This Row],[SKDU]]</f>
        <v>1117578</v>
      </c>
      <c r="H19" s="59">
        <f>+Tableau7[[#This Row],[SKDU]]</f>
        <v>601708.42000000004</v>
      </c>
      <c r="I19" s="59">
        <f>+Tableau8[[#This Row],[SKDU]]</f>
        <v>382110.95</v>
      </c>
      <c r="J19" s="59">
        <f>+Tableau9[[#This Row],[SKDU]]</f>
        <v>321609.44</v>
      </c>
      <c r="K19" s="59">
        <f>+Tableau10[[#This Row],[SKDU]]</f>
        <v>553030.85</v>
      </c>
      <c r="L19" s="59">
        <f>+Tableau11[[#This Row],[SKDU]]</f>
        <v>919737.25</v>
      </c>
      <c r="M19" s="59">
        <f>+Tableau12[[#This Row],[SKDU]]</f>
        <v>795666</v>
      </c>
      <c r="N19" s="59">
        <f>+Tableau13[[#This Row],[SKDU]]</f>
        <v>1043947</v>
      </c>
      <c r="O19" s="59">
        <f t="shared" si="0"/>
        <v>7424669.21</v>
      </c>
      <c r="P19" s="131"/>
      <c r="Q19" s="131"/>
    </row>
    <row r="20" spans="1:17" s="27" customFormat="1" ht="30.75" customHeight="1" thickBot="1" x14ac:dyDescent="0.4">
      <c r="A20" s="194" t="s">
        <v>14</v>
      </c>
      <c r="B20" s="85" t="s">
        <v>15</v>
      </c>
      <c r="C20" s="62">
        <f>+Tableau2[[#This Row],[SKDU]]</f>
        <v>-822951.97000000125</v>
      </c>
      <c r="D20" s="62">
        <f>+Tableau3[[#This Row],[SKDU]]</f>
        <v>1226612.6399999987</v>
      </c>
      <c r="E20" s="62">
        <f>+Tableau4[[#This Row],[SKDU]]</f>
        <v>-1046627.0800000043</v>
      </c>
      <c r="F20" s="62">
        <f>+Tableau5[[#This Row],[SKDU]]</f>
        <v>-1344393.9400000013</v>
      </c>
      <c r="G20" s="62">
        <f>+Tableau6[[#This Row],[SKDU]]</f>
        <v>19201061.960000008</v>
      </c>
      <c r="H20" s="62">
        <f>+Tableau7[[#This Row],[SKDU]]</f>
        <v>2804927.2400000039</v>
      </c>
      <c r="I20" s="62">
        <f>+Tableau8[[#This Row],[SKDU]]</f>
        <v>-3762024.1199999982</v>
      </c>
      <c r="J20" s="62">
        <f>+Tableau9[[#This Row],[SKDU]]</f>
        <v>-12142562.530000001</v>
      </c>
      <c r="K20" s="62">
        <f>+Tableau10[[#This Row],[SKDU]]</f>
        <v>11891957.900000004</v>
      </c>
      <c r="L20" s="62">
        <f>+Tableau11[[#This Row],[SKDU]]</f>
        <v>26634043.849999998</v>
      </c>
      <c r="M20" s="62">
        <f>+Tableau12[[#This Row],[SKDU]]</f>
        <v>19185934.670000009</v>
      </c>
      <c r="N20" s="62">
        <f>+Tableau13[[#This Row],[SKDU]]</f>
        <v>27685110.119999997</v>
      </c>
      <c r="O20" s="62">
        <f t="shared" si="0"/>
        <v>89511088.74000001</v>
      </c>
      <c r="P20" s="129"/>
      <c r="Q20" s="129"/>
    </row>
    <row r="21" spans="1:17" s="32" customFormat="1" ht="30.75" customHeight="1" x14ac:dyDescent="0.35">
      <c r="A21" s="192">
        <v>75</v>
      </c>
      <c r="B21" s="84" t="s">
        <v>16</v>
      </c>
      <c r="C21" s="52">
        <f>+Tableau2[[#This Row],[SKDU]]</f>
        <v>0.02</v>
      </c>
      <c r="D21" s="52">
        <f>+Tableau3[[#This Row],[SKDU]]</f>
        <v>0</v>
      </c>
      <c r="E21" s="52">
        <f>+Tableau4[[#This Row],[SKDU]]</f>
        <v>0</v>
      </c>
      <c r="F21" s="52">
        <f>+Tableau5[[#This Row],[SKDU]]</f>
        <v>0</v>
      </c>
      <c r="G21" s="52">
        <f>+Tableau6[[#This Row],[SKDU]]</f>
        <v>0</v>
      </c>
      <c r="H21" s="52">
        <f>+Tableau7[[#This Row],[SKDU]]</f>
        <v>0.82</v>
      </c>
      <c r="I21" s="52">
        <f>+Tableau8[[#This Row],[SKDU]]</f>
        <v>0</v>
      </c>
      <c r="J21" s="52">
        <f>+Tableau9[[#This Row],[SKDU]]</f>
        <v>0.3</v>
      </c>
      <c r="K21" s="52">
        <f>+Tableau10[[#This Row],[SKDU]]</f>
        <v>0</v>
      </c>
      <c r="L21" s="52">
        <f>+Tableau11[[#This Row],[SKDU]]</f>
        <v>0</v>
      </c>
      <c r="M21" s="52">
        <f>+Tableau12[[#This Row],[SKDU]]</f>
        <v>0</v>
      </c>
      <c r="N21" s="52">
        <f>+Tableau13[[#This Row],[SKDU]]</f>
        <v>0.3</v>
      </c>
      <c r="O21" s="52">
        <f t="shared" si="0"/>
        <v>1.44</v>
      </c>
      <c r="P21" s="131"/>
      <c r="Q21" s="131"/>
    </row>
    <row r="22" spans="1:17" s="32" customFormat="1" ht="30.75" customHeight="1" x14ac:dyDescent="0.35">
      <c r="A22" s="196">
        <v>65</v>
      </c>
      <c r="B22" s="81" t="s">
        <v>17</v>
      </c>
      <c r="C22" s="55">
        <f>+Tableau2[[#This Row],[SKDU]]</f>
        <v>3600.32</v>
      </c>
      <c r="D22" s="55">
        <f>+Tableau3[[#This Row],[SKDU]]</f>
        <v>2364.0700000000002</v>
      </c>
      <c r="E22" s="55">
        <f>+Tableau4[[#This Row],[SKDU]]</f>
        <v>0</v>
      </c>
      <c r="F22" s="55">
        <f>+Tableau5[[#This Row],[SKDU]]</f>
        <v>6381.05</v>
      </c>
      <c r="G22" s="55">
        <f>+Tableau6[[#This Row],[SKDU]]</f>
        <v>0</v>
      </c>
      <c r="H22" s="55">
        <f>+Tableau7[[#This Row],[SKDU]]</f>
        <v>276032.37</v>
      </c>
      <c r="I22" s="55">
        <f>+Tableau8[[#This Row],[SKDU]]</f>
        <v>0</v>
      </c>
      <c r="J22" s="55">
        <f>+Tableau9[[#This Row],[SKDU]]</f>
        <v>2.33</v>
      </c>
      <c r="K22" s="55">
        <f>+Tableau10[[#This Row],[SKDU]]</f>
        <v>0</v>
      </c>
      <c r="L22" s="55">
        <f>+Tableau11[[#This Row],[SKDU]]</f>
        <v>0</v>
      </c>
      <c r="M22" s="323">
        <f>+Tableau12[[#This Row],[SKDU]]</f>
        <v>561266.86</v>
      </c>
      <c r="N22" s="55">
        <f>+Tableau13[[#This Row],[SKDU]]</f>
        <v>0</v>
      </c>
      <c r="O22" s="55">
        <f t="shared" si="0"/>
        <v>849647</v>
      </c>
      <c r="P22" s="131"/>
      <c r="Q22" s="131"/>
    </row>
    <row r="23" spans="1:17" s="27" customFormat="1" ht="30.75" customHeight="1" x14ac:dyDescent="0.35">
      <c r="A23" s="196"/>
      <c r="B23" s="87" t="s">
        <v>18</v>
      </c>
      <c r="C23" s="71">
        <f>+Tableau2[[#This Row],[SKDU]]</f>
        <v>0</v>
      </c>
      <c r="D23" s="71">
        <f>+Tableau3[[#This Row],[SKDU]]</f>
        <v>0</v>
      </c>
      <c r="E23" s="71">
        <f>+Tableau4[[#This Row],[SKDU]]</f>
        <v>0</v>
      </c>
      <c r="F23" s="71">
        <f>+Tableau5[[#This Row],[SKDU]]</f>
        <v>0</v>
      </c>
      <c r="G23" s="71">
        <f>+Tableau6[[#This Row],[SKDU]]</f>
        <v>0</v>
      </c>
      <c r="H23" s="71">
        <f>+Tableau7[[#This Row],[SKDU]]</f>
        <v>0</v>
      </c>
      <c r="I23" s="71">
        <f>+Tableau8[[#This Row],[SKDU]]</f>
        <v>0</v>
      </c>
      <c r="J23" s="71">
        <f>+Tableau9[[#This Row],[SKDU]]</f>
        <v>0</v>
      </c>
      <c r="K23" s="71">
        <f>+Tableau10[[#This Row],[SKDU]]</f>
        <v>0</v>
      </c>
      <c r="L23" s="71">
        <f>+Tableau11[[#This Row],[SKDU]]</f>
        <v>0</v>
      </c>
      <c r="M23" s="71">
        <f>+Tableau12[[#This Row],[SKDU]]</f>
        <v>0</v>
      </c>
      <c r="N23" s="71">
        <f>+Tableau13[[#This Row],[SKDU]]</f>
        <v>0</v>
      </c>
      <c r="O23" s="71">
        <f t="shared" si="0"/>
        <v>0</v>
      </c>
      <c r="P23" s="129"/>
      <c r="Q23" s="129"/>
    </row>
    <row r="24" spans="1:17" s="27" customFormat="1" ht="30.75" customHeight="1" x14ac:dyDescent="0.35">
      <c r="A24" s="196"/>
      <c r="B24" s="87" t="s">
        <v>19</v>
      </c>
      <c r="C24" s="71">
        <f>+Tableau2[[#This Row],[SKDU]]</f>
        <v>0</v>
      </c>
      <c r="D24" s="71">
        <f>+Tableau3[[#This Row],[SKDU]]</f>
        <v>0</v>
      </c>
      <c r="E24" s="71">
        <f>+Tableau4[[#This Row],[SKDU]]</f>
        <v>0</v>
      </c>
      <c r="F24" s="71">
        <f>+Tableau5[[#This Row],[SKDU]]</f>
        <v>0</v>
      </c>
      <c r="G24" s="71">
        <f>+Tableau6[[#This Row],[SKDU]]</f>
        <v>0</v>
      </c>
      <c r="H24" s="71">
        <f>+Tableau7[[#This Row],[SKDU]]</f>
        <v>0</v>
      </c>
      <c r="I24" s="71">
        <f>+Tableau8[[#This Row],[SKDU]]</f>
        <v>0</v>
      </c>
      <c r="J24" s="71">
        <f>+Tableau9[[#This Row],[SKDU]]</f>
        <v>0</v>
      </c>
      <c r="K24" s="71">
        <f>+Tableau10[[#This Row],[SKDU]]</f>
        <v>0</v>
      </c>
      <c r="L24" s="71">
        <f>+Tableau11[[#This Row],[SKDU]]</f>
        <v>0</v>
      </c>
      <c r="M24" s="71">
        <f>+Tableau12[[#This Row],[SKDU]]</f>
        <v>0</v>
      </c>
      <c r="N24" s="71">
        <f>+Tableau13[[#This Row],[SKDU]]</f>
        <v>0</v>
      </c>
      <c r="O24" s="71">
        <f t="shared" si="0"/>
        <v>0</v>
      </c>
      <c r="P24" s="129"/>
      <c r="Q24" s="129"/>
    </row>
    <row r="25" spans="1:17" s="32" customFormat="1" ht="30.75" customHeight="1" x14ac:dyDescent="0.35">
      <c r="A25" s="196">
        <v>68</v>
      </c>
      <c r="B25" s="81" t="s">
        <v>20</v>
      </c>
      <c r="C25" s="55">
        <f>+Tableau2[[#This Row],[SKDU]]</f>
        <v>536349.64</v>
      </c>
      <c r="D25" s="55">
        <f>+Tableau3[[#This Row],[SKDU]]</f>
        <v>536349.64</v>
      </c>
      <c r="E25" s="55">
        <f>+Tableau4[[#This Row],[SKDU]]</f>
        <v>536349.64</v>
      </c>
      <c r="F25" s="55">
        <f>+Tableau5[[#This Row],[SKDU]]</f>
        <v>554036.31000000006</v>
      </c>
      <c r="G25" s="55">
        <f>+Tableau6[[#This Row],[SKDU]]</f>
        <v>553984.31000000006</v>
      </c>
      <c r="H25" s="55">
        <f>+Tableau7[[#This Row],[SKDU]]</f>
        <v>555359.31999999995</v>
      </c>
      <c r="I25" s="55">
        <f>+Tableau8[[#This Row],[SKDU]]</f>
        <v>555359.31999999995</v>
      </c>
      <c r="J25" s="55">
        <f>+Tableau9[[#This Row],[SKDU]]</f>
        <v>555359.31999999995</v>
      </c>
      <c r="K25" s="55">
        <f>+Tableau10[[#This Row],[SKDU]]</f>
        <v>556405.03</v>
      </c>
      <c r="L25" s="55">
        <f>+Tableau11[[#This Row],[SKDU]]</f>
        <v>669987.09</v>
      </c>
      <c r="M25" s="55">
        <f>+Tableau12[[#This Row],[SKDU]]</f>
        <v>669987.09</v>
      </c>
      <c r="N25" s="55">
        <f>+Tableau13[[#This Row],[SKDU]]</f>
        <v>672407.81</v>
      </c>
      <c r="O25" s="55">
        <f t="shared" si="0"/>
        <v>6951934.5199999996</v>
      </c>
      <c r="P25" s="131"/>
      <c r="Q25" s="131"/>
    </row>
    <row r="26" spans="1:17" s="32" customFormat="1" ht="30.75" customHeight="1" thickBot="1" x14ac:dyDescent="0.4">
      <c r="A26" s="193">
        <v>78</v>
      </c>
      <c r="B26" s="82" t="s">
        <v>21</v>
      </c>
      <c r="C26" s="59">
        <f>+Tableau2[[#This Row],[SKDU]]</f>
        <v>0</v>
      </c>
      <c r="D26" s="59">
        <f>+Tableau3[[#This Row],[SKDU]]</f>
        <v>0</v>
      </c>
      <c r="E26" s="59">
        <f>+Tableau4[[#This Row],[SKDU]]</f>
        <v>0</v>
      </c>
      <c r="F26" s="59">
        <f>+Tableau5[[#This Row],[SKDU]]</f>
        <v>0</v>
      </c>
      <c r="G26" s="59">
        <f>+Tableau6[[#This Row],[SKDU]]</f>
        <v>0</v>
      </c>
      <c r="H26" s="59">
        <f>+Tableau7[[#This Row],[SKDU]]</f>
        <v>0</v>
      </c>
      <c r="I26" s="59">
        <f>+Tableau8[[#This Row],[SKDU]]</f>
        <v>0</v>
      </c>
      <c r="J26" s="59">
        <f>+Tableau9[[#This Row],[SKDU]]</f>
        <v>0</v>
      </c>
      <c r="K26" s="59">
        <f>+Tableau10[[#This Row],[SKDU]]</f>
        <v>0</v>
      </c>
      <c r="L26" s="59">
        <f>+Tableau11[[#This Row],[SKDU]]</f>
        <v>0</v>
      </c>
      <c r="M26" s="59">
        <f>+Tableau12[[#This Row],[SKDU]]</f>
        <v>0</v>
      </c>
      <c r="N26" s="59">
        <f>+Tableau13[[#This Row],[SKDU]]</f>
        <v>0</v>
      </c>
      <c r="O26" s="59">
        <f t="shared" si="0"/>
        <v>0</v>
      </c>
      <c r="P26" s="131"/>
      <c r="Q26" s="131"/>
    </row>
    <row r="27" spans="1:17" s="27" customFormat="1" ht="30.75" customHeight="1" thickBot="1" x14ac:dyDescent="0.4">
      <c r="A27" s="194" t="s">
        <v>22</v>
      </c>
      <c r="B27" s="85" t="s">
        <v>23</v>
      </c>
      <c r="C27" s="62">
        <f>+Tableau2[[#This Row],[SKDU]]</f>
        <v>-1362901.9100000011</v>
      </c>
      <c r="D27" s="62">
        <f>+Tableau3[[#This Row],[SKDU]]</f>
        <v>687898.92999999877</v>
      </c>
      <c r="E27" s="62">
        <f>+Tableau4[[#This Row],[SKDU]]</f>
        <v>-1582976.7200000044</v>
      </c>
      <c r="F27" s="62">
        <f>+Tableau5[[#This Row],[SKDU]]</f>
        <v>-1904811.3000000014</v>
      </c>
      <c r="G27" s="62">
        <f>+Tableau6[[#This Row],[SKDU]]</f>
        <v>18647077.65000001</v>
      </c>
      <c r="H27" s="62">
        <f>+Tableau7[[#This Row],[SKDU]]</f>
        <v>1973536.3700000038</v>
      </c>
      <c r="I27" s="62">
        <f>+Tableau8[[#This Row],[SKDU]]</f>
        <v>-4317383.4399999985</v>
      </c>
      <c r="J27" s="62">
        <f>+Tableau9[[#This Row],[SKDU]]</f>
        <v>-12697923.880000001</v>
      </c>
      <c r="K27" s="62">
        <f>+Tableau10[[#This Row],[SKDU]]</f>
        <v>11335552.870000005</v>
      </c>
      <c r="L27" s="62">
        <f>+Tableau11[[#This Row],[SKDU]]</f>
        <v>25964056.759999998</v>
      </c>
      <c r="M27" s="62">
        <f>+Tableau12[[#This Row],[SKDU]]</f>
        <v>17954680.72000001</v>
      </c>
      <c r="N27" s="62">
        <f>+Tableau13[[#This Row],[SKDU]]</f>
        <v>27012702.609999999</v>
      </c>
      <c r="O27" s="62">
        <f t="shared" si="0"/>
        <v>81709508.660000026</v>
      </c>
      <c r="P27" s="129"/>
      <c r="Q27" s="129"/>
    </row>
    <row r="28" spans="1:17" s="32" customFormat="1" ht="30.75" customHeight="1" x14ac:dyDescent="0.35">
      <c r="A28" s="192">
        <v>76</v>
      </c>
      <c r="B28" s="84" t="s">
        <v>24</v>
      </c>
      <c r="C28" s="52">
        <f>+Tableau2[[#This Row],[SKDU]]</f>
        <v>0</v>
      </c>
      <c r="D28" s="52">
        <f>+Tableau3[[#This Row],[SKDU]]</f>
        <v>0</v>
      </c>
      <c r="E28" s="52">
        <f>+Tableau4[[#This Row],[SKDU]]</f>
        <v>0</v>
      </c>
      <c r="F28" s="52">
        <f>+Tableau5[[#This Row],[SKDU]]</f>
        <v>0</v>
      </c>
      <c r="G28" s="52">
        <f>+Tableau6[[#This Row],[SKDU]]</f>
        <v>0</v>
      </c>
      <c r="H28" s="52">
        <f>+Tableau7[[#This Row],[SKDU]]</f>
        <v>26477.87</v>
      </c>
      <c r="I28" s="52">
        <f>+Tableau8[[#This Row],[SKDU]]</f>
        <v>4993.26</v>
      </c>
      <c r="J28" s="52">
        <f>+Tableau9[[#This Row],[SKDU]]</f>
        <v>0</v>
      </c>
      <c r="K28" s="52">
        <f>+Tableau10[[#This Row],[SKDU]]</f>
        <v>0</v>
      </c>
      <c r="L28" s="52">
        <f>+Tableau11[[#This Row],[SKDU]]</f>
        <v>0</v>
      </c>
      <c r="M28" s="52">
        <f>+Tableau12[[#This Row],[SKDU]]</f>
        <v>0</v>
      </c>
      <c r="N28" s="52">
        <f>+Tableau13[[#This Row],[SKDU]]</f>
        <v>0</v>
      </c>
      <c r="O28" s="52">
        <f t="shared" si="0"/>
        <v>31471.129999999997</v>
      </c>
      <c r="P28" s="131"/>
      <c r="Q28" s="131"/>
    </row>
    <row r="29" spans="1:17" s="32" customFormat="1" ht="30.75" customHeight="1" thickBot="1" x14ac:dyDescent="0.4">
      <c r="A29" s="193">
        <v>66</v>
      </c>
      <c r="B29" s="82" t="s">
        <v>25</v>
      </c>
      <c r="C29" s="59">
        <f>+Tableau2[[#This Row],[SKDU]]</f>
        <v>0</v>
      </c>
      <c r="D29" s="59">
        <f>+Tableau3[[#This Row],[SKDU]]</f>
        <v>0</v>
      </c>
      <c r="E29" s="59">
        <f>+Tableau4[[#This Row],[SKDU]]</f>
        <v>0</v>
      </c>
      <c r="F29" s="59">
        <f>+Tableau5[[#This Row],[SKDU]]</f>
        <v>0</v>
      </c>
      <c r="G29" s="59">
        <f>+Tableau6[[#This Row],[SKDU]]</f>
        <v>0</v>
      </c>
      <c r="H29" s="59">
        <f>+Tableau7[[#This Row],[SKDU]]</f>
        <v>0</v>
      </c>
      <c r="I29" s="59">
        <f>+Tableau8[[#This Row],[SKDU]]</f>
        <v>0</v>
      </c>
      <c r="J29" s="59">
        <f>+Tableau9[[#This Row],[SKDU]]</f>
        <v>0</v>
      </c>
      <c r="K29" s="59">
        <f>+Tableau10[[#This Row],[SKDU]]</f>
        <v>0</v>
      </c>
      <c r="L29" s="59">
        <f>+Tableau11[[#This Row],[SKDU]]</f>
        <v>0</v>
      </c>
      <c r="M29" s="59">
        <f>+Tableau12[[#This Row],[SKDU]]</f>
        <v>0</v>
      </c>
      <c r="N29" s="59">
        <f>+Tableau13[[#This Row],[SKDU]]</f>
        <v>0</v>
      </c>
      <c r="O29" s="59">
        <f t="shared" si="0"/>
        <v>0</v>
      </c>
      <c r="P29" s="131"/>
      <c r="Q29" s="131"/>
    </row>
    <row r="30" spans="1:17" s="27" customFormat="1" ht="30.75" customHeight="1" thickBot="1" x14ac:dyDescent="0.4">
      <c r="A30" s="194" t="s">
        <v>26</v>
      </c>
      <c r="B30" s="85" t="s">
        <v>27</v>
      </c>
      <c r="C30" s="62">
        <f>+Tableau2[[#This Row],[SKDU]]</f>
        <v>0</v>
      </c>
      <c r="D30" s="62">
        <f>+Tableau3[[#This Row],[SKDU]]</f>
        <v>0</v>
      </c>
      <c r="E30" s="62">
        <f>+Tableau4[[#This Row],[SKDU]]</f>
        <v>0</v>
      </c>
      <c r="F30" s="62">
        <f>+Tableau5[[#This Row],[SKDU]]</f>
        <v>0</v>
      </c>
      <c r="G30" s="62">
        <f>+Tableau6[[#This Row],[SKDU]]</f>
        <v>0</v>
      </c>
      <c r="H30" s="62">
        <f>+Tableau7[[#This Row],[SKDU]]</f>
        <v>26477.87</v>
      </c>
      <c r="I30" s="62">
        <f>+Tableau8[[#This Row],[SKDU]]</f>
        <v>4993.26</v>
      </c>
      <c r="J30" s="62">
        <f>+Tableau9[[#This Row],[SKDU]]</f>
        <v>0</v>
      </c>
      <c r="K30" s="62">
        <f>+Tableau10[[#This Row],[SKDU]]</f>
        <v>0</v>
      </c>
      <c r="L30" s="62">
        <f>+Tableau11[[#This Row],[SKDU]]</f>
        <v>0</v>
      </c>
      <c r="M30" s="62">
        <f>+Tableau12[[#This Row],[SKDU]]</f>
        <v>0</v>
      </c>
      <c r="N30" s="62">
        <f>+Tableau13[[#This Row],[SKDU]]</f>
        <v>0</v>
      </c>
      <c r="O30" s="62">
        <f t="shared" si="0"/>
        <v>31471.129999999997</v>
      </c>
      <c r="P30" s="129"/>
      <c r="Q30" s="129"/>
    </row>
    <row r="31" spans="1:17" s="27" customFormat="1" ht="30.75" customHeight="1" thickBot="1" x14ac:dyDescent="0.4">
      <c r="A31" s="194" t="s">
        <v>28</v>
      </c>
      <c r="B31" s="85" t="s">
        <v>29</v>
      </c>
      <c r="C31" s="62">
        <f>+Tableau2[[#This Row],[SKDU]]</f>
        <v>-1362901.9100000011</v>
      </c>
      <c r="D31" s="62">
        <f>+Tableau3[[#This Row],[SKDU]]</f>
        <v>687898.92999999877</v>
      </c>
      <c r="E31" s="62">
        <f>+Tableau4[[#This Row],[SKDU]]</f>
        <v>-1582976.7200000044</v>
      </c>
      <c r="F31" s="62">
        <f>+Tableau5[[#This Row],[SKDU]]</f>
        <v>-1904811.3000000014</v>
      </c>
      <c r="G31" s="62">
        <f>+Tableau6[[#This Row],[SKDU]]</f>
        <v>18647077.65000001</v>
      </c>
      <c r="H31" s="62">
        <f>+Tableau7[[#This Row],[SKDU]]</f>
        <v>2000014.2400000039</v>
      </c>
      <c r="I31" s="62">
        <f>+Tableau8[[#This Row],[SKDU]]</f>
        <v>-4312390.1799999988</v>
      </c>
      <c r="J31" s="62">
        <f>+Tableau9[[#This Row],[SKDU]]</f>
        <v>-12697923.880000001</v>
      </c>
      <c r="K31" s="62">
        <f>+Tableau10[[#This Row],[SKDU]]</f>
        <v>11335552.870000005</v>
      </c>
      <c r="L31" s="62">
        <f>+Tableau11[[#This Row],[SKDU]]</f>
        <v>25964056.759999998</v>
      </c>
      <c r="M31" s="62">
        <f>+Tableau12[[#This Row],[SKDU]]</f>
        <v>17954680.72000001</v>
      </c>
      <c r="N31" s="62">
        <f>+Tableau13[[#This Row],[SKDU]]</f>
        <v>27012702.609999999</v>
      </c>
      <c r="O31" s="62">
        <f t="shared" si="0"/>
        <v>81740979.790000021</v>
      </c>
      <c r="P31" s="129"/>
      <c r="Q31" s="129"/>
    </row>
    <row r="32" spans="1:17" s="32" customFormat="1" ht="30.75" customHeight="1" x14ac:dyDescent="0.35">
      <c r="A32" s="192" t="s">
        <v>30</v>
      </c>
      <c r="B32" s="84" t="s">
        <v>31</v>
      </c>
      <c r="C32" s="52">
        <f>+Tableau2[[#This Row],[SKDU]]</f>
        <v>0</v>
      </c>
      <c r="D32" s="52">
        <f>+Tableau3[[#This Row],[SKDU]]</f>
        <v>0</v>
      </c>
      <c r="E32" s="52">
        <f>+Tableau4[[#This Row],[SKDU]]</f>
        <v>0</v>
      </c>
      <c r="F32" s="52">
        <f>+Tableau5[[#This Row],[SKDU]]</f>
        <v>0</v>
      </c>
      <c r="G32" s="52">
        <f>+Tableau6[[#This Row],[SKDU]]</f>
        <v>0</v>
      </c>
      <c r="H32" s="52">
        <f>+Tableau7[[#This Row],[SKDU]]</f>
        <v>0</v>
      </c>
      <c r="I32" s="52">
        <f>+Tableau8[[#This Row],[SKDU]]</f>
        <v>0</v>
      </c>
      <c r="J32" s="52">
        <f>+Tableau9[[#This Row],[SKDU]]</f>
        <v>0</v>
      </c>
      <c r="K32" s="52">
        <f>+Tableau10[[#This Row],[SKDU]]</f>
        <v>0</v>
      </c>
      <c r="L32" s="52">
        <f>+Tableau11[[#This Row],[SKDU]]</f>
        <v>0</v>
      </c>
      <c r="M32" s="52">
        <f>+Tableau12[[#This Row],[SKDU]]</f>
        <v>0</v>
      </c>
      <c r="N32" s="52">
        <f>+Tableau13[[#This Row],[SKDU]]</f>
        <v>0</v>
      </c>
      <c r="O32" s="52">
        <f t="shared" si="0"/>
        <v>0</v>
      </c>
      <c r="P32" s="131"/>
      <c r="Q32" s="131"/>
    </row>
    <row r="33" spans="1:17" s="32" customFormat="1" ht="30.75" customHeight="1" x14ac:dyDescent="0.35">
      <c r="A33" s="196" t="s">
        <v>32</v>
      </c>
      <c r="B33" s="81" t="s">
        <v>33</v>
      </c>
      <c r="C33" s="55">
        <f>+Tableau2[[#This Row],[SKDU]]</f>
        <v>0</v>
      </c>
      <c r="D33" s="55">
        <f>+Tableau3[[#This Row],[SKDU]]</f>
        <v>0</v>
      </c>
      <c r="E33" s="55">
        <f>+Tableau4[[#This Row],[SKDU]]</f>
        <v>0</v>
      </c>
      <c r="F33" s="55">
        <f>+Tableau5[[#This Row],[SKDU]]</f>
        <v>0</v>
      </c>
      <c r="G33" s="55">
        <f>+Tableau6[[#This Row],[SKDU]]</f>
        <v>0</v>
      </c>
      <c r="H33" s="55">
        <f>+Tableau7[[#This Row],[SKDU]]</f>
        <v>0</v>
      </c>
      <c r="I33" s="55">
        <f>+Tableau8[[#This Row],[SKDU]]</f>
        <v>0</v>
      </c>
      <c r="J33" s="55">
        <f>+Tableau9[[#This Row],[SKDU]]</f>
        <v>0</v>
      </c>
      <c r="K33" s="55">
        <f>+Tableau10[[#This Row],[SKDU]]</f>
        <v>0</v>
      </c>
      <c r="L33" s="55">
        <f>+Tableau11[[#This Row],[SKDU]]</f>
        <v>0</v>
      </c>
      <c r="M33" s="55">
        <f>+Tableau12[[#This Row],[SKDU]]</f>
        <v>0</v>
      </c>
      <c r="N33" s="55">
        <f>+Tableau13[[#This Row],[SKDU]]</f>
        <v>0</v>
      </c>
      <c r="O33" s="55">
        <f t="shared" si="0"/>
        <v>0</v>
      </c>
      <c r="P33" s="131"/>
      <c r="Q33" s="131"/>
    </row>
    <row r="34" spans="1:17" s="37" customFormat="1" ht="30.75" customHeight="1" x14ac:dyDescent="0.35">
      <c r="A34" s="197"/>
      <c r="B34" s="88" t="s">
        <v>45</v>
      </c>
      <c r="C34" s="75">
        <f>+Tableau2[[#This Row],[SKDU]]</f>
        <v>31693590</v>
      </c>
      <c r="D34" s="75">
        <f>+Tableau3[[#This Row],[SKDU]]</f>
        <v>35076715.649999999</v>
      </c>
      <c r="E34" s="75">
        <f>+Tableau4[[#This Row],[SKDU]]</f>
        <v>29644018.919999998</v>
      </c>
      <c r="F34" s="75">
        <f>+Tableau5[[#This Row],[SKDU]]</f>
        <v>23668817.619999997</v>
      </c>
      <c r="G34" s="75">
        <f>+Tableau6[[#This Row],[SKDU]]</f>
        <v>47853499.860000007</v>
      </c>
      <c r="H34" s="75">
        <f>+Tableau7[[#This Row],[SKDU]]</f>
        <v>27893666.600000005</v>
      </c>
      <c r="I34" s="75">
        <f>+Tableau8[[#This Row],[SKDU]]</f>
        <v>18162932.560000002</v>
      </c>
      <c r="J34" s="75">
        <f>+Tableau9[[#This Row],[SKDU]]</f>
        <v>19869276.66</v>
      </c>
      <c r="K34" s="75">
        <f>+Tableau10[[#This Row],[SKDU]]</f>
        <v>40447650.030000001</v>
      </c>
      <c r="L34" s="75">
        <f>+Tableau11[[#This Row],[SKDU]]</f>
        <v>58678049.149999999</v>
      </c>
      <c r="M34" s="75">
        <f>+Tableau12[[#This Row],[SKDU]]</f>
        <v>56623053.660000011</v>
      </c>
      <c r="N34" s="75">
        <f>+Tableau13[[#This Row],[SKDU]]</f>
        <v>75001011.469999999</v>
      </c>
      <c r="O34" s="75">
        <f t="shared" si="0"/>
        <v>464612282.17999995</v>
      </c>
      <c r="P34" s="124"/>
      <c r="Q34" s="124"/>
    </row>
    <row r="35" spans="1:17" s="37" customFormat="1" ht="30.75" customHeight="1" thickBot="1" x14ac:dyDescent="0.4">
      <c r="A35" s="198"/>
      <c r="B35" s="89" t="s">
        <v>46</v>
      </c>
      <c r="C35" s="77">
        <f>+Tableau2[[#This Row],[SKDU]]</f>
        <v>33056491.910000004</v>
      </c>
      <c r="D35" s="77">
        <f>+Tableau3[[#This Row],[SKDU]]</f>
        <v>34388816.719999999</v>
      </c>
      <c r="E35" s="77">
        <f>+Tableau4[[#This Row],[SKDU]]</f>
        <v>31226995.640000004</v>
      </c>
      <c r="F35" s="77">
        <f>+Tableau5[[#This Row],[SKDU]]</f>
        <v>25573628.919999998</v>
      </c>
      <c r="G35" s="77">
        <f>+Tableau6[[#This Row],[SKDU]]</f>
        <v>29206422.209999997</v>
      </c>
      <c r="H35" s="77">
        <f>+Tableau7[[#This Row],[SKDU]]</f>
        <v>25893652.360000003</v>
      </c>
      <c r="I35" s="77">
        <f>+Tableau8[[#This Row],[SKDU]]</f>
        <v>22475322.739999998</v>
      </c>
      <c r="J35" s="77">
        <f>+Tableau9[[#This Row],[SKDU]]</f>
        <v>32567200.540000003</v>
      </c>
      <c r="K35" s="77">
        <f>+Tableau10[[#This Row],[SKDU]]</f>
        <v>29112097.16</v>
      </c>
      <c r="L35" s="77">
        <f>+Tableau11[[#This Row],[SKDU]]</f>
        <v>32713992.390000001</v>
      </c>
      <c r="M35" s="77">
        <f>+Tableau12[[#This Row],[SKDU]]</f>
        <v>38668372.940000005</v>
      </c>
      <c r="N35" s="77">
        <f>+Tableau13[[#This Row],[SKDU]]</f>
        <v>47988308.860000007</v>
      </c>
      <c r="O35" s="77">
        <f t="shared" si="0"/>
        <v>382871302.39000005</v>
      </c>
      <c r="P35" s="124"/>
      <c r="Q35" s="124"/>
    </row>
    <row r="36" spans="1:17" s="27" customFormat="1" ht="30.75" customHeight="1" thickBot="1" x14ac:dyDescent="0.4">
      <c r="A36" s="194" t="s">
        <v>34</v>
      </c>
      <c r="B36" s="85" t="s">
        <v>35</v>
      </c>
      <c r="C36" s="62">
        <f>+Tableau2[[#This Row],[SKDU]]</f>
        <v>-1362901.9100000039</v>
      </c>
      <c r="D36" s="62">
        <f>+Tableau3[[#This Row],[SKDU]]</f>
        <v>687898.9299999997</v>
      </c>
      <c r="E36" s="62">
        <f>+Tableau4[[#This Row],[SKDU]]</f>
        <v>-1582976.7200000063</v>
      </c>
      <c r="F36" s="62">
        <f>+Tableau5[[#This Row],[SKDU]]</f>
        <v>-1904811.3000000007</v>
      </c>
      <c r="G36" s="62">
        <f>+Tableau6[[#This Row],[SKDU]]</f>
        <v>18647077.65000001</v>
      </c>
      <c r="H36" s="62">
        <f>+Tableau7[[#This Row],[SKDU]]</f>
        <v>2000014.2400000021</v>
      </c>
      <c r="I36" s="62">
        <f>+Tableau8[[#This Row],[SKDU]]</f>
        <v>-4312390.179999996</v>
      </c>
      <c r="J36" s="62">
        <f>+Tableau9[[#This Row],[SKDU]]</f>
        <v>-12697923.880000003</v>
      </c>
      <c r="K36" s="62">
        <f>+Tableau10[[#This Row],[SKDU]]</f>
        <v>11335552.870000001</v>
      </c>
      <c r="L36" s="62">
        <f>+Tableau11[[#This Row],[SKDU]]</f>
        <v>25964056.759999998</v>
      </c>
      <c r="M36" s="62">
        <f>+Tableau12[[#This Row],[SKDU]]</f>
        <v>17954680.720000006</v>
      </c>
      <c r="N36" s="62">
        <f>+Tableau13[[#This Row],[SKDU]]</f>
        <v>27012702.609999992</v>
      </c>
      <c r="O36" s="62">
        <f t="shared" si="0"/>
        <v>81740979.789999992</v>
      </c>
      <c r="P36" s="129"/>
      <c r="Q36" s="129"/>
    </row>
    <row r="37" spans="1:17" s="32" customFormat="1" ht="30.75" customHeight="1" x14ac:dyDescent="0.35">
      <c r="A37" s="192">
        <v>77</v>
      </c>
      <c r="B37" s="84" t="s">
        <v>36</v>
      </c>
      <c r="C37" s="52">
        <f>+Tableau2[[#This Row],[SKDU]]</f>
        <v>0</v>
      </c>
      <c r="D37" s="52">
        <f>+Tableau3[[#This Row],[SKDU]]</f>
        <v>0</v>
      </c>
      <c r="E37" s="52">
        <f>+Tableau4[[#This Row],[SKDU]]</f>
        <v>0</v>
      </c>
      <c r="F37" s="52">
        <f>+Tableau5[[#This Row],[SKDU]]</f>
        <v>0</v>
      </c>
      <c r="G37" s="52">
        <f>+Tableau6[[#This Row],[SKDU]]</f>
        <v>0</v>
      </c>
      <c r="H37" s="52">
        <f>+Tableau7[[#This Row],[SKDU]]</f>
        <v>0</v>
      </c>
      <c r="I37" s="52">
        <f>+Tableau8[[#This Row],[SKDU]]</f>
        <v>0</v>
      </c>
      <c r="J37" s="52">
        <f>+Tableau9[[#This Row],[SKDU]]</f>
        <v>0</v>
      </c>
      <c r="K37" s="52">
        <f>+Tableau10[[#This Row],[SKDU]]</f>
        <v>0</v>
      </c>
      <c r="L37" s="52">
        <f>+Tableau11[[#This Row],[SKDU]]</f>
        <v>0</v>
      </c>
      <c r="M37" s="52">
        <f>+Tableau12[[#This Row],[SKDU]]</f>
        <v>0</v>
      </c>
      <c r="N37" s="52">
        <f>+Tableau13[[#This Row],[SKDU]]</f>
        <v>0</v>
      </c>
      <c r="O37" s="52">
        <f t="shared" si="0"/>
        <v>0</v>
      </c>
      <c r="P37" s="131"/>
      <c r="Q37" s="131"/>
    </row>
    <row r="38" spans="1:17" s="32" customFormat="1" ht="30.75" customHeight="1" thickBot="1" x14ac:dyDescent="0.4">
      <c r="A38" s="193">
        <v>67</v>
      </c>
      <c r="B38" s="82" t="s">
        <v>37</v>
      </c>
      <c r="C38" s="59">
        <f>+Tableau2[[#This Row],[SKDU]]</f>
        <v>0</v>
      </c>
      <c r="D38" s="59">
        <f>+Tableau3[[#This Row],[SKDU]]</f>
        <v>0</v>
      </c>
      <c r="E38" s="59">
        <f>+Tableau4[[#This Row],[SKDU]]</f>
        <v>0</v>
      </c>
      <c r="F38" s="59">
        <f>+Tableau5[[#This Row],[SKDU]]</f>
        <v>0</v>
      </c>
      <c r="G38" s="59">
        <f>+Tableau6[[#This Row],[SKDU]]</f>
        <v>0</v>
      </c>
      <c r="H38" s="59">
        <f>+Tableau7[[#This Row],[SKDU]]</f>
        <v>0</v>
      </c>
      <c r="I38" s="59">
        <f>+Tableau8[[#This Row],[SKDU]]</f>
        <v>0</v>
      </c>
      <c r="J38" s="59">
        <f>+Tableau9[[#This Row],[SKDU]]</f>
        <v>0</v>
      </c>
      <c r="K38" s="59">
        <f>+Tableau10[[#This Row],[SKDU]]</f>
        <v>0</v>
      </c>
      <c r="L38" s="59">
        <f>+Tableau11[[#This Row],[SKDU]]</f>
        <v>0</v>
      </c>
      <c r="M38" s="59">
        <f>+Tableau12[[#This Row],[SKDU]]</f>
        <v>0</v>
      </c>
      <c r="N38" s="59">
        <f>+Tableau13[[#This Row],[SKDU]]</f>
        <v>0</v>
      </c>
      <c r="O38" s="59">
        <f t="shared" si="0"/>
        <v>0</v>
      </c>
      <c r="P38" s="131"/>
      <c r="Q38" s="131"/>
    </row>
    <row r="39" spans="1:17" s="27" customFormat="1" ht="30.75" customHeight="1" thickBot="1" x14ac:dyDescent="0.4">
      <c r="A39" s="194" t="s">
        <v>38</v>
      </c>
      <c r="B39" s="85" t="s">
        <v>39</v>
      </c>
      <c r="C39" s="62">
        <f>+Tableau2[[#This Row],[SKDU]]</f>
        <v>0</v>
      </c>
      <c r="D39" s="62">
        <f>+Tableau3[[#This Row],[SKDU]]</f>
        <v>0</v>
      </c>
      <c r="E39" s="62">
        <f>+Tableau4[[#This Row],[SKDU]]</f>
        <v>0</v>
      </c>
      <c r="F39" s="62">
        <f>+Tableau5[[#This Row],[SKDU]]</f>
        <v>0</v>
      </c>
      <c r="G39" s="62">
        <f>+Tableau6[[#This Row],[SKDU]]</f>
        <v>0</v>
      </c>
      <c r="H39" s="62">
        <f>+Tableau7[[#This Row],[SKDU]]</f>
        <v>0</v>
      </c>
      <c r="I39" s="62">
        <f>+Tableau8[[#This Row],[SKDU]]</f>
        <v>0</v>
      </c>
      <c r="J39" s="62">
        <f>+Tableau9[[#This Row],[SKDU]]</f>
        <v>0</v>
      </c>
      <c r="K39" s="62">
        <f>+Tableau10[[#This Row],[SKDU]]</f>
        <v>0</v>
      </c>
      <c r="L39" s="62">
        <f>+Tableau11[[#This Row],[SKDU]]</f>
        <v>0</v>
      </c>
      <c r="M39" s="62">
        <f>+Tableau12[[#This Row],[SKDU]]</f>
        <v>0</v>
      </c>
      <c r="N39" s="62">
        <f>+Tableau13[[#This Row],[SKDU]]</f>
        <v>0</v>
      </c>
      <c r="O39" s="62">
        <f t="shared" si="0"/>
        <v>0</v>
      </c>
      <c r="P39" s="129"/>
      <c r="Q39" s="129"/>
    </row>
    <row r="40" spans="1:17" s="27" customFormat="1" ht="30.6" customHeight="1" thickBot="1" x14ac:dyDescent="0.4">
      <c r="A40" s="194" t="s">
        <v>40</v>
      </c>
      <c r="B40" s="85" t="s">
        <v>41</v>
      </c>
      <c r="C40" s="62">
        <f>+Tableau2[[#This Row],[SKDU]]</f>
        <v>-1362901.9100000039</v>
      </c>
      <c r="D40" s="62">
        <f>+Tableau3[[#This Row],[SKDU]]</f>
        <v>687898.9299999997</v>
      </c>
      <c r="E40" s="62">
        <f>+Tableau4[[#This Row],[SKDU]]</f>
        <v>-1582976.7200000063</v>
      </c>
      <c r="F40" s="62">
        <f>+Tableau5[[#This Row],[SKDU]]</f>
        <v>-1904811.3000000007</v>
      </c>
      <c r="G40" s="62">
        <f>+Tableau6[[#This Row],[SKDU]]</f>
        <v>18647077.65000001</v>
      </c>
      <c r="H40" s="62">
        <f>+Tableau7[[#This Row],[SKDU]]</f>
        <v>2000014.2400000021</v>
      </c>
      <c r="I40" s="62">
        <f>+Tableau8[[#This Row],[SKDU]]</f>
        <v>-4312390.179999996</v>
      </c>
      <c r="J40" s="62">
        <f>+Tableau9[[#This Row],[SKDU]]</f>
        <v>-12697923.880000003</v>
      </c>
      <c r="K40" s="62">
        <f>+Tableau10[[#This Row],[SKDU]]</f>
        <v>11335552.870000001</v>
      </c>
      <c r="L40" s="62">
        <f>+Tableau11[[#This Row],[SKDU]]</f>
        <v>25964056.759999998</v>
      </c>
      <c r="M40" s="62">
        <f>+Tableau12[[#This Row],[SKDU]]</f>
        <v>17954680.720000006</v>
      </c>
      <c r="N40" s="62">
        <f>+Tableau13[[#This Row],[SKDU]]</f>
        <v>27012702.609999992</v>
      </c>
      <c r="O40" s="62">
        <f t="shared" si="0"/>
        <v>81740979.789999992</v>
      </c>
      <c r="P40" s="222"/>
      <c r="Q40" s="222"/>
    </row>
    <row r="41" spans="1:17" s="27" customFormat="1" ht="11.4" customHeight="1" thickBot="1" x14ac:dyDescent="0.4">
      <c r="A41" s="90"/>
      <c r="B41" s="90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129"/>
      <c r="Q41" s="129"/>
    </row>
    <row r="42" spans="1:17" s="27" customFormat="1" ht="18.600000000000001" thickBot="1" x14ac:dyDescent="0.4">
      <c r="A42" s="205" t="s">
        <v>51</v>
      </c>
      <c r="B42" s="206"/>
      <c r="C42" s="202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4"/>
      <c r="P42" s="129"/>
      <c r="Q42" s="129"/>
    </row>
    <row r="43" spans="1:17" s="37" customFormat="1" ht="18" x14ac:dyDescent="0.35">
      <c r="A43" s="199">
        <v>1</v>
      </c>
      <c r="B43" s="200" t="s">
        <v>52</v>
      </c>
      <c r="C43" s="201">
        <f t="shared" ref="C43:O43" si="2">+C12/C7</f>
        <v>1.3509221567475471</v>
      </c>
      <c r="D43" s="201">
        <f t="shared" si="2"/>
        <v>1.1456959252062733</v>
      </c>
      <c r="E43" s="201">
        <f t="shared" si="2"/>
        <v>0.54138890359974046</v>
      </c>
      <c r="F43" s="201">
        <f t="shared" si="2"/>
        <v>0.57797165623227731</v>
      </c>
      <c r="G43" s="201">
        <f t="shared" si="2"/>
        <v>0.43047510815967682</v>
      </c>
      <c r="H43" s="201">
        <f t="shared" si="2"/>
        <v>0.47062687804825865</v>
      </c>
      <c r="I43" s="201">
        <f t="shared" si="2"/>
        <v>0.48249999767491514</v>
      </c>
      <c r="J43" s="201">
        <f t="shared" si="2"/>
        <v>0.63040507037191107</v>
      </c>
      <c r="K43" s="201">
        <f t="shared" si="2"/>
        <v>0.74414654703506666</v>
      </c>
      <c r="L43" s="201">
        <f t="shared" si="2"/>
        <v>0.64431268926768215</v>
      </c>
      <c r="M43" s="201">
        <f t="shared" si="2"/>
        <v>0.71773817343339641</v>
      </c>
      <c r="N43" s="201">
        <f t="shared" si="2"/>
        <v>0.72567898354039839</v>
      </c>
      <c r="O43" s="201">
        <f t="shared" si="2"/>
        <v>0.64796771216342208</v>
      </c>
      <c r="P43" s="124"/>
      <c r="Q43" s="124"/>
    </row>
    <row r="44" spans="1:17" s="37" customFormat="1" ht="18" x14ac:dyDescent="0.35">
      <c r="A44" s="92">
        <v>2</v>
      </c>
      <c r="B44" s="93" t="s">
        <v>53</v>
      </c>
      <c r="C44" s="95">
        <f t="shared" ref="C44:O44" si="3">+C13/C7</f>
        <v>0.81552297369306137</v>
      </c>
      <c r="D44" s="95">
        <f t="shared" si="3"/>
        <v>0.62785817889215423</v>
      </c>
      <c r="E44" s="95">
        <f t="shared" si="3"/>
        <v>0.28870733068196125</v>
      </c>
      <c r="F44" s="95">
        <f t="shared" si="3"/>
        <v>0.30218881850616902</v>
      </c>
      <c r="G44" s="95">
        <f t="shared" si="3"/>
        <v>0.1215698788321842</v>
      </c>
      <c r="H44" s="95">
        <f t="shared" si="3"/>
        <v>0.17870539117865125</v>
      </c>
      <c r="I44" s="95">
        <f t="shared" si="3"/>
        <v>0.18750636588305991</v>
      </c>
      <c r="J44" s="95">
        <f t="shared" si="3"/>
        <v>0.41400581006025716</v>
      </c>
      <c r="K44" s="95">
        <f t="shared" si="3"/>
        <v>0.23842069713670536</v>
      </c>
      <c r="L44" s="95">
        <f t="shared" si="3"/>
        <v>0.18346711606893371</v>
      </c>
      <c r="M44" s="95">
        <f t="shared" si="3"/>
        <v>0.27226149182356169</v>
      </c>
      <c r="N44" s="95">
        <f t="shared" si="3"/>
        <v>0.30506235209990301</v>
      </c>
      <c r="O44" s="95">
        <f t="shared" si="3"/>
        <v>0.26976367659711287</v>
      </c>
      <c r="P44" s="124"/>
      <c r="Q44" s="124"/>
    </row>
    <row r="45" spans="1:17" s="36" customFormat="1" ht="18" x14ac:dyDescent="0.35">
      <c r="A45" s="223">
        <v>3</v>
      </c>
      <c r="B45" s="224" t="s">
        <v>56</v>
      </c>
      <c r="C45" s="140">
        <f t="shared" ref="C45:O45" si="4">+C13/C12</f>
        <v>0.60367873131676075</v>
      </c>
      <c r="D45" s="140">
        <f t="shared" si="4"/>
        <v>0.5480146739451075</v>
      </c>
      <c r="E45" s="140">
        <f t="shared" si="4"/>
        <v>0.53327160708747789</v>
      </c>
      <c r="F45" s="140">
        <f t="shared" si="4"/>
        <v>0.52284366412723249</v>
      </c>
      <c r="G45" s="140">
        <f t="shared" si="4"/>
        <v>0.28240861440724718</v>
      </c>
      <c r="H45" s="140">
        <f t="shared" si="4"/>
        <v>0.37971777540577822</v>
      </c>
      <c r="I45" s="140">
        <f t="shared" si="4"/>
        <v>0.38861423168211601</v>
      </c>
      <c r="J45" s="140">
        <f t="shared" si="4"/>
        <v>0.65672982264563962</v>
      </c>
      <c r="K45" s="140">
        <f t="shared" si="4"/>
        <v>0.32039481750826448</v>
      </c>
      <c r="L45" s="140">
        <f t="shared" si="4"/>
        <v>0.2847485687073153</v>
      </c>
      <c r="M45" s="140">
        <f t="shared" si="4"/>
        <v>0.37933260609668074</v>
      </c>
      <c r="N45" s="140">
        <f t="shared" si="4"/>
        <v>0.42038195816500484</v>
      </c>
      <c r="O45" s="140">
        <f t="shared" si="4"/>
        <v>0.41632271413097288</v>
      </c>
      <c r="P45" s="124"/>
      <c r="Q45" s="124"/>
    </row>
    <row r="46" spans="1:17" s="37" customFormat="1" ht="18" x14ac:dyDescent="0.35">
      <c r="A46" s="92">
        <v>4</v>
      </c>
      <c r="B46" s="93" t="s">
        <v>57</v>
      </c>
      <c r="C46" s="95">
        <f t="shared" ref="C46:O46" si="5">+C16/C12</f>
        <v>0.673359421052244</v>
      </c>
      <c r="D46" s="95">
        <f t="shared" si="5"/>
        <v>0.60342133457412228</v>
      </c>
      <c r="E46" s="95">
        <f t="shared" si="5"/>
        <v>0.61808950059865908</v>
      </c>
      <c r="F46" s="95">
        <f t="shared" si="5"/>
        <v>0.5454532405155269</v>
      </c>
      <c r="G46" s="95">
        <f t="shared" si="5"/>
        <v>0.33902042980059677</v>
      </c>
      <c r="H46" s="95">
        <f t="shared" si="5"/>
        <v>0.48360552968331416</v>
      </c>
      <c r="I46" s="95">
        <f t="shared" si="5"/>
        <v>0.56812354141970278</v>
      </c>
      <c r="J46" s="95">
        <f t="shared" si="5"/>
        <v>0.81240056293625384</v>
      </c>
      <c r="K46" s="95">
        <f t="shared" si="5"/>
        <v>0.44461756286611143</v>
      </c>
      <c r="L46" s="95">
        <f t="shared" si="5"/>
        <v>0.34257889093437932</v>
      </c>
      <c r="M46" s="95">
        <f t="shared" si="5"/>
        <v>0.44591254653290624</v>
      </c>
      <c r="N46" s="95">
        <f t="shared" si="5"/>
        <v>0.4693206818267488</v>
      </c>
      <c r="O46" s="95">
        <f t="shared" si="5"/>
        <v>0.49169478815055001</v>
      </c>
      <c r="P46" s="124"/>
      <c r="Q46" s="124"/>
    </row>
    <row r="47" spans="1:17" s="37" customFormat="1" ht="18" x14ac:dyDescent="0.35">
      <c r="A47" s="92">
        <v>5</v>
      </c>
      <c r="B47" s="93" t="s">
        <v>58</v>
      </c>
      <c r="C47" s="95">
        <f t="shared" ref="C47:O47" si="6">+C18/C12</f>
        <v>0.34023344142473821</v>
      </c>
      <c r="D47" s="95">
        <f t="shared" si="6"/>
        <v>0.35272020799929138</v>
      </c>
      <c r="E47" s="95">
        <f t="shared" si="6"/>
        <v>0.39804893667906222</v>
      </c>
      <c r="F47" s="95">
        <f t="shared" si="6"/>
        <v>0.49372383013021842</v>
      </c>
      <c r="G47" s="95">
        <f t="shared" si="6"/>
        <v>0.23637865240981351</v>
      </c>
      <c r="H47" s="95">
        <f t="shared" si="6"/>
        <v>0.39414906575695452</v>
      </c>
      <c r="I47" s="95">
        <f t="shared" si="6"/>
        <v>0.61801614734993626</v>
      </c>
      <c r="J47" s="95">
        <f t="shared" si="6"/>
        <v>0.78253570327812383</v>
      </c>
      <c r="K47" s="95">
        <f t="shared" si="6"/>
        <v>0.24770105785055416</v>
      </c>
      <c r="L47" s="95">
        <f t="shared" si="6"/>
        <v>0.18784549264450112</v>
      </c>
      <c r="M47" s="95">
        <f t="shared" si="6"/>
        <v>0.20119937381702838</v>
      </c>
      <c r="N47" s="95">
        <f t="shared" si="6"/>
        <v>0.14763038760774616</v>
      </c>
      <c r="O47" s="95">
        <f t="shared" si="6"/>
        <v>0.29965311958723545</v>
      </c>
      <c r="P47" s="124"/>
      <c r="Q47" s="124"/>
    </row>
    <row r="48" spans="1:17" s="37" customFormat="1" ht="18" x14ac:dyDescent="0.35">
      <c r="A48" s="92">
        <v>6</v>
      </c>
      <c r="B48" s="93" t="s">
        <v>54</v>
      </c>
      <c r="C48" s="95">
        <f t="shared" ref="C48:O48" si="7">+C17/C18</f>
        <v>0.9600484231648081</v>
      </c>
      <c r="D48" s="95">
        <f t="shared" si="7"/>
        <v>1.1243434780087067</v>
      </c>
      <c r="E48" s="95">
        <f t="shared" si="7"/>
        <v>0.95945614774815147</v>
      </c>
      <c r="F48" s="95">
        <f t="shared" si="7"/>
        <v>0.92064982839614518</v>
      </c>
      <c r="G48" s="95">
        <f t="shared" si="7"/>
        <v>2.7962743820599005</v>
      </c>
      <c r="H48" s="95">
        <f t="shared" si="7"/>
        <v>1.3101501822031767</v>
      </c>
      <c r="I48" s="95">
        <f t="shared" si="7"/>
        <v>0.69881096219280159</v>
      </c>
      <c r="J48" s="95">
        <f t="shared" si="7"/>
        <v>0.23973275120594814</v>
      </c>
      <c r="K48" s="95">
        <f t="shared" si="7"/>
        <v>2.24214802291627</v>
      </c>
      <c r="L48" s="95">
        <f t="shared" si="7"/>
        <v>3.4997970928682038</v>
      </c>
      <c r="M48" s="95">
        <f t="shared" si="7"/>
        <v>2.7539223554988963</v>
      </c>
      <c r="N48" s="95">
        <f t="shared" si="7"/>
        <v>3.5946482751455329</v>
      </c>
      <c r="O48" s="95">
        <f t="shared" si="7"/>
        <v>1.6963120976335151</v>
      </c>
      <c r="P48" s="124"/>
      <c r="Q48" s="124"/>
    </row>
    <row r="49" spans="1:17" s="37" customFormat="1" ht="18" x14ac:dyDescent="0.35">
      <c r="A49" s="92">
        <v>7</v>
      </c>
      <c r="B49" s="93" t="s">
        <v>55</v>
      </c>
      <c r="C49" s="95">
        <f t="shared" ref="C49:O49" si="8">+C20/C12</f>
        <v>-2.596588049884279E-2</v>
      </c>
      <c r="D49" s="95">
        <f t="shared" si="8"/>
        <v>3.4969426791245171E-2</v>
      </c>
      <c r="E49" s="95">
        <f t="shared" si="8"/>
        <v>-3.5306517743917444E-2</v>
      </c>
      <c r="F49" s="95">
        <f t="shared" si="8"/>
        <v>-5.6800215438898696E-2</v>
      </c>
      <c r="G49" s="95">
        <f t="shared" si="8"/>
        <v>0.40124676389761571</v>
      </c>
      <c r="H49" s="95">
        <f t="shared" si="8"/>
        <v>0.10065340101982337</v>
      </c>
      <c r="I49" s="95">
        <f t="shared" si="8"/>
        <v>-0.20718342857330721</v>
      </c>
      <c r="J49" s="95">
        <f t="shared" si="8"/>
        <v>-0.61112253461051569</v>
      </c>
      <c r="K49" s="95">
        <f t="shared" si="8"/>
        <v>0.2940086232742754</v>
      </c>
      <c r="L49" s="95">
        <f t="shared" si="8"/>
        <v>0.45390131805361833</v>
      </c>
      <c r="M49" s="95">
        <f t="shared" si="8"/>
        <v>0.33883609996034969</v>
      </c>
      <c r="N49" s="95">
        <f t="shared" si="8"/>
        <v>0.36912982489326612</v>
      </c>
      <c r="O49" s="95">
        <f t="shared" si="8"/>
        <v>0.19267065468145694</v>
      </c>
      <c r="P49" s="124"/>
      <c r="Q49" s="124"/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O1:P1"/>
    <mergeCell ref="O2:P2"/>
    <mergeCell ref="O3:P3"/>
    <mergeCell ref="A5:O5"/>
  </mergeCells>
  <conditionalFormatting sqref="C41:O41 C1:O4 C43:O1048576">
    <cfRule type="cellIs" dxfId="28" priority="8" operator="lessThan">
      <formula>-0.01</formula>
    </cfRule>
  </conditionalFormatting>
  <conditionalFormatting sqref="C7:C40">
    <cfRule type="cellIs" dxfId="27" priority="7" operator="lessThan">
      <formula>-0.01</formula>
    </cfRule>
  </conditionalFormatting>
  <conditionalFormatting sqref="D7:N40">
    <cfRule type="cellIs" dxfId="26" priority="6" operator="lessThan">
      <formula>-0.01</formula>
    </cfRule>
  </conditionalFormatting>
  <conditionalFormatting sqref="O7:O40">
    <cfRule type="cellIs" dxfId="25" priority="3" operator="lessThan">
      <formula>-0.01</formula>
    </cfRule>
  </conditionalFormatting>
  <conditionalFormatting sqref="C6:N6">
    <cfRule type="cellIs" dxfId="24" priority="2" operator="lessThan">
      <formula>-0.01</formula>
    </cfRule>
  </conditionalFormatting>
  <conditionalFormatting sqref="O6">
    <cfRule type="cellIs" dxfId="23" priority="1" operator="lessThan">
      <formula>-0.01</formula>
    </cfRule>
  </conditionalFormatting>
  <pageMargins left="0.15748031496062992" right="0.11811023622047245" top="0.15748031496062992" bottom="0.15748031496062992" header="0.15748031496062992" footer="0"/>
  <pageSetup paperSize="9" scale="42" orientation="landscape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Y49"/>
  <sheetViews>
    <sheetView view="pageBreakPreview" zoomScale="60" zoomScaleNormal="50" workbookViewId="0">
      <pane xSplit="2" ySplit="6" topLeftCell="C16" activePane="bottomRight" state="frozen"/>
      <selection activeCell="C5" sqref="C5:D5"/>
      <selection pane="topRight" activeCell="C5" sqref="C5:D5"/>
      <selection pane="bottomLeft" activeCell="C5" sqref="C5:D5"/>
      <selection pane="bottomRight" activeCell="N25" sqref="N25"/>
    </sheetView>
  </sheetViews>
  <sheetFormatPr baseColWidth="10" defaultColWidth="11.44140625" defaultRowHeight="23.4" x14ac:dyDescent="0.45"/>
  <cols>
    <col min="1" max="1" width="7.6640625" style="2" customWidth="1"/>
    <col min="2" max="2" width="76.5546875" style="2" customWidth="1"/>
    <col min="3" max="14" width="19.77734375" style="3" customWidth="1"/>
    <col min="15" max="15" width="19.77734375" style="96" customWidth="1"/>
    <col min="16" max="16" width="16.5546875" style="1" bestFit="1" customWidth="1"/>
    <col min="17" max="16384" width="11.44140625" style="1"/>
  </cols>
  <sheetData>
    <row r="1" spans="1:25" s="42" customFormat="1" ht="13.8" customHeight="1" x14ac:dyDescent="0.45">
      <c r="A1" s="25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97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s="42" customFormat="1" ht="13.8" customHeight="1" x14ac:dyDescent="0.45">
      <c r="A2" s="25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98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s="42" customFormat="1" ht="13.8" customHeight="1" x14ac:dyDescent="0.4">
      <c r="A3" s="46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99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25" s="42" customFormat="1" ht="13.8" customHeight="1" x14ac:dyDescent="0.4">
      <c r="A4" s="46"/>
      <c r="B4" s="4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00"/>
    </row>
    <row r="5" spans="1:25" ht="26.4" thickBot="1" x14ac:dyDescent="0.55000000000000004">
      <c r="A5" s="347" t="s">
        <v>107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</row>
    <row r="6" spans="1:25" s="27" customFormat="1" ht="52.2" customHeight="1" thickBot="1" x14ac:dyDescent="0.4">
      <c r="A6" s="246" t="s">
        <v>0</v>
      </c>
      <c r="B6" s="246" t="s">
        <v>1</v>
      </c>
      <c r="C6" s="247">
        <v>44197</v>
      </c>
      <c r="D6" s="248">
        <v>44228</v>
      </c>
      <c r="E6" s="247">
        <v>44256</v>
      </c>
      <c r="F6" s="248">
        <v>44287</v>
      </c>
      <c r="G6" s="247">
        <v>44317</v>
      </c>
      <c r="H6" s="248">
        <v>44348</v>
      </c>
      <c r="I6" s="247">
        <v>44378</v>
      </c>
      <c r="J6" s="248">
        <v>44409</v>
      </c>
      <c r="K6" s="247">
        <v>44440</v>
      </c>
      <c r="L6" s="248">
        <v>44470</v>
      </c>
      <c r="M6" s="247">
        <v>44501</v>
      </c>
      <c r="N6" s="248">
        <v>44531</v>
      </c>
      <c r="O6" s="249" t="s">
        <v>85</v>
      </c>
    </row>
    <row r="7" spans="1:25" s="29" customFormat="1" ht="30.75" customHeight="1" x14ac:dyDescent="0.35">
      <c r="A7" s="207"/>
      <c r="B7" s="208" t="s">
        <v>2</v>
      </c>
      <c r="C7" s="209">
        <f>+Tableau2[[#This Row],[AZDU]]</f>
        <v>14361394.68</v>
      </c>
      <c r="D7" s="209">
        <f>+Tableau3[[#This Row],[AZDU]]</f>
        <v>18237920.309999999</v>
      </c>
      <c r="E7" s="209">
        <f>+Tableau4[[#This Row],[AZDU]]</f>
        <v>51685455.859999999</v>
      </c>
      <c r="F7" s="209">
        <f>+Tableau5[[#This Row],[AZDU]]</f>
        <v>70935830.030000001</v>
      </c>
      <c r="G7" s="209">
        <f>+Tableau6[[#This Row],[AZDU]]</f>
        <v>52998015.979999997</v>
      </c>
      <c r="H7" s="209">
        <f>+Tableau7[[#This Row],[AZDU]]</f>
        <v>125465468.86</v>
      </c>
      <c r="I7" s="209">
        <f>+Tableau8[[#This Row],[AZDU]]</f>
        <v>71473074.189999998</v>
      </c>
      <c r="J7" s="209">
        <f>+Tableau9[[#This Row],[AZDU]]</f>
        <v>57443294.32</v>
      </c>
      <c r="K7" s="209">
        <f>+Tableau10[[#This Row],[AZDU]]</f>
        <v>72319234.560000002</v>
      </c>
      <c r="L7" s="209">
        <f>+Tableau11[[#This Row],[AZDU]]</f>
        <v>63228315.920000002</v>
      </c>
      <c r="M7" s="209">
        <f>+Tableau12[[#This Row],[AZDU]]</f>
        <v>85460444.840000004</v>
      </c>
      <c r="N7" s="209">
        <f>+Tableau13[[#This Row],[AZDU]]</f>
        <v>78511679.829999998</v>
      </c>
      <c r="O7" s="209">
        <f>SUM(C7:N7)</f>
        <v>762120129.38</v>
      </c>
    </row>
    <row r="8" spans="1:25" s="29" customFormat="1" ht="30.75" customHeight="1" x14ac:dyDescent="0.35">
      <c r="A8" s="189"/>
      <c r="B8" s="80" t="s">
        <v>42</v>
      </c>
      <c r="C8" s="55">
        <f>+Tableau2[[#This Row],[AZDU]]</f>
        <v>0</v>
      </c>
      <c r="D8" s="55">
        <f>+Tableau3[[#This Row],[AZDU]]</f>
        <v>0</v>
      </c>
      <c r="E8" s="55">
        <f>+Tableau4[[#This Row],[AZDU]]</f>
        <v>0</v>
      </c>
      <c r="F8" s="55">
        <f>+Tableau5[[#This Row],[AZDU]]</f>
        <v>0</v>
      </c>
      <c r="G8" s="55">
        <f>+Tableau6[[#This Row],[AZDU]]</f>
        <v>0</v>
      </c>
      <c r="H8" s="55">
        <f>+Tableau7[[#This Row],[AZDU]]</f>
        <v>0</v>
      </c>
      <c r="I8" s="55">
        <f>+Tableau8[[#This Row],[AZDU]]</f>
        <v>0</v>
      </c>
      <c r="J8" s="55">
        <f>+Tableau9[[#This Row],[AZDU]]</f>
        <v>0</v>
      </c>
      <c r="K8" s="55">
        <f>+Tableau10[[#This Row],[AZDU]]</f>
        <v>0</v>
      </c>
      <c r="L8" s="55">
        <f>+Tableau11[[#This Row],[AZDU]]</f>
        <v>0</v>
      </c>
      <c r="M8" s="55">
        <f>+Tableau12[[#This Row],[AZDU]]</f>
        <v>0</v>
      </c>
      <c r="N8" s="55">
        <f>+Tableau13[[#This Row],[AZDU]]</f>
        <v>0</v>
      </c>
      <c r="O8" s="55">
        <f t="shared" ref="O8:O40" si="0">SUM(C8:N8)</f>
        <v>0</v>
      </c>
    </row>
    <row r="9" spans="1:25" s="27" customFormat="1" ht="30.75" customHeight="1" x14ac:dyDescent="0.35">
      <c r="A9" s="189"/>
      <c r="B9" s="81" t="s">
        <v>3</v>
      </c>
      <c r="C9" s="55">
        <f>+Tableau2[[#This Row],[AZDU]]</f>
        <v>15821628.75</v>
      </c>
      <c r="D9" s="55">
        <f>+Tableau3[[#This Row],[AZDU]]</f>
        <v>6128643.3799999999</v>
      </c>
      <c r="E9" s="55">
        <f>+Tableau4[[#This Row],[AZDU]]</f>
        <v>872810.69</v>
      </c>
      <c r="F9" s="55">
        <f>+Tableau5[[#This Row],[AZDU]]</f>
        <v>-22559717.940000001</v>
      </c>
      <c r="G9" s="55">
        <f>+Tableau6[[#This Row],[AZDU]]</f>
        <v>-7577695.5599999996</v>
      </c>
      <c r="H9" s="55">
        <f>+Tableau7[[#This Row],[AZDU]]</f>
        <v>-59819887.82</v>
      </c>
      <c r="I9" s="55">
        <f>+Tableau8[[#This Row],[AZDU]]</f>
        <v>-31506132.670000002</v>
      </c>
      <c r="J9" s="55">
        <f>+Tableau9[[#This Row],[AZDU]]</f>
        <v>-26182037.780000001</v>
      </c>
      <c r="K9" s="55">
        <f>+Tableau10[[#This Row],[AZDU]]</f>
        <v>-31506793.289999999</v>
      </c>
      <c r="L9" s="55">
        <f>+Tableau11[[#This Row],[AZDU]]</f>
        <v>-13472094.810000001</v>
      </c>
      <c r="M9" s="55">
        <f>+Tableau12[[#This Row],[AZDU]]</f>
        <v>-28494216.649999999</v>
      </c>
      <c r="N9" s="55">
        <f>+Tableau13[[#This Row],[AZDU]]</f>
        <v>-21955954.109999999</v>
      </c>
      <c r="O9" s="182">
        <f t="shared" si="0"/>
        <v>-220251447.81</v>
      </c>
    </row>
    <row r="10" spans="1:25" s="27" customFormat="1" ht="30.75" customHeight="1" x14ac:dyDescent="0.35">
      <c r="A10" s="189"/>
      <c r="B10" s="81" t="s">
        <v>4</v>
      </c>
      <c r="C10" s="55">
        <f>+Tableau2[[#This Row],[AZDU]]</f>
        <v>0</v>
      </c>
      <c r="D10" s="55">
        <f>+Tableau3[[#This Row],[AZDU]]</f>
        <v>0</v>
      </c>
      <c r="E10" s="55">
        <f>+Tableau4[[#This Row],[AZDU]]</f>
        <v>0</v>
      </c>
      <c r="F10" s="55">
        <f>+Tableau5[[#This Row],[AZDU]]</f>
        <v>0</v>
      </c>
      <c r="G10" s="55">
        <f>+Tableau6[[#This Row],[AZDU]]</f>
        <v>0</v>
      </c>
      <c r="H10" s="55">
        <f>+Tableau7[[#This Row],[AZDU]]</f>
        <v>0</v>
      </c>
      <c r="I10" s="55">
        <f>+Tableau8[[#This Row],[AZDU]]</f>
        <v>0</v>
      </c>
      <c r="J10" s="55">
        <f>+Tableau9[[#This Row],[AZDU]]</f>
        <v>0</v>
      </c>
      <c r="K10" s="55">
        <f>+Tableau10[[#This Row],[AZDU]]</f>
        <v>0</v>
      </c>
      <c r="L10" s="55">
        <f>+Tableau11[[#This Row],[AZDU]]</f>
        <v>0</v>
      </c>
      <c r="M10" s="55">
        <f>+Tableau12[[#This Row],[AZDU]]</f>
        <v>0</v>
      </c>
      <c r="N10" s="55">
        <f>+Tableau13[[#This Row],[AZDU]]</f>
        <v>0</v>
      </c>
      <c r="O10" s="55">
        <f t="shared" si="0"/>
        <v>0</v>
      </c>
    </row>
    <row r="11" spans="1:25" s="27" customFormat="1" ht="30.75" customHeight="1" thickBot="1" x14ac:dyDescent="0.4">
      <c r="A11" s="190"/>
      <c r="B11" s="82" t="s">
        <v>5</v>
      </c>
      <c r="C11" s="59">
        <f>+Tableau2[[#This Row],[AZDU]]</f>
        <v>0</v>
      </c>
      <c r="D11" s="59">
        <f>+Tableau3[[#This Row],[AZDU]]</f>
        <v>0</v>
      </c>
      <c r="E11" s="59">
        <f>+Tableau4[[#This Row],[AZDU]]</f>
        <v>0</v>
      </c>
      <c r="F11" s="59">
        <f>+Tableau5[[#This Row],[AZDU]]</f>
        <v>0</v>
      </c>
      <c r="G11" s="59">
        <f>+Tableau6[[#This Row],[AZDU]]</f>
        <v>0</v>
      </c>
      <c r="H11" s="59">
        <f>+Tableau7[[#This Row],[AZDU]]</f>
        <v>0</v>
      </c>
      <c r="I11" s="59">
        <f>+Tableau8[[#This Row],[AZDU]]</f>
        <v>0</v>
      </c>
      <c r="J11" s="59">
        <f>+Tableau9[[#This Row],[AZDU]]</f>
        <v>0</v>
      </c>
      <c r="K11" s="59">
        <f>+Tableau10[[#This Row],[AZDU]]</f>
        <v>0</v>
      </c>
      <c r="L11" s="59">
        <f>+Tableau11[[#This Row],[AZDU]]</f>
        <v>0</v>
      </c>
      <c r="M11" s="59">
        <f>+Tableau12[[#This Row],[AZDU]]</f>
        <v>0</v>
      </c>
      <c r="N11" s="59">
        <f>+Tableau13[[#This Row],[AZDU]]</f>
        <v>0</v>
      </c>
      <c r="O11" s="59">
        <f t="shared" si="0"/>
        <v>0</v>
      </c>
    </row>
    <row r="12" spans="1:25" s="27" customFormat="1" ht="30.75" customHeight="1" thickBot="1" x14ac:dyDescent="0.4">
      <c r="A12" s="191"/>
      <c r="B12" s="83" t="s">
        <v>6</v>
      </c>
      <c r="C12" s="62">
        <f>+Tableau2[[#This Row],[AZDU]]</f>
        <v>30183023.43</v>
      </c>
      <c r="D12" s="62">
        <f>+Tableau3[[#This Row],[AZDU]]</f>
        <v>24366563.689999998</v>
      </c>
      <c r="E12" s="62">
        <f>+Tableau4[[#This Row],[AZDU]]</f>
        <v>52558266.549999997</v>
      </c>
      <c r="F12" s="62">
        <f>+Tableau5[[#This Row],[AZDU]]</f>
        <v>48376112.090000004</v>
      </c>
      <c r="G12" s="62">
        <f>+Tableau6[[#This Row],[AZDU]]</f>
        <v>45420320.419999994</v>
      </c>
      <c r="H12" s="62">
        <f>+Tableau7[[#This Row],[AZDU]]</f>
        <v>65645581.039999999</v>
      </c>
      <c r="I12" s="62">
        <f>+Tableau8[[#This Row],[AZDU]]</f>
        <v>39966941.519999996</v>
      </c>
      <c r="J12" s="62">
        <f>+Tableau9[[#This Row],[AZDU]]</f>
        <v>31261256.539999999</v>
      </c>
      <c r="K12" s="62">
        <f>+Tableau10[[#This Row],[AZDU]]</f>
        <v>40812441.270000003</v>
      </c>
      <c r="L12" s="62">
        <f>+Tableau11[[#This Row],[AZDU]]</f>
        <v>49756221.109999999</v>
      </c>
      <c r="M12" s="62">
        <f>+Tableau12[[#This Row],[AZDU]]</f>
        <v>56966228.190000005</v>
      </c>
      <c r="N12" s="62">
        <f>+Tableau13[[#This Row],[AZDU]]</f>
        <v>56555725.719999999</v>
      </c>
      <c r="O12" s="62">
        <f t="shared" si="0"/>
        <v>541868681.56999993</v>
      </c>
    </row>
    <row r="13" spans="1:25" s="32" customFormat="1" ht="30.75" customHeight="1" x14ac:dyDescent="0.35">
      <c r="A13" s="192">
        <v>60</v>
      </c>
      <c r="B13" s="84" t="s">
        <v>7</v>
      </c>
      <c r="C13" s="65">
        <f>+Tableau2[[#This Row],[AZDU]]</f>
        <v>27754299.98</v>
      </c>
      <c r="D13" s="65">
        <f>+Tableau3[[#This Row],[AZDU]]</f>
        <v>21403610.68</v>
      </c>
      <c r="E13" s="65">
        <f>+Tableau4[[#This Row],[AZDU]]</f>
        <v>37180441.109999999</v>
      </c>
      <c r="F13" s="65">
        <f>+Tableau5[[#This Row],[AZDU]]</f>
        <v>31695351.829999998</v>
      </c>
      <c r="G13" s="65">
        <f>+Tableau6[[#This Row],[AZDU]]</f>
        <v>31998336.420000002</v>
      </c>
      <c r="H13" s="65">
        <f>+Tableau7[[#This Row],[AZDU]]</f>
        <v>37956849.619999997</v>
      </c>
      <c r="I13" s="65">
        <f>+Tableau8[[#This Row],[AZDU]]</f>
        <v>20739340.829999998</v>
      </c>
      <c r="J13" s="65">
        <f>+Tableau9[[#This Row],[AZDU]]</f>
        <v>19538009.93</v>
      </c>
      <c r="K13" s="65">
        <f>+Tableau10[[#This Row],[AZDU]]</f>
        <v>27236941.09</v>
      </c>
      <c r="L13" s="65">
        <f>+Tableau11[[#This Row],[AZDU]]</f>
        <v>33834704.810000002</v>
      </c>
      <c r="M13" s="65">
        <f>+Tableau12[[#This Row],[AZDU]]</f>
        <v>35947143.630000003</v>
      </c>
      <c r="N13" s="65">
        <f>+Tableau13[[#This Row],[AZDU]]</f>
        <v>38185816.810000002</v>
      </c>
      <c r="O13" s="65">
        <f t="shared" si="0"/>
        <v>363470846.73999995</v>
      </c>
    </row>
    <row r="14" spans="1:25" s="32" customFormat="1" ht="30.75" customHeight="1" x14ac:dyDescent="0.35">
      <c r="A14" s="193" t="s">
        <v>8</v>
      </c>
      <c r="B14" s="82" t="s">
        <v>43</v>
      </c>
      <c r="C14" s="59">
        <f>+Tableau2[[#This Row],[AZDU]]</f>
        <v>2933043.98</v>
      </c>
      <c r="D14" s="59">
        <f>+Tableau3[[#This Row],[AZDU]]</f>
        <v>962699.7</v>
      </c>
      <c r="E14" s="59">
        <f>+Tableau4[[#This Row],[AZDU]]</f>
        <v>2239287.81</v>
      </c>
      <c r="F14" s="59">
        <f>+Tableau5[[#This Row],[AZDU]]</f>
        <v>1616774.93</v>
      </c>
      <c r="G14" s="59">
        <f>+Tableau6[[#This Row],[AZDU]]</f>
        <v>2419862.6800000002</v>
      </c>
      <c r="H14" s="59">
        <f>+Tableau7[[#This Row],[AZDU]]</f>
        <v>1967905.41</v>
      </c>
      <c r="I14" s="59">
        <f>+Tableau8[[#This Row],[AZDU]]</f>
        <v>3060948.71</v>
      </c>
      <c r="J14" s="59">
        <f>+Tableau9[[#This Row],[AZDU]]</f>
        <v>1822702.17</v>
      </c>
      <c r="K14" s="59">
        <f>+Tableau10[[#This Row],[AZDU]]</f>
        <v>1983053.85</v>
      </c>
      <c r="L14" s="59">
        <f>+Tableau11[[#This Row],[AZDU]]</f>
        <v>3784712.82</v>
      </c>
      <c r="M14" s="59">
        <f>+Tableau12[[#This Row],[AZDU]]</f>
        <v>4295809.37</v>
      </c>
      <c r="N14" s="59">
        <f>+Tableau13[[#This Row],[AZDU]]</f>
        <v>5571213.3200000003</v>
      </c>
      <c r="O14" s="77">
        <f t="shared" si="0"/>
        <v>32658014.750000004</v>
      </c>
    </row>
    <row r="15" spans="1:25" s="32" customFormat="1" ht="30.75" customHeight="1" thickBot="1" x14ac:dyDescent="0.4">
      <c r="A15" s="234"/>
      <c r="B15" s="230" t="s">
        <v>124</v>
      </c>
      <c r="C15" s="59">
        <f>+Tableau2[[#This Row],[AZDU]]</f>
        <v>0</v>
      </c>
      <c r="D15" s="59">
        <f>+Tableau3[[#This Row],[AZDU]]</f>
        <v>0</v>
      </c>
      <c r="E15" s="59">
        <f>+Tableau4[[#This Row],[AZDU]]</f>
        <v>0</v>
      </c>
      <c r="F15" s="59">
        <f>+Tableau5[[#This Row],[AZDU]]</f>
        <v>0</v>
      </c>
      <c r="G15" s="59">
        <f>+Tableau6[[#This Row],[AZDU]]</f>
        <v>0</v>
      </c>
      <c r="H15" s="59">
        <f>+Tableau7[[#This Row],[AZDU]]</f>
        <v>0</v>
      </c>
      <c r="I15" s="59">
        <f>+Tableau8[[#This Row],[AZDU]]</f>
        <v>0</v>
      </c>
      <c r="J15" s="59">
        <f>+Tableau9[[#This Row],[AZDU]]</f>
        <v>0</v>
      </c>
      <c r="K15" s="59">
        <f>+Tableau10[[#This Row],[AZDU]]</f>
        <v>0</v>
      </c>
      <c r="L15" s="59">
        <f>+Tableau11[[#This Row],[AZDU]]</f>
        <v>0</v>
      </c>
      <c r="M15" s="59">
        <f>+Tableau12[[#This Row],[AZDU]]</f>
        <v>0</v>
      </c>
      <c r="N15" s="59">
        <f>+Tableau13[[#This Row],[AZDU]]</f>
        <v>0</v>
      </c>
      <c r="O15" s="235">
        <f t="shared" si="0"/>
        <v>0</v>
      </c>
    </row>
    <row r="16" spans="1:25" s="27" customFormat="1" ht="30.75" customHeight="1" thickBot="1" x14ac:dyDescent="0.4">
      <c r="A16" s="194" t="s">
        <v>9</v>
      </c>
      <c r="B16" s="85" t="s">
        <v>10</v>
      </c>
      <c r="C16" s="62">
        <f t="shared" ref="C16:O16" si="1">+C13+C14+C15</f>
        <v>30687343.960000001</v>
      </c>
      <c r="D16" s="62">
        <f t="shared" si="1"/>
        <v>22366310.379999999</v>
      </c>
      <c r="E16" s="62">
        <f t="shared" si="1"/>
        <v>39419728.920000002</v>
      </c>
      <c r="F16" s="62">
        <f t="shared" si="1"/>
        <v>33312126.759999998</v>
      </c>
      <c r="G16" s="62">
        <f t="shared" si="1"/>
        <v>34418199.100000001</v>
      </c>
      <c r="H16" s="62">
        <f t="shared" si="1"/>
        <v>39924755.029999994</v>
      </c>
      <c r="I16" s="62">
        <f t="shared" si="1"/>
        <v>23800289.539999999</v>
      </c>
      <c r="J16" s="62">
        <f t="shared" si="1"/>
        <v>21360712.100000001</v>
      </c>
      <c r="K16" s="62">
        <f t="shared" si="1"/>
        <v>29219994.940000001</v>
      </c>
      <c r="L16" s="62">
        <f t="shared" si="1"/>
        <v>37619417.630000003</v>
      </c>
      <c r="M16" s="62">
        <f t="shared" si="1"/>
        <v>40242953</v>
      </c>
      <c r="N16" s="62">
        <f t="shared" si="1"/>
        <v>43757030.130000003</v>
      </c>
      <c r="O16" s="62">
        <f t="shared" si="1"/>
        <v>396128861.48999995</v>
      </c>
    </row>
    <row r="17" spans="1:15" s="27" customFormat="1" ht="30.75" customHeight="1" thickBot="1" x14ac:dyDescent="0.4">
      <c r="A17" s="195" t="s">
        <v>11</v>
      </c>
      <c r="B17" s="86" t="s">
        <v>12</v>
      </c>
      <c r="C17" s="68">
        <f>+Tableau2[[#This Row],[AZDU]]</f>
        <v>-504320.53000000119</v>
      </c>
      <c r="D17" s="68">
        <f>+Tableau3[[#This Row],[AZDU]]</f>
        <v>2000253.3099999987</v>
      </c>
      <c r="E17" s="68">
        <f>+Tableau4[[#This Row],[AZDU]]</f>
        <v>13138537.629999995</v>
      </c>
      <c r="F17" s="68">
        <f>+Tableau5[[#This Row],[AZDU]]</f>
        <v>15063985.330000006</v>
      </c>
      <c r="G17" s="68">
        <f>+Tableau6[[#This Row],[AZDU]]</f>
        <v>11002121.319999993</v>
      </c>
      <c r="H17" s="68">
        <f>+Tableau7[[#This Row],[AZDU]]</f>
        <v>25720826.010000005</v>
      </c>
      <c r="I17" s="68">
        <f>+Tableau8[[#This Row],[AZDU]]</f>
        <v>16166651.979999997</v>
      </c>
      <c r="J17" s="68">
        <f>+Tableau9[[#This Row],[AZDU]]</f>
        <v>9900544.4399999976</v>
      </c>
      <c r="K17" s="68">
        <f>+Tableau10[[#This Row],[AZDU]]</f>
        <v>11592446.330000002</v>
      </c>
      <c r="L17" s="68">
        <f>+Tableau11[[#This Row],[AZDU]]</f>
        <v>12136803.479999997</v>
      </c>
      <c r="M17" s="68">
        <f>+Tableau12[[#This Row],[AZDU]]</f>
        <v>16723275.190000005</v>
      </c>
      <c r="N17" s="68">
        <f>+Tableau13[[#This Row],[AZDU]]</f>
        <v>12798695.589999996</v>
      </c>
      <c r="O17" s="68">
        <f t="shared" si="0"/>
        <v>145739820.07999998</v>
      </c>
    </row>
    <row r="18" spans="1:15" s="32" customFormat="1" ht="30.75" customHeight="1" x14ac:dyDescent="0.35">
      <c r="A18" s="192">
        <v>63</v>
      </c>
      <c r="B18" s="84" t="s">
        <v>44</v>
      </c>
      <c r="C18" s="65">
        <f>+Tableau2[[#This Row],[AZDU]]</f>
        <v>10692758.609999999</v>
      </c>
      <c r="D18" s="65">
        <f>+Tableau3[[#This Row],[AZDU]]</f>
        <v>11011773.130000001</v>
      </c>
      <c r="E18" s="65">
        <f>+Tableau4[[#This Row],[AZDU]]</f>
        <v>9952862.6300000008</v>
      </c>
      <c r="F18" s="65">
        <f>+Tableau5[[#This Row],[AZDU]]</f>
        <v>10923466.51</v>
      </c>
      <c r="G18" s="65">
        <f>+Tableau6[[#This Row],[AZDU]]</f>
        <v>10666080.26</v>
      </c>
      <c r="H18" s="65">
        <f>+Tableau7[[#This Row],[AZDU]]</f>
        <v>9894393.8200000003</v>
      </c>
      <c r="I18" s="65">
        <f>+Tableau8[[#This Row],[AZDU]]</f>
        <v>9850542.8499999996</v>
      </c>
      <c r="J18" s="65">
        <f>+Tableau9[[#This Row],[AZDU]]</f>
        <v>15112392.35</v>
      </c>
      <c r="K18" s="65">
        <f>+Tableau10[[#This Row],[AZDU]]</f>
        <v>9469872.8000000007</v>
      </c>
      <c r="L18" s="65">
        <f>+Tableau11[[#This Row],[AZDU]]</f>
        <v>12221637.210000001</v>
      </c>
      <c r="M18" s="65">
        <f>+Tableau12[[#This Row],[AZDU]]</f>
        <v>10947747.039999999</v>
      </c>
      <c r="N18" s="65">
        <f>+Tableau13[[#This Row],[AZDU]]</f>
        <v>10592560.310000001</v>
      </c>
      <c r="O18" s="65">
        <f t="shared" si="0"/>
        <v>131336087.51999998</v>
      </c>
    </row>
    <row r="19" spans="1:15" s="32" customFormat="1" ht="30.75" customHeight="1" thickBot="1" x14ac:dyDescent="0.4">
      <c r="A19" s="193">
        <v>64</v>
      </c>
      <c r="B19" s="82" t="s">
        <v>13</v>
      </c>
      <c r="C19" s="59">
        <f>+Tableau2[[#This Row],[AZDU]]</f>
        <v>147574</v>
      </c>
      <c r="D19" s="59">
        <f>+Tableau3[[#This Row],[AZDU]]</f>
        <v>186325</v>
      </c>
      <c r="E19" s="59">
        <f>+Tableau4[[#This Row],[AZDU]]</f>
        <v>519634.56</v>
      </c>
      <c r="F19" s="59">
        <f>+Tableau5[[#This Row],[AZDU]]</f>
        <v>716708.42</v>
      </c>
      <c r="G19" s="59">
        <f>+Tableau6[[#This Row],[AZDU]]</f>
        <v>532990</v>
      </c>
      <c r="H19" s="59">
        <f>+Tableau7[[#This Row],[AZDU]]</f>
        <v>1259627.9099999999</v>
      </c>
      <c r="I19" s="59">
        <f>+Tableau8[[#This Row],[AZDU]]</f>
        <v>715301.76</v>
      </c>
      <c r="J19" s="59">
        <f>+Tableau9[[#This Row],[AZDU]]</f>
        <v>753242.94</v>
      </c>
      <c r="K19" s="59">
        <f>+Tableau10[[#This Row],[AZDU]]</f>
        <v>724211</v>
      </c>
      <c r="L19" s="59">
        <f>+Tableau11[[#This Row],[AZDU]]</f>
        <v>633763</v>
      </c>
      <c r="M19" s="322">
        <f>+Tableau12[[#This Row],[AZDU]]</f>
        <v>2845524</v>
      </c>
      <c r="N19" s="59">
        <f>+Tableau13[[#This Row],[AZDU]]</f>
        <v>3062328.43</v>
      </c>
      <c r="O19" s="59">
        <f t="shared" si="0"/>
        <v>12097231.02</v>
      </c>
    </row>
    <row r="20" spans="1:15" s="27" customFormat="1" ht="30.75" customHeight="1" thickBot="1" x14ac:dyDescent="0.4">
      <c r="A20" s="194" t="s">
        <v>14</v>
      </c>
      <c r="B20" s="85" t="s">
        <v>15</v>
      </c>
      <c r="C20" s="62">
        <f>+Tableau2[[#This Row],[AZDU]]</f>
        <v>-11344653.140000001</v>
      </c>
      <c r="D20" s="62">
        <f>+Tableau3[[#This Row],[AZDU]]</f>
        <v>-9197844.8200000022</v>
      </c>
      <c r="E20" s="62">
        <f>+Tableau4[[#This Row],[AZDU]]</f>
        <v>2666040.4399999944</v>
      </c>
      <c r="F20" s="62">
        <f>+Tableau5[[#This Row],[AZDU]]</f>
        <v>3423810.400000006</v>
      </c>
      <c r="G20" s="62">
        <f>+Tableau6[[#This Row],[AZDU]]</f>
        <v>-196948.94000000693</v>
      </c>
      <c r="H20" s="62">
        <f>+Tableau7[[#This Row],[AZDU]]</f>
        <v>14566804.280000005</v>
      </c>
      <c r="I20" s="62">
        <f>+Tableau8[[#This Row],[AZDU]]</f>
        <v>5600807.3699999973</v>
      </c>
      <c r="J20" s="62">
        <f>+Tableau9[[#This Row],[AZDU]]</f>
        <v>-5965090.8500000015</v>
      </c>
      <c r="K20" s="62">
        <f>+Tableau10[[#This Row],[AZDU]]</f>
        <v>1398362.5300000012</v>
      </c>
      <c r="L20" s="62">
        <f>+Tableau11[[#This Row],[AZDU]]</f>
        <v>-718596.73000000417</v>
      </c>
      <c r="M20" s="62">
        <f>+Tableau12[[#This Row],[AZDU]]</f>
        <v>2930004.150000006</v>
      </c>
      <c r="N20" s="62">
        <f>+Tableau13[[#This Row],[AZDU]]</f>
        <v>-856193.15000000456</v>
      </c>
      <c r="O20" s="62">
        <f t="shared" si="0"/>
        <v>2306501.5399999912</v>
      </c>
    </row>
    <row r="21" spans="1:15" s="32" customFormat="1" ht="30.75" customHeight="1" x14ac:dyDescent="0.35">
      <c r="A21" s="192">
        <v>75</v>
      </c>
      <c r="B21" s="84" t="s">
        <v>16</v>
      </c>
      <c r="C21" s="52">
        <f>+Tableau2[[#This Row],[AZDU]]</f>
        <v>0</v>
      </c>
      <c r="D21" s="52">
        <f>+Tableau3[[#This Row],[AZDU]]</f>
        <v>0</v>
      </c>
      <c r="E21" s="52">
        <f>+Tableau4[[#This Row],[AZDU]]</f>
        <v>0</v>
      </c>
      <c r="F21" s="52">
        <f>+Tableau5[[#This Row],[AZDU]]</f>
        <v>98820</v>
      </c>
      <c r="G21" s="52">
        <f>+Tableau6[[#This Row],[AZDU]]</f>
        <v>0</v>
      </c>
      <c r="H21" s="52">
        <f>+Tableau7[[#This Row],[AZDU]]</f>
        <v>0.3</v>
      </c>
      <c r="I21" s="52">
        <f>+Tableau8[[#This Row],[AZDU]]</f>
        <v>0</v>
      </c>
      <c r="J21" s="52">
        <f>+Tableau9[[#This Row],[AZDU]]</f>
        <v>0</v>
      </c>
      <c r="K21" s="52">
        <f>+Tableau10[[#This Row],[AZDU]]</f>
        <v>0</v>
      </c>
      <c r="L21" s="52">
        <f>+Tableau11[[#This Row],[AZDU]]</f>
        <v>0</v>
      </c>
      <c r="M21" s="52">
        <f>+Tableau12[[#This Row],[AZDU]]</f>
        <v>33355.980000000003</v>
      </c>
      <c r="N21" s="52">
        <f>+Tableau13[[#This Row],[AZDU]]</f>
        <v>0</v>
      </c>
      <c r="O21" s="65">
        <f t="shared" si="0"/>
        <v>132176.28</v>
      </c>
    </row>
    <row r="22" spans="1:15" s="32" customFormat="1" ht="30.75" customHeight="1" x14ac:dyDescent="0.35">
      <c r="A22" s="196">
        <v>65</v>
      </c>
      <c r="B22" s="81" t="s">
        <v>17</v>
      </c>
      <c r="C22" s="55">
        <f>+Tableau2[[#This Row],[AZDU]]</f>
        <v>0</v>
      </c>
      <c r="D22" s="55">
        <f>+Tableau3[[#This Row],[AZDU]]</f>
        <v>0</v>
      </c>
      <c r="E22" s="55">
        <f>+Tableau4[[#This Row],[AZDU]]</f>
        <v>21.62</v>
      </c>
      <c r="F22" s="55">
        <f>+Tableau5[[#This Row],[AZDU]]</f>
        <v>0</v>
      </c>
      <c r="G22" s="55">
        <f>+Tableau6[[#This Row],[AZDU]]</f>
        <v>0</v>
      </c>
      <c r="H22" s="55">
        <f>+Tableau7[[#This Row],[AZDU]]</f>
        <v>12958.67</v>
      </c>
      <c r="I22" s="55">
        <f>+Tableau8[[#This Row],[AZDU]]</f>
        <v>0</v>
      </c>
      <c r="J22" s="55">
        <f>+Tableau9[[#This Row],[AZDU]]</f>
        <v>0</v>
      </c>
      <c r="K22" s="55">
        <f>+Tableau10[[#This Row],[AZDU]]</f>
        <v>674.73</v>
      </c>
      <c r="L22" s="55">
        <f>+Tableau11[[#This Row],[AZDU]]</f>
        <v>0</v>
      </c>
      <c r="M22" s="55">
        <f>+Tableau12[[#This Row],[AZDU]]</f>
        <v>0</v>
      </c>
      <c r="N22" s="55">
        <f>+Tableau13[[#This Row],[AZDU]]</f>
        <v>105532.39</v>
      </c>
      <c r="O22" s="55">
        <f t="shared" si="0"/>
        <v>119187.41</v>
      </c>
    </row>
    <row r="23" spans="1:15" s="27" customFormat="1" ht="30.75" customHeight="1" x14ac:dyDescent="0.35">
      <c r="A23" s="196"/>
      <c r="B23" s="87" t="s">
        <v>18</v>
      </c>
      <c r="C23" s="71">
        <f>+Tableau2[[#This Row],[AZDU]]</f>
        <v>0</v>
      </c>
      <c r="D23" s="71">
        <f>+Tableau3[[#This Row],[AZDU]]</f>
        <v>0</v>
      </c>
      <c r="E23" s="71">
        <f>+Tableau4[[#This Row],[AZDU]]</f>
        <v>0</v>
      </c>
      <c r="F23" s="71">
        <f>+Tableau5[[#This Row],[AZDU]]</f>
        <v>0</v>
      </c>
      <c r="G23" s="71">
        <f>+Tableau6[[#This Row],[AZDU]]</f>
        <v>0</v>
      </c>
      <c r="H23" s="71">
        <f>+Tableau7[[#This Row],[AZDU]]</f>
        <v>0</v>
      </c>
      <c r="I23" s="71">
        <f>+Tableau8[[#This Row],[AZDU]]</f>
        <v>0</v>
      </c>
      <c r="J23" s="71">
        <f>+Tableau9[[#This Row],[AZDU]]</f>
        <v>0</v>
      </c>
      <c r="K23" s="71">
        <f>+Tableau10[[#This Row],[AZDU]]</f>
        <v>0</v>
      </c>
      <c r="L23" s="71">
        <f>+Tableau11[[#This Row],[AZDU]]</f>
        <v>0</v>
      </c>
      <c r="M23" s="71">
        <f>+Tableau12[[#This Row],[AZDU]]</f>
        <v>0</v>
      </c>
      <c r="N23" s="71">
        <f>+Tableau13[[#This Row],[AZDU]]</f>
        <v>0</v>
      </c>
      <c r="O23" s="71">
        <f t="shared" si="0"/>
        <v>0</v>
      </c>
    </row>
    <row r="24" spans="1:15" s="27" customFormat="1" ht="30.75" customHeight="1" x14ac:dyDescent="0.35">
      <c r="A24" s="196"/>
      <c r="B24" s="87" t="s">
        <v>19</v>
      </c>
      <c r="C24" s="71">
        <f>+Tableau2[[#This Row],[AZDU]]</f>
        <v>0</v>
      </c>
      <c r="D24" s="71">
        <f>+Tableau3[[#This Row],[AZDU]]</f>
        <v>0</v>
      </c>
      <c r="E24" s="71">
        <f>+Tableau4[[#This Row],[AZDU]]</f>
        <v>0</v>
      </c>
      <c r="F24" s="71">
        <f>+Tableau5[[#This Row],[AZDU]]</f>
        <v>0</v>
      </c>
      <c r="G24" s="71">
        <f>+Tableau6[[#This Row],[AZDU]]</f>
        <v>0</v>
      </c>
      <c r="H24" s="71">
        <f>+Tableau7[[#This Row],[AZDU]]</f>
        <v>0</v>
      </c>
      <c r="I24" s="71">
        <f>+Tableau8[[#This Row],[AZDU]]</f>
        <v>0</v>
      </c>
      <c r="J24" s="71">
        <f>+Tableau9[[#This Row],[AZDU]]</f>
        <v>0</v>
      </c>
      <c r="K24" s="71">
        <f>+Tableau10[[#This Row],[AZDU]]</f>
        <v>0</v>
      </c>
      <c r="L24" s="71">
        <f>+Tableau11[[#This Row],[AZDU]]</f>
        <v>0</v>
      </c>
      <c r="M24" s="71">
        <f>+Tableau12[[#This Row],[AZDU]]</f>
        <v>0</v>
      </c>
      <c r="N24" s="71">
        <f>+Tableau13[[#This Row],[AZDU]]</f>
        <v>0</v>
      </c>
      <c r="O24" s="71">
        <f t="shared" si="0"/>
        <v>0</v>
      </c>
    </row>
    <row r="25" spans="1:15" s="32" customFormat="1" ht="30.75" customHeight="1" x14ac:dyDescent="0.35">
      <c r="A25" s="196">
        <v>68</v>
      </c>
      <c r="B25" s="81" t="s">
        <v>20</v>
      </c>
      <c r="C25" s="55">
        <f>+Tableau2[[#This Row],[AZDU]]</f>
        <v>573317.46</v>
      </c>
      <c r="D25" s="55">
        <f>+Tableau3[[#This Row],[AZDU]]</f>
        <v>573313.86</v>
      </c>
      <c r="E25" s="55">
        <f>+Tableau4[[#This Row],[AZDU]]</f>
        <v>569330.76</v>
      </c>
      <c r="F25" s="55">
        <f>+Tableau5[[#This Row],[AZDU]]</f>
        <v>584705.02</v>
      </c>
      <c r="G25" s="55">
        <f>+Tableau6[[#This Row],[AZDU]]</f>
        <v>585331.47</v>
      </c>
      <c r="H25" s="55">
        <f>+Tableau7[[#This Row],[AZDU]]</f>
        <v>583463.13</v>
      </c>
      <c r="I25" s="55">
        <f>+Tableau8[[#This Row],[AZDU]]</f>
        <v>584631.66</v>
      </c>
      <c r="J25" s="55">
        <f>+Tableau9[[#This Row],[AZDU]]</f>
        <v>583381.09</v>
      </c>
      <c r="K25" s="55">
        <f>+Tableau10[[#This Row],[AZDU]]</f>
        <v>583001.41</v>
      </c>
      <c r="L25" s="55">
        <f>+Tableau11[[#This Row],[AZDU]]</f>
        <v>583001.41</v>
      </c>
      <c r="M25" s="55">
        <f>+Tableau12[[#This Row],[AZDU]]</f>
        <v>585346.31000000006</v>
      </c>
      <c r="N25" s="55">
        <f>+Tableau13[[#This Row],[AZDU]]</f>
        <v>585346.31000000006</v>
      </c>
      <c r="O25" s="55">
        <f t="shared" si="0"/>
        <v>6974169.8900000006</v>
      </c>
    </row>
    <row r="26" spans="1:15" s="32" customFormat="1" ht="30.75" customHeight="1" thickBot="1" x14ac:dyDescent="0.4">
      <c r="A26" s="193">
        <v>78</v>
      </c>
      <c r="B26" s="82" t="s">
        <v>21</v>
      </c>
      <c r="C26" s="59">
        <f>+Tableau2[[#This Row],[AZDU]]</f>
        <v>0</v>
      </c>
      <c r="D26" s="59">
        <f>+Tableau3[[#This Row],[AZDU]]</f>
        <v>0</v>
      </c>
      <c r="E26" s="59">
        <f>+Tableau4[[#This Row],[AZDU]]</f>
        <v>0</v>
      </c>
      <c r="F26" s="59">
        <f>+Tableau5[[#This Row],[AZDU]]</f>
        <v>0</v>
      </c>
      <c r="G26" s="59">
        <f>+Tableau6[[#This Row],[AZDU]]</f>
        <v>0</v>
      </c>
      <c r="H26" s="59">
        <f>+Tableau7[[#This Row],[AZDU]]</f>
        <v>0</v>
      </c>
      <c r="I26" s="59">
        <f>+Tableau8[[#This Row],[AZDU]]</f>
        <v>0</v>
      </c>
      <c r="J26" s="59">
        <f>+Tableau9[[#This Row],[AZDU]]</f>
        <v>0</v>
      </c>
      <c r="K26" s="59">
        <f>+Tableau10[[#This Row],[AZDU]]</f>
        <v>0</v>
      </c>
      <c r="L26" s="59">
        <f>+Tableau11[[#This Row],[AZDU]]</f>
        <v>0</v>
      </c>
      <c r="M26" s="59">
        <f>+Tableau12[[#This Row],[AZDU]]</f>
        <v>0</v>
      </c>
      <c r="N26" s="59">
        <f>+Tableau13[[#This Row],[AZDU]]</f>
        <v>0</v>
      </c>
      <c r="O26" s="59">
        <f t="shared" si="0"/>
        <v>0</v>
      </c>
    </row>
    <row r="27" spans="1:15" s="27" customFormat="1" ht="30.75" customHeight="1" thickBot="1" x14ac:dyDescent="0.4">
      <c r="A27" s="194" t="s">
        <v>22</v>
      </c>
      <c r="B27" s="85" t="s">
        <v>23</v>
      </c>
      <c r="C27" s="62">
        <f>+Tableau2[[#This Row],[AZDU]]</f>
        <v>-11917970.600000001</v>
      </c>
      <c r="D27" s="62">
        <f>+Tableau3[[#This Row],[AZDU]]</f>
        <v>-9771158.6800000016</v>
      </c>
      <c r="E27" s="62">
        <f>+Tableau4[[#This Row],[AZDU]]</f>
        <v>2096688.0599999945</v>
      </c>
      <c r="F27" s="62">
        <f>+Tableau5[[#This Row],[AZDU]]</f>
        <v>2937925.3800000059</v>
      </c>
      <c r="G27" s="62">
        <f>+Tableau6[[#This Row],[AZDU]]</f>
        <v>-782280.4100000069</v>
      </c>
      <c r="H27" s="62">
        <f>+Tableau7[[#This Row],[AZDU]]</f>
        <v>13970382.780000005</v>
      </c>
      <c r="I27" s="62">
        <f>+Tableau8[[#This Row],[AZDU]]</f>
        <v>5016175.7099999972</v>
      </c>
      <c r="J27" s="62">
        <f>+Tableau9[[#This Row],[AZDU]]</f>
        <v>-6548471.9400000013</v>
      </c>
      <c r="K27" s="62">
        <f>+Tableau10[[#This Row],[AZDU]]</f>
        <v>814686.39000000118</v>
      </c>
      <c r="L27" s="62">
        <f>+Tableau11[[#This Row],[AZDU]]</f>
        <v>-1301598.1400000043</v>
      </c>
      <c r="M27" s="62">
        <f>+Tableau12[[#This Row],[AZDU]]</f>
        <v>2378013.8200000059</v>
      </c>
      <c r="N27" s="62">
        <f>+Tableau13[[#This Row],[AZDU]]</f>
        <v>-1547071.8500000047</v>
      </c>
      <c r="O27" s="62">
        <f t="shared" si="0"/>
        <v>-4654679.4800000098</v>
      </c>
    </row>
    <row r="28" spans="1:15" s="32" customFormat="1" ht="30.75" customHeight="1" x14ac:dyDescent="0.35">
      <c r="A28" s="192">
        <v>76</v>
      </c>
      <c r="B28" s="84" t="s">
        <v>24</v>
      </c>
      <c r="C28" s="52">
        <f>+Tableau2[[#This Row],[AZDU]]</f>
        <v>0</v>
      </c>
      <c r="D28" s="52">
        <f>+Tableau3[[#This Row],[AZDU]]</f>
        <v>0</v>
      </c>
      <c r="E28" s="52">
        <f>+Tableau4[[#This Row],[AZDU]]</f>
        <v>0</v>
      </c>
      <c r="F28" s="52">
        <f>+Tableau5[[#This Row],[AZDU]]</f>
        <v>0</v>
      </c>
      <c r="G28" s="52">
        <f>+Tableau6[[#This Row],[AZDU]]</f>
        <v>0</v>
      </c>
      <c r="H28" s="52">
        <f>+Tableau7[[#This Row],[AZDU]]</f>
        <v>0</v>
      </c>
      <c r="I28" s="52">
        <f>+Tableau8[[#This Row],[AZDU]]</f>
        <v>0</v>
      </c>
      <c r="J28" s="52">
        <f>+Tableau9[[#This Row],[AZDU]]</f>
        <v>0</v>
      </c>
      <c r="K28" s="52">
        <f>+Tableau10[[#This Row],[AZDU]]</f>
        <v>0</v>
      </c>
      <c r="L28" s="52">
        <f>+Tableau11[[#This Row],[AZDU]]</f>
        <v>18149.060000000001</v>
      </c>
      <c r="M28" s="52">
        <f>+Tableau12[[#This Row],[AZDU]]</f>
        <v>0</v>
      </c>
      <c r="N28" s="52">
        <f>+Tableau13[[#This Row],[AZDU]]</f>
        <v>0</v>
      </c>
      <c r="O28" s="52">
        <f t="shared" si="0"/>
        <v>18149.060000000001</v>
      </c>
    </row>
    <row r="29" spans="1:15" s="32" customFormat="1" ht="30.75" customHeight="1" thickBot="1" x14ac:dyDescent="0.4">
      <c r="A29" s="193">
        <v>66</v>
      </c>
      <c r="B29" s="82" t="s">
        <v>25</v>
      </c>
      <c r="C29" s="59">
        <f>+Tableau2[[#This Row],[AZDU]]</f>
        <v>0</v>
      </c>
      <c r="D29" s="59">
        <f>+Tableau3[[#This Row],[AZDU]]</f>
        <v>0</v>
      </c>
      <c r="E29" s="59">
        <f>+Tableau4[[#This Row],[AZDU]]</f>
        <v>0</v>
      </c>
      <c r="F29" s="59">
        <f>+Tableau5[[#This Row],[AZDU]]</f>
        <v>0</v>
      </c>
      <c r="G29" s="59">
        <f>+Tableau6[[#This Row],[AZDU]]</f>
        <v>0</v>
      </c>
      <c r="H29" s="59">
        <f>+Tableau7[[#This Row],[AZDU]]</f>
        <v>0</v>
      </c>
      <c r="I29" s="59">
        <f>+Tableau8[[#This Row],[AZDU]]</f>
        <v>0</v>
      </c>
      <c r="J29" s="59">
        <f>+Tableau9[[#This Row],[AZDU]]</f>
        <v>0</v>
      </c>
      <c r="K29" s="59">
        <f>+Tableau10[[#This Row],[AZDU]]</f>
        <v>0</v>
      </c>
      <c r="L29" s="59">
        <f>+Tableau11[[#This Row],[AZDU]]</f>
        <v>0</v>
      </c>
      <c r="M29" s="59">
        <f>+Tableau12[[#This Row],[AZDU]]</f>
        <v>0</v>
      </c>
      <c r="N29" s="59">
        <f>+Tableau13[[#This Row],[AZDU]]</f>
        <v>0</v>
      </c>
      <c r="O29" s="59">
        <f t="shared" si="0"/>
        <v>0</v>
      </c>
    </row>
    <row r="30" spans="1:15" s="27" customFormat="1" ht="30.75" customHeight="1" thickBot="1" x14ac:dyDescent="0.4">
      <c r="A30" s="194" t="s">
        <v>26</v>
      </c>
      <c r="B30" s="85" t="s">
        <v>27</v>
      </c>
      <c r="C30" s="62">
        <f>+Tableau2[[#This Row],[AZDU]]</f>
        <v>0</v>
      </c>
      <c r="D30" s="62">
        <f>+Tableau3[[#This Row],[AZDU]]</f>
        <v>0</v>
      </c>
      <c r="E30" s="62">
        <f>+Tableau4[[#This Row],[AZDU]]</f>
        <v>0</v>
      </c>
      <c r="F30" s="62">
        <f>+Tableau5[[#This Row],[AZDU]]</f>
        <v>0</v>
      </c>
      <c r="G30" s="62">
        <f>+Tableau6[[#This Row],[AZDU]]</f>
        <v>0</v>
      </c>
      <c r="H30" s="62">
        <f>+Tableau7[[#This Row],[AZDU]]</f>
        <v>0</v>
      </c>
      <c r="I30" s="62">
        <f>+Tableau8[[#This Row],[AZDU]]</f>
        <v>0</v>
      </c>
      <c r="J30" s="62">
        <f>+Tableau9[[#This Row],[AZDU]]</f>
        <v>0</v>
      </c>
      <c r="K30" s="62">
        <f>+Tableau10[[#This Row],[AZDU]]</f>
        <v>0</v>
      </c>
      <c r="L30" s="62">
        <f>+Tableau11[[#This Row],[AZDU]]</f>
        <v>18149.060000000001</v>
      </c>
      <c r="M30" s="62">
        <f>+Tableau12[[#This Row],[AZDU]]</f>
        <v>0</v>
      </c>
      <c r="N30" s="62">
        <f>+Tableau13[[#This Row],[AZDU]]</f>
        <v>0</v>
      </c>
      <c r="O30" s="62">
        <f t="shared" si="0"/>
        <v>18149.060000000001</v>
      </c>
    </row>
    <row r="31" spans="1:15" s="27" customFormat="1" ht="30.75" customHeight="1" thickBot="1" x14ac:dyDescent="0.4">
      <c r="A31" s="194" t="s">
        <v>28</v>
      </c>
      <c r="B31" s="85" t="s">
        <v>29</v>
      </c>
      <c r="C31" s="62">
        <f>+Tableau2[[#This Row],[AZDU]]</f>
        <v>-11917970.600000001</v>
      </c>
      <c r="D31" s="62">
        <f>+Tableau3[[#This Row],[AZDU]]</f>
        <v>-9771158.6800000016</v>
      </c>
      <c r="E31" s="62">
        <f>+Tableau4[[#This Row],[AZDU]]</f>
        <v>2096688.0599999945</v>
      </c>
      <c r="F31" s="62">
        <f>+Tableau5[[#This Row],[AZDU]]</f>
        <v>2937925.3800000059</v>
      </c>
      <c r="G31" s="62">
        <f>+Tableau6[[#This Row],[AZDU]]</f>
        <v>-782280.4100000069</v>
      </c>
      <c r="H31" s="62">
        <f>+Tableau7[[#This Row],[AZDU]]</f>
        <v>13970382.780000005</v>
      </c>
      <c r="I31" s="62">
        <f>+Tableau8[[#This Row],[AZDU]]</f>
        <v>5016175.7099999972</v>
      </c>
      <c r="J31" s="62">
        <f>+Tableau9[[#This Row],[AZDU]]</f>
        <v>-6548471.9400000013</v>
      </c>
      <c r="K31" s="62">
        <f>+Tableau10[[#This Row],[AZDU]]</f>
        <v>814686.39000000118</v>
      </c>
      <c r="L31" s="62">
        <f>+Tableau11[[#This Row],[AZDU]]</f>
        <v>-1283449.0800000043</v>
      </c>
      <c r="M31" s="62">
        <f>+Tableau12[[#This Row],[AZDU]]</f>
        <v>2378013.8200000059</v>
      </c>
      <c r="N31" s="62">
        <f>+Tableau13[[#This Row],[AZDU]]</f>
        <v>-1547071.8500000047</v>
      </c>
      <c r="O31" s="62">
        <f t="shared" si="0"/>
        <v>-4636530.4200000092</v>
      </c>
    </row>
    <row r="32" spans="1:15" s="32" customFormat="1" ht="30.75" customHeight="1" x14ac:dyDescent="0.35">
      <c r="A32" s="192" t="s">
        <v>30</v>
      </c>
      <c r="B32" s="84" t="s">
        <v>31</v>
      </c>
      <c r="C32" s="52">
        <f>+Tableau2[[#This Row],[AZDU]]</f>
        <v>0</v>
      </c>
      <c r="D32" s="52">
        <f>+Tableau3[[#This Row],[AZDU]]</f>
        <v>0</v>
      </c>
      <c r="E32" s="52">
        <f>+Tableau4[[#This Row],[AZDU]]</f>
        <v>0</v>
      </c>
      <c r="F32" s="52">
        <f>+Tableau5[[#This Row],[AZDU]]</f>
        <v>0</v>
      </c>
      <c r="G32" s="52">
        <f>+Tableau6[[#This Row],[AZDU]]</f>
        <v>0</v>
      </c>
      <c r="H32" s="52">
        <f>+Tableau7[[#This Row],[AZDU]]</f>
        <v>0</v>
      </c>
      <c r="I32" s="52">
        <f>+Tableau8[[#This Row],[AZDU]]</f>
        <v>0</v>
      </c>
      <c r="J32" s="52">
        <f>+Tableau9[[#This Row],[AZDU]]</f>
        <v>0</v>
      </c>
      <c r="K32" s="52">
        <f>+Tableau10[[#This Row],[AZDU]]</f>
        <v>0</v>
      </c>
      <c r="L32" s="52">
        <f>+Tableau11[[#This Row],[AZDU]]</f>
        <v>0</v>
      </c>
      <c r="M32" s="52">
        <f>+Tableau12[[#This Row],[AZDU]]</f>
        <v>0</v>
      </c>
      <c r="N32" s="52">
        <f>+Tableau13[[#This Row],[AZDU]]</f>
        <v>0</v>
      </c>
      <c r="O32" s="52">
        <f t="shared" si="0"/>
        <v>0</v>
      </c>
    </row>
    <row r="33" spans="1:16" s="32" customFormat="1" ht="30.75" customHeight="1" x14ac:dyDescent="0.35">
      <c r="A33" s="196" t="s">
        <v>32</v>
      </c>
      <c r="B33" s="81" t="s">
        <v>33</v>
      </c>
      <c r="C33" s="55">
        <f>+Tableau2[[#This Row],[AZDU]]</f>
        <v>0</v>
      </c>
      <c r="D33" s="55">
        <f>+Tableau3[[#This Row],[AZDU]]</f>
        <v>0</v>
      </c>
      <c r="E33" s="55">
        <f>+Tableau4[[#This Row],[AZDU]]</f>
        <v>0</v>
      </c>
      <c r="F33" s="55">
        <f>+Tableau5[[#This Row],[AZDU]]</f>
        <v>0</v>
      </c>
      <c r="G33" s="55">
        <f>+Tableau6[[#This Row],[AZDU]]</f>
        <v>0</v>
      </c>
      <c r="H33" s="55">
        <f>+Tableau7[[#This Row],[AZDU]]</f>
        <v>0</v>
      </c>
      <c r="I33" s="55">
        <f>+Tableau8[[#This Row],[AZDU]]</f>
        <v>0</v>
      </c>
      <c r="J33" s="55">
        <f>+Tableau9[[#This Row],[AZDU]]</f>
        <v>0</v>
      </c>
      <c r="K33" s="55">
        <f>+Tableau10[[#This Row],[AZDU]]</f>
        <v>0</v>
      </c>
      <c r="L33" s="55">
        <f>+Tableau11[[#This Row],[AZDU]]</f>
        <v>0</v>
      </c>
      <c r="M33" s="55">
        <f>+Tableau12[[#This Row],[AZDU]]</f>
        <v>0</v>
      </c>
      <c r="N33" s="55">
        <f>+Tableau13[[#This Row],[AZDU]]</f>
        <v>0</v>
      </c>
      <c r="O33" s="55">
        <f t="shared" si="0"/>
        <v>0</v>
      </c>
    </row>
    <row r="34" spans="1:16" s="37" customFormat="1" ht="30.75" customHeight="1" x14ac:dyDescent="0.35">
      <c r="A34" s="197"/>
      <c r="B34" s="88" t="s">
        <v>45</v>
      </c>
      <c r="C34" s="75">
        <f>+Tableau2[[#This Row],[AZDU]]</f>
        <v>30183023.43</v>
      </c>
      <c r="D34" s="75">
        <f>+Tableau3[[#This Row],[AZDU]]</f>
        <v>24366563.689999998</v>
      </c>
      <c r="E34" s="75">
        <f>+Tableau4[[#This Row],[AZDU]]</f>
        <v>52558266.549999997</v>
      </c>
      <c r="F34" s="75">
        <f>+Tableau5[[#This Row],[AZDU]]</f>
        <v>48474932.090000004</v>
      </c>
      <c r="G34" s="75">
        <f>+Tableau6[[#This Row],[AZDU]]</f>
        <v>45420320.419999994</v>
      </c>
      <c r="H34" s="75">
        <f>+Tableau7[[#This Row],[AZDU]]</f>
        <v>65645581.339999996</v>
      </c>
      <c r="I34" s="75">
        <f>+Tableau8[[#This Row],[AZDU]]</f>
        <v>39966941.519999996</v>
      </c>
      <c r="J34" s="75">
        <f>+Tableau9[[#This Row],[AZDU]]</f>
        <v>31261256.539999999</v>
      </c>
      <c r="K34" s="75">
        <f>+Tableau10[[#This Row],[AZDU]]</f>
        <v>40812441.270000003</v>
      </c>
      <c r="L34" s="75">
        <f>+Tableau11[[#This Row],[AZDU]]</f>
        <v>49774370.170000002</v>
      </c>
      <c r="M34" s="75">
        <f>+Tableau12[[#This Row],[AZDU]]</f>
        <v>56999584.170000002</v>
      </c>
      <c r="N34" s="75">
        <f>+Tableau13[[#This Row],[AZDU]]</f>
        <v>56555725.719999999</v>
      </c>
      <c r="O34" s="75">
        <f t="shared" si="0"/>
        <v>542019006.90999997</v>
      </c>
    </row>
    <row r="35" spans="1:16" s="37" customFormat="1" ht="30.75" customHeight="1" thickBot="1" x14ac:dyDescent="0.4">
      <c r="A35" s="198"/>
      <c r="B35" s="89" t="s">
        <v>46</v>
      </c>
      <c r="C35" s="77">
        <f>+Tableau2[[#This Row],[AZDU]]</f>
        <v>42100994.030000001</v>
      </c>
      <c r="D35" s="77">
        <f>+Tableau3[[#This Row],[AZDU]]</f>
        <v>34137722.369999997</v>
      </c>
      <c r="E35" s="77">
        <f>+Tableau4[[#This Row],[AZDU]]</f>
        <v>50461578.490000002</v>
      </c>
      <c r="F35" s="77">
        <f>+Tableau5[[#This Row],[AZDU]]</f>
        <v>45537006.710000001</v>
      </c>
      <c r="G35" s="77">
        <f>+Tableau6[[#This Row],[AZDU]]</f>
        <v>46202600.829999998</v>
      </c>
      <c r="H35" s="77">
        <f>+Tableau7[[#This Row],[AZDU]]</f>
        <v>51675198.559999995</v>
      </c>
      <c r="I35" s="77">
        <f>+Tableau8[[#This Row],[AZDU]]</f>
        <v>34950765.809999995</v>
      </c>
      <c r="J35" s="77">
        <f>+Tableau9[[#This Row],[AZDU]]</f>
        <v>37809728.480000004</v>
      </c>
      <c r="K35" s="77">
        <f>+Tableau10[[#This Row],[AZDU]]</f>
        <v>39997754.879999995</v>
      </c>
      <c r="L35" s="77">
        <f>+Tableau11[[#This Row],[AZDU]]</f>
        <v>51057819.25</v>
      </c>
      <c r="M35" s="77">
        <f>+Tableau12[[#This Row],[AZDU]]</f>
        <v>54621570.350000001</v>
      </c>
      <c r="N35" s="77">
        <f>+Tableau13[[#This Row],[AZDU]]</f>
        <v>58102797.570000008</v>
      </c>
      <c r="O35" s="77">
        <f t="shared" si="0"/>
        <v>546655537.33000004</v>
      </c>
    </row>
    <row r="36" spans="1:16" s="27" customFormat="1" ht="30.75" customHeight="1" thickBot="1" x14ac:dyDescent="0.4">
      <c r="A36" s="194" t="s">
        <v>34</v>
      </c>
      <c r="B36" s="85" t="s">
        <v>35</v>
      </c>
      <c r="C36" s="62">
        <f>+Tableau2[[#This Row],[AZDU]]</f>
        <v>-11917970.600000001</v>
      </c>
      <c r="D36" s="62">
        <f>+Tableau3[[#This Row],[AZDU]]</f>
        <v>-9771158.6799999997</v>
      </c>
      <c r="E36" s="62">
        <f>+Tableau4[[#This Row],[AZDU]]</f>
        <v>2096688.0599999949</v>
      </c>
      <c r="F36" s="62">
        <f>+Tableau5[[#This Row],[AZDU]]</f>
        <v>2937925.3800000027</v>
      </c>
      <c r="G36" s="62">
        <f>+Tableau6[[#This Row],[AZDU]]</f>
        <v>-782280.41000000387</v>
      </c>
      <c r="H36" s="62">
        <f>+Tableau7[[#This Row],[AZDU]]</f>
        <v>13970382.780000001</v>
      </c>
      <c r="I36" s="62">
        <f>+Tableau8[[#This Row],[AZDU]]</f>
        <v>5016175.7100000009</v>
      </c>
      <c r="J36" s="62">
        <f>+Tableau9[[#This Row],[AZDU]]</f>
        <v>-6548471.9400000051</v>
      </c>
      <c r="K36" s="62">
        <f>+Tableau10[[#This Row],[AZDU]]</f>
        <v>814686.39000000805</v>
      </c>
      <c r="L36" s="62">
        <f>+Tableau11[[#This Row],[AZDU]]</f>
        <v>-1283449.0799999982</v>
      </c>
      <c r="M36" s="62">
        <f>+Tableau12[[#This Row],[AZDU]]</f>
        <v>2378013.8200000003</v>
      </c>
      <c r="N36" s="62">
        <f>+Tableau13[[#This Row],[AZDU]]</f>
        <v>-1547071.8500000089</v>
      </c>
      <c r="O36" s="62">
        <f t="shared" si="0"/>
        <v>-4636530.4200000092</v>
      </c>
    </row>
    <row r="37" spans="1:16" s="32" customFormat="1" ht="30.75" customHeight="1" x14ac:dyDescent="0.35">
      <c r="A37" s="192">
        <v>77</v>
      </c>
      <c r="B37" s="84" t="s">
        <v>36</v>
      </c>
      <c r="C37" s="52">
        <f>+Tableau2[[#This Row],[AZDU]]</f>
        <v>0</v>
      </c>
      <c r="D37" s="52">
        <f>+Tableau3[[#This Row],[AZDU]]</f>
        <v>0</v>
      </c>
      <c r="E37" s="52">
        <f>+Tableau4[[#This Row],[AZDU]]</f>
        <v>0</v>
      </c>
      <c r="F37" s="52">
        <f>+Tableau5[[#This Row],[AZDU]]</f>
        <v>0</v>
      </c>
      <c r="G37" s="52">
        <f>+Tableau6[[#This Row],[AZDU]]</f>
        <v>0</v>
      </c>
      <c r="H37" s="52">
        <f>+Tableau7[[#This Row],[AZDU]]</f>
        <v>0</v>
      </c>
      <c r="I37" s="52">
        <f>+Tableau8[[#This Row],[AZDU]]</f>
        <v>0</v>
      </c>
      <c r="J37" s="52">
        <f>+Tableau9[[#This Row],[AZDU]]</f>
        <v>0</v>
      </c>
      <c r="K37" s="52">
        <f>+Tableau10[[#This Row],[AZDU]]</f>
        <v>0</v>
      </c>
      <c r="L37" s="52">
        <f>+Tableau11[[#This Row],[AZDU]]</f>
        <v>0</v>
      </c>
      <c r="M37" s="52">
        <f>+Tableau12[[#This Row],[AZDU]]</f>
        <v>0</v>
      </c>
      <c r="N37" s="52">
        <f>+Tableau13[[#This Row],[AZDU]]</f>
        <v>0</v>
      </c>
      <c r="O37" s="52">
        <f t="shared" si="0"/>
        <v>0</v>
      </c>
    </row>
    <row r="38" spans="1:16" s="32" customFormat="1" ht="30.75" customHeight="1" thickBot="1" x14ac:dyDescent="0.4">
      <c r="A38" s="193">
        <v>67</v>
      </c>
      <c r="B38" s="82" t="s">
        <v>37</v>
      </c>
      <c r="C38" s="59">
        <f>+Tableau2[[#This Row],[AZDU]]</f>
        <v>0</v>
      </c>
      <c r="D38" s="59">
        <f>+Tableau3[[#This Row],[AZDU]]</f>
        <v>0</v>
      </c>
      <c r="E38" s="59">
        <f>+Tableau4[[#This Row],[AZDU]]</f>
        <v>0</v>
      </c>
      <c r="F38" s="59">
        <f>+Tableau5[[#This Row],[AZDU]]</f>
        <v>0</v>
      </c>
      <c r="G38" s="59">
        <f>+Tableau6[[#This Row],[AZDU]]</f>
        <v>0</v>
      </c>
      <c r="H38" s="59">
        <f>+Tableau7[[#This Row],[AZDU]]</f>
        <v>0</v>
      </c>
      <c r="I38" s="59">
        <f>+Tableau8[[#This Row],[AZDU]]</f>
        <v>0</v>
      </c>
      <c r="J38" s="59">
        <f>+Tableau9[[#This Row],[AZDU]]</f>
        <v>0</v>
      </c>
      <c r="K38" s="59">
        <f>+Tableau10[[#This Row],[AZDU]]</f>
        <v>0</v>
      </c>
      <c r="L38" s="59">
        <f>+Tableau11[[#This Row],[AZDU]]</f>
        <v>0</v>
      </c>
      <c r="M38" s="59">
        <f>+Tableau12[[#This Row],[AZDU]]</f>
        <v>0</v>
      </c>
      <c r="N38" s="59">
        <f>+Tableau13[[#This Row],[AZDU]]</f>
        <v>0</v>
      </c>
      <c r="O38" s="59">
        <f t="shared" si="0"/>
        <v>0</v>
      </c>
    </row>
    <row r="39" spans="1:16" s="27" customFormat="1" ht="30.75" customHeight="1" thickBot="1" x14ac:dyDescent="0.4">
      <c r="A39" s="194" t="s">
        <v>38</v>
      </c>
      <c r="B39" s="85" t="s">
        <v>39</v>
      </c>
      <c r="C39" s="62">
        <f>+Tableau2[[#This Row],[AZDU]]</f>
        <v>0</v>
      </c>
      <c r="D39" s="62">
        <f>+Tableau3[[#This Row],[AZDU]]</f>
        <v>0</v>
      </c>
      <c r="E39" s="62">
        <f>+Tableau4[[#This Row],[AZDU]]</f>
        <v>0</v>
      </c>
      <c r="F39" s="62">
        <f>+Tableau5[[#This Row],[AZDU]]</f>
        <v>0</v>
      </c>
      <c r="G39" s="62">
        <f>+Tableau6[[#This Row],[AZDU]]</f>
        <v>0</v>
      </c>
      <c r="H39" s="62">
        <f>+Tableau7[[#This Row],[AZDU]]</f>
        <v>0</v>
      </c>
      <c r="I39" s="62">
        <f>+Tableau8[[#This Row],[AZDU]]</f>
        <v>0</v>
      </c>
      <c r="J39" s="62">
        <f>+Tableau9[[#This Row],[AZDU]]</f>
        <v>0</v>
      </c>
      <c r="K39" s="62">
        <f>+Tableau10[[#This Row],[AZDU]]</f>
        <v>0</v>
      </c>
      <c r="L39" s="62">
        <f>+Tableau11[[#This Row],[AZDU]]</f>
        <v>0</v>
      </c>
      <c r="M39" s="62">
        <f>+Tableau12[[#This Row],[AZDU]]</f>
        <v>0</v>
      </c>
      <c r="N39" s="62">
        <f>+Tableau13[[#This Row],[AZDU]]</f>
        <v>0</v>
      </c>
      <c r="O39" s="62">
        <f t="shared" si="0"/>
        <v>0</v>
      </c>
    </row>
    <row r="40" spans="1:16" s="27" customFormat="1" ht="30.6" customHeight="1" thickBot="1" x14ac:dyDescent="0.4">
      <c r="A40" s="194" t="s">
        <v>40</v>
      </c>
      <c r="B40" s="85" t="s">
        <v>41</v>
      </c>
      <c r="C40" s="62">
        <f>+Tableau2[[#This Row],[AZDU]]</f>
        <v>-11917970.600000001</v>
      </c>
      <c r="D40" s="62">
        <f>+Tableau3[[#This Row],[AZDU]]</f>
        <v>-9771158.6799999997</v>
      </c>
      <c r="E40" s="62">
        <f>+Tableau4[[#This Row],[AZDU]]</f>
        <v>2096688.0599999949</v>
      </c>
      <c r="F40" s="62">
        <f>+Tableau5[[#This Row],[AZDU]]</f>
        <v>2937925.3800000027</v>
      </c>
      <c r="G40" s="62">
        <f>+Tableau6[[#This Row],[AZDU]]</f>
        <v>-782280.41000000387</v>
      </c>
      <c r="H40" s="62">
        <f>+Tableau7[[#This Row],[AZDU]]</f>
        <v>13970382.780000001</v>
      </c>
      <c r="I40" s="62">
        <f>+Tableau8[[#This Row],[AZDU]]</f>
        <v>5016175.7100000009</v>
      </c>
      <c r="J40" s="62">
        <f>+Tableau9[[#This Row],[AZDU]]</f>
        <v>-6548471.9400000051</v>
      </c>
      <c r="K40" s="62">
        <f>+Tableau10[[#This Row],[AZDU]]</f>
        <v>814686.39000000805</v>
      </c>
      <c r="L40" s="62">
        <f>+Tableau11[[#This Row],[AZDU]]</f>
        <v>-1283449.0799999982</v>
      </c>
      <c r="M40" s="62">
        <f>+Tableau12[[#This Row],[AZDU]]</f>
        <v>2378013.8200000003</v>
      </c>
      <c r="N40" s="62">
        <f>+Tableau13[[#This Row],[AZDU]]</f>
        <v>-1547071.8500000089</v>
      </c>
      <c r="O40" s="62">
        <f t="shared" si="0"/>
        <v>-4636530.4200000092</v>
      </c>
      <c r="P40" s="237"/>
    </row>
    <row r="41" spans="1:16" s="27" customFormat="1" ht="11.4" customHeight="1" thickBot="1" x14ac:dyDescent="0.4">
      <c r="A41" s="90"/>
      <c r="B41" s="90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</row>
    <row r="42" spans="1:16" s="27" customFormat="1" ht="18.600000000000001" thickBot="1" x14ac:dyDescent="0.4">
      <c r="A42" s="348" t="s">
        <v>51</v>
      </c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50"/>
    </row>
    <row r="43" spans="1:16" s="37" customFormat="1" ht="18" x14ac:dyDescent="0.35">
      <c r="A43" s="199">
        <v>1</v>
      </c>
      <c r="B43" s="200" t="s">
        <v>52</v>
      </c>
      <c r="C43" s="201">
        <f t="shared" ref="C43:O43" si="2">+C12/C7</f>
        <v>2.1016777341293706</v>
      </c>
      <c r="D43" s="201">
        <f t="shared" si="2"/>
        <v>1.3360384997756358</v>
      </c>
      <c r="E43" s="201">
        <f t="shared" si="2"/>
        <v>1.0168869689833862</v>
      </c>
      <c r="F43" s="201">
        <f t="shared" si="2"/>
        <v>0.68197005757937701</v>
      </c>
      <c r="G43" s="201">
        <f t="shared" si="2"/>
        <v>0.85701925968587922</v>
      </c>
      <c r="H43" s="201">
        <f t="shared" si="2"/>
        <v>0.52321632108393334</v>
      </c>
      <c r="I43" s="201">
        <f t="shared" si="2"/>
        <v>0.5591887850486762</v>
      </c>
      <c r="J43" s="201">
        <f t="shared" si="2"/>
        <v>0.54421071963339307</v>
      </c>
      <c r="K43" s="201">
        <f t="shared" si="2"/>
        <v>0.56433729585646764</v>
      </c>
      <c r="L43" s="201">
        <f t="shared" si="2"/>
        <v>0.78692940632729091</v>
      </c>
      <c r="M43" s="201">
        <f t="shared" si="2"/>
        <v>0.66658005696849354</v>
      </c>
      <c r="N43" s="201">
        <f t="shared" si="2"/>
        <v>0.72034792584312479</v>
      </c>
      <c r="O43" s="201">
        <f t="shared" si="2"/>
        <v>0.71100166585393954</v>
      </c>
    </row>
    <row r="44" spans="1:16" s="37" customFormat="1" ht="18" x14ac:dyDescent="0.35">
      <c r="A44" s="92">
        <v>2</v>
      </c>
      <c r="B44" s="93" t="s">
        <v>53</v>
      </c>
      <c r="C44" s="95">
        <f t="shared" ref="C44:O44" si="3">+C13/C7</f>
        <v>1.9325629995150304</v>
      </c>
      <c r="D44" s="95">
        <f t="shared" si="3"/>
        <v>1.1735773770359237</v>
      </c>
      <c r="E44" s="95">
        <f t="shared" si="3"/>
        <v>0.71935983714084628</v>
      </c>
      <c r="F44" s="95">
        <f t="shared" si="3"/>
        <v>0.44681724054818955</v>
      </c>
      <c r="G44" s="95">
        <f t="shared" si="3"/>
        <v>0.60376479814027939</v>
      </c>
      <c r="H44" s="95">
        <f t="shared" si="3"/>
        <v>0.30252825709641235</v>
      </c>
      <c r="I44" s="95">
        <f t="shared" si="3"/>
        <v>0.29016998450168385</v>
      </c>
      <c r="J44" s="95">
        <f t="shared" si="3"/>
        <v>0.34012690534702605</v>
      </c>
      <c r="K44" s="95">
        <f t="shared" si="3"/>
        <v>0.37662098134352817</v>
      </c>
      <c r="L44" s="95">
        <f t="shared" si="3"/>
        <v>0.53511950014309351</v>
      </c>
      <c r="M44" s="95">
        <f t="shared" si="3"/>
        <v>0.42062902547840286</v>
      </c>
      <c r="N44" s="95">
        <f t="shared" si="3"/>
        <v>0.48637116022333365</v>
      </c>
      <c r="O44" s="95">
        <f t="shared" si="3"/>
        <v>0.4769206752689904</v>
      </c>
    </row>
    <row r="45" spans="1:16" s="36" customFormat="1" ht="18" x14ac:dyDescent="0.35">
      <c r="A45" s="223">
        <v>3</v>
      </c>
      <c r="B45" s="224" t="s">
        <v>56</v>
      </c>
      <c r="C45" s="140">
        <f t="shared" ref="C45:O45" si="4">+C13/C12</f>
        <v>0.91953346040257844</v>
      </c>
      <c r="D45" s="140">
        <f t="shared" si="4"/>
        <v>0.87840086736497891</v>
      </c>
      <c r="E45" s="140">
        <f t="shared" si="4"/>
        <v>0.70741376286885937</v>
      </c>
      <c r="F45" s="140">
        <f t="shared" si="4"/>
        <v>0.65518600938895744</v>
      </c>
      <c r="G45" s="140">
        <f t="shared" si="4"/>
        <v>0.70449385042008927</v>
      </c>
      <c r="H45" s="140">
        <f t="shared" si="4"/>
        <v>0.57820875401912653</v>
      </c>
      <c r="I45" s="140">
        <f t="shared" si="4"/>
        <v>0.51891238211514767</v>
      </c>
      <c r="J45" s="140">
        <f t="shared" si="4"/>
        <v>0.62499119013339577</v>
      </c>
      <c r="K45" s="140">
        <f t="shared" si="4"/>
        <v>0.66736858277627842</v>
      </c>
      <c r="L45" s="140">
        <f t="shared" si="4"/>
        <v>0.68000953559553801</v>
      </c>
      <c r="M45" s="140">
        <f t="shared" si="4"/>
        <v>0.63102551761203407</v>
      </c>
      <c r="N45" s="140">
        <f t="shared" si="4"/>
        <v>0.67518922839135664</v>
      </c>
      <c r="O45" s="140">
        <f t="shared" si="4"/>
        <v>0.67077293651090242</v>
      </c>
    </row>
    <row r="46" spans="1:16" s="37" customFormat="1" ht="18" x14ac:dyDescent="0.35">
      <c r="A46" s="92">
        <v>4</v>
      </c>
      <c r="B46" s="93" t="s">
        <v>57</v>
      </c>
      <c r="C46" s="95">
        <f t="shared" ref="C46:O46" si="5">+C16/C12</f>
        <v>1.0167087479214802</v>
      </c>
      <c r="D46" s="95">
        <f t="shared" si="5"/>
        <v>0.91790991395225341</v>
      </c>
      <c r="E46" s="95">
        <f t="shared" si="5"/>
        <v>0.75001957841396893</v>
      </c>
      <c r="F46" s="95">
        <f t="shared" si="5"/>
        <v>0.68860694505638176</v>
      </c>
      <c r="G46" s="95">
        <f t="shared" si="5"/>
        <v>0.75777094440849846</v>
      </c>
      <c r="H46" s="95">
        <f t="shared" si="5"/>
        <v>0.60818648258551533</v>
      </c>
      <c r="I46" s="95">
        <f t="shared" si="5"/>
        <v>0.59549939612191771</v>
      </c>
      <c r="J46" s="95">
        <f t="shared" si="5"/>
        <v>0.68329665740301049</v>
      </c>
      <c r="K46" s="95">
        <f t="shared" si="5"/>
        <v>0.71595802727632318</v>
      </c>
      <c r="L46" s="95">
        <f t="shared" si="5"/>
        <v>0.75607465339523661</v>
      </c>
      <c r="M46" s="95">
        <f t="shared" si="5"/>
        <v>0.7064352736462961</v>
      </c>
      <c r="N46" s="95">
        <f t="shared" si="5"/>
        <v>0.77369761545692717</v>
      </c>
      <c r="O46" s="95">
        <f t="shared" si="5"/>
        <v>0.7310421785999216</v>
      </c>
    </row>
    <row r="47" spans="1:16" s="37" customFormat="1" ht="18" x14ac:dyDescent="0.35">
      <c r="A47" s="92">
        <v>5</v>
      </c>
      <c r="B47" s="93" t="s">
        <v>58</v>
      </c>
      <c r="C47" s="95">
        <f t="shared" ref="C47:O47" si="6">+C18/C12</f>
        <v>0.35426399992030222</v>
      </c>
      <c r="D47" s="95">
        <f t="shared" si="6"/>
        <v>0.45192146377698783</v>
      </c>
      <c r="E47" s="95">
        <f t="shared" si="6"/>
        <v>0.18936816762272007</v>
      </c>
      <c r="F47" s="95">
        <f t="shared" si="6"/>
        <v>0.22580290226047389</v>
      </c>
      <c r="G47" s="95">
        <f t="shared" si="6"/>
        <v>0.2348305815848756</v>
      </c>
      <c r="H47" s="95">
        <f t="shared" si="6"/>
        <v>0.15072444577756153</v>
      </c>
      <c r="I47" s="95">
        <f t="shared" si="6"/>
        <v>0.24646726708048589</v>
      </c>
      <c r="J47" s="95">
        <f t="shared" si="6"/>
        <v>0.48342242195745083</v>
      </c>
      <c r="K47" s="95">
        <f t="shared" si="6"/>
        <v>0.23203397065494877</v>
      </c>
      <c r="L47" s="95">
        <f t="shared" si="6"/>
        <v>0.24563033400347395</v>
      </c>
      <c r="M47" s="95">
        <f t="shared" si="6"/>
        <v>0.1921796016314416</v>
      </c>
      <c r="N47" s="95">
        <f t="shared" si="6"/>
        <v>0.18729421601700208</v>
      </c>
      <c r="O47" s="95">
        <f t="shared" si="6"/>
        <v>0.24237622875614312</v>
      </c>
    </row>
    <row r="48" spans="1:16" s="37" customFormat="1" ht="18" x14ac:dyDescent="0.35">
      <c r="A48" s="92">
        <v>6</v>
      </c>
      <c r="B48" s="93" t="s">
        <v>54</v>
      </c>
      <c r="C48" s="95">
        <f t="shared" ref="C48:O48" si="7">+C17/C18</f>
        <v>-4.716467923706371E-2</v>
      </c>
      <c r="D48" s="95">
        <f t="shared" si="7"/>
        <v>0.18164679624125152</v>
      </c>
      <c r="E48" s="95">
        <f t="shared" si="7"/>
        <v>1.3200762552873688</v>
      </c>
      <c r="F48" s="95">
        <f t="shared" si="7"/>
        <v>1.3790480628296453</v>
      </c>
      <c r="G48" s="95">
        <f t="shared" si="7"/>
        <v>1.0315055814140286</v>
      </c>
      <c r="H48" s="95">
        <f t="shared" si="7"/>
        <v>2.5995353002838133</v>
      </c>
      <c r="I48" s="95">
        <f t="shared" si="7"/>
        <v>1.6411940160231877</v>
      </c>
      <c r="J48" s="95">
        <f t="shared" si="7"/>
        <v>0.65512754107393179</v>
      </c>
      <c r="K48" s="95">
        <f t="shared" si="7"/>
        <v>1.224139603015576</v>
      </c>
      <c r="L48" s="95">
        <f t="shared" si="7"/>
        <v>0.9930587262129994</v>
      </c>
      <c r="M48" s="95">
        <f t="shared" si="7"/>
        <v>1.5275540372734084</v>
      </c>
      <c r="N48" s="95">
        <f t="shared" si="7"/>
        <v>1.2082721471896907</v>
      </c>
      <c r="O48" s="95">
        <f t="shared" si="7"/>
        <v>1.1096707906561218</v>
      </c>
    </row>
    <row r="49" spans="1:15" s="37" customFormat="1" ht="18" x14ac:dyDescent="0.35">
      <c r="A49" s="92">
        <v>7</v>
      </c>
      <c r="B49" s="93" t="s">
        <v>55</v>
      </c>
      <c r="C49" s="95">
        <f t="shared" ref="C49:O49" si="8">+C20/C12</f>
        <v>-0.3758620525975585</v>
      </c>
      <c r="D49" s="95">
        <f t="shared" si="8"/>
        <v>-0.37747812687165178</v>
      </c>
      <c r="E49" s="95">
        <f t="shared" si="8"/>
        <v>5.0725425608619021E-2</v>
      </c>
      <c r="F49" s="95">
        <f t="shared" si="8"/>
        <v>7.0774815339237518E-2</v>
      </c>
      <c r="G49" s="95">
        <f t="shared" si="8"/>
        <v>-4.3361415810991089E-3</v>
      </c>
      <c r="H49" s="95">
        <f t="shared" si="8"/>
        <v>0.22190075933860612</v>
      </c>
      <c r="I49" s="95">
        <f t="shared" si="8"/>
        <v>0.14013600132993109</v>
      </c>
      <c r="J49" s="95">
        <f t="shared" si="8"/>
        <v>-0.19081417416371074</v>
      </c>
      <c r="K49" s="95">
        <f t="shared" si="8"/>
        <v>3.426314345542214E-2</v>
      </c>
      <c r="L49" s="95">
        <f t="shared" si="8"/>
        <v>-1.444234939810533E-2</v>
      </c>
      <c r="M49" s="95">
        <f t="shared" si="8"/>
        <v>5.1434055634288003E-2</v>
      </c>
      <c r="N49" s="95">
        <f t="shared" si="8"/>
        <v>-1.5138929597312655E-2</v>
      </c>
      <c r="O49" s="95">
        <f t="shared" si="8"/>
        <v>4.2565691992332497E-3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">
    <mergeCell ref="A42:O42"/>
    <mergeCell ref="A5:O5"/>
  </mergeCells>
  <conditionalFormatting sqref="C1:O4 C41:O41 C43:O1048576">
    <cfRule type="cellIs" dxfId="22" priority="9" operator="lessThan">
      <formula>-0.01</formula>
    </cfRule>
  </conditionalFormatting>
  <conditionalFormatting sqref="C7:C40">
    <cfRule type="cellIs" dxfId="21" priority="8" operator="lessThan">
      <formula>-0.01</formula>
    </cfRule>
  </conditionalFormatting>
  <conditionalFormatting sqref="D7:N40">
    <cfRule type="cellIs" dxfId="20" priority="7" operator="lessThan">
      <formula>-0.01</formula>
    </cfRule>
  </conditionalFormatting>
  <conditionalFormatting sqref="O7:O40">
    <cfRule type="cellIs" dxfId="19" priority="4" operator="lessThan">
      <formula>-0.01</formula>
    </cfRule>
  </conditionalFormatting>
  <conditionalFormatting sqref="C6:N6">
    <cfRule type="cellIs" dxfId="18" priority="2" operator="lessThan">
      <formula>-0.01</formula>
    </cfRule>
  </conditionalFormatting>
  <conditionalFormatting sqref="O6">
    <cfRule type="cellIs" dxfId="17" priority="1" operator="lessThan">
      <formula>-0.01</formula>
    </cfRule>
  </conditionalFormatting>
  <pageMargins left="0.15748031496062992" right="0.11811023622047245" top="0.15748031496062992" bottom="0.15748031496062992" header="0.15748031496062992" footer="0"/>
  <pageSetup paperSize="9" scale="42" orientation="landscape" r:id="rId1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C175"/>
  <sheetViews>
    <sheetView view="pageBreakPreview" topLeftCell="A7" zoomScaleNormal="80" zoomScaleSheetLayoutView="100" workbookViewId="0">
      <selection activeCell="Y95" sqref="Y95"/>
    </sheetView>
  </sheetViews>
  <sheetFormatPr baseColWidth="10" defaultRowHeight="14.4" x14ac:dyDescent="0.3"/>
  <cols>
    <col min="1" max="1" width="13.33203125" style="299" customWidth="1"/>
    <col min="2" max="12" width="11.5546875" style="299"/>
    <col min="13" max="13" width="10.77734375" style="299" customWidth="1"/>
    <col min="14" max="14" width="28.109375" style="299" customWidth="1"/>
    <col min="15" max="15" width="10.21875" style="299" customWidth="1"/>
    <col min="16" max="27" width="8.77734375" style="299" customWidth="1"/>
    <col min="28" max="28" width="13.5546875" style="298" bestFit="1" customWidth="1"/>
    <col min="29" max="29" width="11.6640625" style="298" bestFit="1" customWidth="1"/>
    <col min="30" max="30" width="12.44140625" style="298" bestFit="1" customWidth="1"/>
    <col min="31" max="32" width="11.6640625" style="298" bestFit="1" customWidth="1"/>
    <col min="33" max="34" width="12.44140625" style="298" bestFit="1" customWidth="1"/>
    <col min="35" max="55" width="11.5546875" style="298"/>
    <col min="56" max="16384" width="11.5546875" style="299"/>
  </cols>
  <sheetData>
    <row r="1" spans="1:55" ht="33.6" customHeight="1" x14ac:dyDescent="0.3">
      <c r="A1" s="355" t="str">
        <f>+N1</f>
        <v>CONSOLIDE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297"/>
      <c r="N1" s="353" t="s">
        <v>131</v>
      </c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353"/>
    </row>
    <row r="2" spans="1:55" s="300" customFormat="1" ht="25.8" customHeight="1" x14ac:dyDescent="0.3"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01"/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  <c r="AN2" s="301"/>
      <c r="AO2" s="301"/>
      <c r="AP2" s="301"/>
      <c r="AQ2" s="301"/>
      <c r="AR2" s="301"/>
      <c r="AS2" s="301"/>
      <c r="AT2" s="301"/>
      <c r="AU2" s="301"/>
      <c r="AV2" s="301"/>
      <c r="AW2" s="301"/>
      <c r="AX2" s="301"/>
      <c r="AY2" s="301"/>
      <c r="AZ2" s="301"/>
      <c r="BA2" s="301"/>
      <c r="BB2" s="301"/>
      <c r="BC2" s="301"/>
    </row>
    <row r="3" spans="1:55" x14ac:dyDescent="0.3"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</row>
    <row r="4" spans="1:55" x14ac:dyDescent="0.3">
      <c r="N4" s="353"/>
      <c r="O4" s="353"/>
      <c r="P4" s="353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3"/>
    </row>
    <row r="5" spans="1:55" x14ac:dyDescent="0.3"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3"/>
      <c r="AA5" s="353"/>
    </row>
    <row r="6" spans="1:55" x14ac:dyDescent="0.3">
      <c r="N6" s="353"/>
      <c r="O6" s="353"/>
      <c r="P6" s="353"/>
      <c r="Q6" s="353"/>
      <c r="R6" s="353"/>
      <c r="S6" s="353"/>
      <c r="T6" s="353"/>
      <c r="U6" s="353"/>
      <c r="V6" s="353"/>
      <c r="W6" s="353"/>
      <c r="X6" s="353"/>
      <c r="Y6" s="353"/>
      <c r="Z6" s="353"/>
      <c r="AA6" s="353"/>
    </row>
    <row r="7" spans="1:55" x14ac:dyDescent="0.3">
      <c r="N7" s="353"/>
      <c r="O7" s="353"/>
      <c r="P7" s="353"/>
      <c r="Q7" s="353"/>
      <c r="R7" s="353"/>
      <c r="S7" s="353"/>
      <c r="T7" s="353"/>
      <c r="U7" s="353"/>
      <c r="V7" s="353"/>
      <c r="W7" s="353"/>
      <c r="X7" s="353"/>
      <c r="Y7" s="353"/>
      <c r="Z7" s="353"/>
      <c r="AA7" s="353"/>
    </row>
    <row r="8" spans="1:55" x14ac:dyDescent="0.3"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3"/>
    </row>
    <row r="9" spans="1:55" x14ac:dyDescent="0.3"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3"/>
      <c r="Y9" s="353"/>
      <c r="Z9" s="353"/>
      <c r="AA9" s="353"/>
    </row>
    <row r="10" spans="1:55" x14ac:dyDescent="0.3"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353"/>
      <c r="Y10" s="353"/>
      <c r="Z10" s="353"/>
      <c r="AA10" s="353"/>
    </row>
    <row r="11" spans="1:55" x14ac:dyDescent="0.3">
      <c r="N11" s="353"/>
      <c r="O11" s="353"/>
      <c r="P11" s="353"/>
      <c r="Q11" s="353"/>
      <c r="R11" s="353"/>
      <c r="S11" s="353"/>
      <c r="T11" s="353"/>
      <c r="U11" s="353"/>
      <c r="V11" s="353"/>
      <c r="W11" s="353"/>
      <c r="X11" s="353"/>
      <c r="Y11" s="353"/>
      <c r="Z11" s="353"/>
      <c r="AA11" s="353"/>
    </row>
    <row r="12" spans="1:55" x14ac:dyDescent="0.3">
      <c r="N12" s="353"/>
      <c r="O12" s="353"/>
      <c r="P12" s="353"/>
      <c r="Q12" s="353"/>
      <c r="R12" s="353"/>
      <c r="S12" s="353"/>
      <c r="T12" s="353"/>
      <c r="U12" s="353"/>
      <c r="V12" s="353"/>
      <c r="W12" s="353"/>
      <c r="X12" s="353"/>
      <c r="Y12" s="353"/>
      <c r="Z12" s="353"/>
      <c r="AA12" s="353"/>
    </row>
    <row r="13" spans="1:55" x14ac:dyDescent="0.3"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</row>
    <row r="14" spans="1:55" x14ac:dyDescent="0.3">
      <c r="N14" s="353"/>
      <c r="O14" s="353"/>
      <c r="P14" s="353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</row>
    <row r="15" spans="1:55" x14ac:dyDescent="0.3"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</row>
    <row r="16" spans="1:55" ht="18" x14ac:dyDescent="0.3">
      <c r="A16" s="300"/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53"/>
      <c r="O16" s="353"/>
      <c r="P16" s="353"/>
      <c r="Q16" s="353"/>
      <c r="R16" s="353"/>
      <c r="S16" s="353"/>
      <c r="T16" s="353"/>
      <c r="U16" s="353"/>
      <c r="V16" s="353"/>
      <c r="W16" s="353"/>
      <c r="X16" s="353"/>
      <c r="Y16" s="353"/>
      <c r="Z16" s="353"/>
      <c r="AA16" s="353"/>
    </row>
    <row r="17" spans="1:39" s="299" customFormat="1" x14ac:dyDescent="0.3"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</row>
    <row r="18" spans="1:39" s="299" customFormat="1" x14ac:dyDescent="0.3"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</row>
    <row r="19" spans="1:39" s="299" customFormat="1" ht="18" x14ac:dyDescent="0.3">
      <c r="A19" s="300"/>
      <c r="B19" s="300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353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</row>
    <row r="20" spans="1:39" s="299" customFormat="1" x14ac:dyDescent="0.3"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353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</row>
    <row r="21" spans="1:39" s="299" customFormat="1" x14ac:dyDescent="0.3"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</row>
    <row r="22" spans="1:39" s="299" customFormat="1" x14ac:dyDescent="0.3">
      <c r="N22" s="354"/>
      <c r="O22" s="354"/>
      <c r="P22" s="354"/>
      <c r="Q22" s="354"/>
      <c r="R22" s="354"/>
      <c r="S22" s="354"/>
      <c r="T22" s="354"/>
      <c r="U22" s="354"/>
      <c r="V22" s="354"/>
      <c r="W22" s="354"/>
      <c r="X22" s="354"/>
      <c r="Y22" s="354"/>
      <c r="Z22" s="354"/>
      <c r="AA22" s="354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</row>
    <row r="23" spans="1:39" s="299" customFormat="1" x14ac:dyDescent="0.3">
      <c r="N23" s="302" t="s">
        <v>1</v>
      </c>
      <c r="O23" s="302" t="s">
        <v>125</v>
      </c>
      <c r="P23" s="303" t="s">
        <v>132</v>
      </c>
      <c r="Q23" s="303" t="s">
        <v>133</v>
      </c>
      <c r="R23" s="303" t="s">
        <v>134</v>
      </c>
      <c r="S23" s="303" t="s">
        <v>135</v>
      </c>
      <c r="T23" s="303" t="s">
        <v>136</v>
      </c>
      <c r="U23" s="303" t="s">
        <v>137</v>
      </c>
      <c r="V23" s="303" t="s">
        <v>138</v>
      </c>
      <c r="W23" s="303" t="s">
        <v>139</v>
      </c>
      <c r="X23" s="303" t="s">
        <v>140</v>
      </c>
      <c r="Y23" s="303" t="s">
        <v>141</v>
      </c>
      <c r="Z23" s="303" t="s">
        <v>142</v>
      </c>
      <c r="AA23" s="303" t="s">
        <v>143</v>
      </c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</row>
    <row r="24" spans="1:39" s="299" customFormat="1" x14ac:dyDescent="0.3">
      <c r="N24" s="351" t="s">
        <v>128</v>
      </c>
      <c r="O24" s="304">
        <v>2020</v>
      </c>
      <c r="P24" s="305">
        <f>+P59+P94+P129+P164</f>
        <v>72.594616900000005</v>
      </c>
      <c r="Q24" s="305">
        <f t="shared" ref="Q24:AA24" si="0">+Q59+Q94+Q129+Q164</f>
        <v>94.859717139999987</v>
      </c>
      <c r="R24" s="305">
        <f t="shared" si="0"/>
        <v>93.211833339999998</v>
      </c>
      <c r="S24" s="305">
        <f t="shared" si="0"/>
        <v>96.2204464</v>
      </c>
      <c r="T24" s="305">
        <f t="shared" si="0"/>
        <v>152.15987580000001</v>
      </c>
      <c r="U24" s="305">
        <f t="shared" si="0"/>
        <v>169.56078120000001</v>
      </c>
      <c r="V24" s="305">
        <f t="shared" si="0"/>
        <v>126.70165040000001</v>
      </c>
      <c r="W24" s="305">
        <f t="shared" si="0"/>
        <v>156.0586892</v>
      </c>
      <c r="X24" s="305">
        <f t="shared" si="0"/>
        <v>207.67180429000001</v>
      </c>
      <c r="Y24" s="305">
        <f t="shared" si="0"/>
        <v>217.80896014000001</v>
      </c>
      <c r="Z24" s="305">
        <f t="shared" si="0"/>
        <v>235.14587037000001</v>
      </c>
      <c r="AA24" s="305">
        <f t="shared" si="0"/>
        <v>486.57359730000007</v>
      </c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</row>
    <row r="25" spans="1:39" s="299" customFormat="1" x14ac:dyDescent="0.3">
      <c r="N25" s="352"/>
      <c r="O25" s="304">
        <v>2021</v>
      </c>
      <c r="P25" s="305">
        <f t="shared" ref="P25:AA35" si="1">+P60+P95+P130+P165</f>
        <v>92.184710269999997</v>
      </c>
      <c r="Q25" s="305">
        <f t="shared" si="1"/>
        <v>98.325431250000008</v>
      </c>
      <c r="R25" s="305">
        <f t="shared" si="1"/>
        <v>192.75221775999998</v>
      </c>
      <c r="S25" s="305">
        <f t="shared" si="1"/>
        <v>197.58164563000003</v>
      </c>
      <c r="T25" s="305">
        <f t="shared" si="1"/>
        <v>248.02460159999998</v>
      </c>
      <c r="U25" s="305">
        <f t="shared" si="1"/>
        <v>345.35723625999998</v>
      </c>
      <c r="V25" s="305">
        <f t="shared" si="1"/>
        <v>147.34745900999999</v>
      </c>
      <c r="W25" s="305">
        <f t="shared" si="1"/>
        <v>197.25824418000002</v>
      </c>
      <c r="X25" s="305">
        <f t="shared" si="1"/>
        <v>220.36779822</v>
      </c>
      <c r="Y25" s="305">
        <f t="shared" si="1"/>
        <v>266.37292930000001</v>
      </c>
      <c r="Z25" s="305">
        <f t="shared" si="1"/>
        <v>294.23575901000004</v>
      </c>
      <c r="AA25" s="305">
        <f t="shared" si="1"/>
        <v>334.56219385999998</v>
      </c>
      <c r="AB25" s="306"/>
      <c r="AC25" s="306"/>
      <c r="AD25" s="306"/>
      <c r="AE25" s="306"/>
      <c r="AF25" s="306"/>
      <c r="AG25" s="306"/>
      <c r="AH25" s="306"/>
      <c r="AI25" s="306"/>
      <c r="AJ25" s="306"/>
      <c r="AK25" s="306"/>
      <c r="AL25" s="306"/>
      <c r="AM25" s="306"/>
    </row>
    <row r="26" spans="1:39" s="299" customFormat="1" x14ac:dyDescent="0.3">
      <c r="N26" s="351" t="s">
        <v>126</v>
      </c>
      <c r="O26" s="304">
        <v>2020</v>
      </c>
      <c r="P26" s="305">
        <f t="shared" si="1"/>
        <v>120.98144435</v>
      </c>
      <c r="Q26" s="305">
        <f t="shared" si="1"/>
        <v>132.78218099999998</v>
      </c>
      <c r="R26" s="305">
        <f t="shared" si="1"/>
        <v>130.87319431</v>
      </c>
      <c r="S26" s="305">
        <f t="shared" si="1"/>
        <v>72.057038959999986</v>
      </c>
      <c r="T26" s="305">
        <f t="shared" si="1"/>
        <v>106.01176556999999</v>
      </c>
      <c r="U26" s="305">
        <f t="shared" si="1"/>
        <v>204.11082909999999</v>
      </c>
      <c r="V26" s="305">
        <f t="shared" si="1"/>
        <v>109.31915982000001</v>
      </c>
      <c r="W26" s="305">
        <f t="shared" si="1"/>
        <v>151.17009121999999</v>
      </c>
      <c r="X26" s="305">
        <f t="shared" si="1"/>
        <v>185.38558771000004</v>
      </c>
      <c r="Y26" s="305">
        <f t="shared" si="1"/>
        <v>216.24811851000001</v>
      </c>
      <c r="Z26" s="305">
        <f t="shared" si="1"/>
        <v>193.57986073000001</v>
      </c>
      <c r="AA26" s="305">
        <f t="shared" si="1"/>
        <v>384.64935160000005</v>
      </c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</row>
    <row r="27" spans="1:39" s="299" customFormat="1" x14ac:dyDescent="0.3">
      <c r="N27" s="352"/>
      <c r="O27" s="304">
        <v>2021</v>
      </c>
      <c r="P27" s="305">
        <f t="shared" si="1"/>
        <v>213.49584070999998</v>
      </c>
      <c r="Q27" s="305">
        <f t="shared" si="1"/>
        <v>172.19152550999999</v>
      </c>
      <c r="R27" s="305">
        <f t="shared" si="1"/>
        <v>281.07496621000001</v>
      </c>
      <c r="S27" s="305">
        <f t="shared" si="1"/>
        <v>185.04600934000001</v>
      </c>
      <c r="T27" s="305">
        <f t="shared" si="1"/>
        <v>204.53502576</v>
      </c>
      <c r="U27" s="305">
        <f t="shared" si="1"/>
        <v>228.14084779000001</v>
      </c>
      <c r="V27" s="305">
        <f t="shared" si="1"/>
        <v>137.21407348</v>
      </c>
      <c r="W27" s="305">
        <f t="shared" si="1"/>
        <v>173.21041891000002</v>
      </c>
      <c r="X27" s="305">
        <f t="shared" si="1"/>
        <v>184.74831594</v>
      </c>
      <c r="Y27" s="305">
        <f t="shared" si="1"/>
        <v>306.76374673000004</v>
      </c>
      <c r="Z27" s="305">
        <f t="shared" si="1"/>
        <v>273.27079308999998</v>
      </c>
      <c r="AA27" s="305">
        <f t="shared" si="1"/>
        <v>389.44742737999997</v>
      </c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</row>
    <row r="28" spans="1:39" s="299" customFormat="1" x14ac:dyDescent="0.3">
      <c r="N28" s="351" t="s">
        <v>129</v>
      </c>
      <c r="O28" s="304">
        <v>2020</v>
      </c>
      <c r="P28" s="305">
        <f t="shared" si="1"/>
        <v>104.06932908000002</v>
      </c>
      <c r="Q28" s="305">
        <f t="shared" si="1"/>
        <v>101.10086497</v>
      </c>
      <c r="R28" s="305">
        <f t="shared" si="1"/>
        <v>99.773181240000014</v>
      </c>
      <c r="S28" s="305">
        <f t="shared" si="1"/>
        <v>60.573071120000002</v>
      </c>
      <c r="T28" s="305">
        <f t="shared" si="1"/>
        <v>66.085679040000002</v>
      </c>
      <c r="U28" s="305">
        <f t="shared" si="1"/>
        <v>140.41066816</v>
      </c>
      <c r="V28" s="305">
        <f t="shared" si="1"/>
        <v>83.361222760000004</v>
      </c>
      <c r="W28" s="305">
        <f t="shared" si="1"/>
        <v>122.16785022000001</v>
      </c>
      <c r="X28" s="305">
        <f t="shared" si="1"/>
        <v>131.82940602000002</v>
      </c>
      <c r="Y28" s="305">
        <f t="shared" si="1"/>
        <v>173.18429282999998</v>
      </c>
      <c r="Z28" s="305">
        <f t="shared" si="1"/>
        <v>128.4683775</v>
      </c>
      <c r="AA28" s="305">
        <f t="shared" si="1"/>
        <v>222.11881713</v>
      </c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</row>
    <row r="29" spans="1:39" s="299" customFormat="1" x14ac:dyDescent="0.3">
      <c r="N29" s="352"/>
      <c r="O29" s="304">
        <v>2021</v>
      </c>
      <c r="P29" s="305">
        <f t="shared" si="1"/>
        <v>162.49593348999997</v>
      </c>
      <c r="Q29" s="305">
        <f t="shared" si="1"/>
        <v>126.88893487</v>
      </c>
      <c r="R29" s="305">
        <f t="shared" si="1"/>
        <v>214.45810731</v>
      </c>
      <c r="S29" s="305">
        <f t="shared" si="1"/>
        <v>129.19147074</v>
      </c>
      <c r="T29" s="305">
        <f t="shared" si="1"/>
        <v>133.63691832000001</v>
      </c>
      <c r="U29" s="305">
        <f t="shared" si="1"/>
        <v>150.17935711999999</v>
      </c>
      <c r="V29" s="305">
        <f t="shared" si="1"/>
        <v>85.600110349999994</v>
      </c>
      <c r="W29" s="305">
        <f t="shared" si="1"/>
        <v>118.37223598999999</v>
      </c>
      <c r="X29" s="305">
        <f t="shared" si="1"/>
        <v>121.96870238000001</v>
      </c>
      <c r="Y29" s="305">
        <f t="shared" si="1"/>
        <v>204.20791288999999</v>
      </c>
      <c r="Z29" s="305">
        <f t="shared" si="1"/>
        <v>161.21316583999999</v>
      </c>
      <c r="AA29" s="305">
        <f t="shared" si="1"/>
        <v>260.56986866</v>
      </c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</row>
    <row r="30" spans="1:39" s="299" customFormat="1" x14ac:dyDescent="0.3">
      <c r="N30" s="351" t="s">
        <v>127</v>
      </c>
      <c r="O30" s="304">
        <v>2020</v>
      </c>
      <c r="P30" s="305">
        <f t="shared" si="1"/>
        <v>7.0997781899999932</v>
      </c>
      <c r="Q30" s="305">
        <f t="shared" si="1"/>
        <v>23.411253420000001</v>
      </c>
      <c r="R30" s="305">
        <f t="shared" si="1"/>
        <v>23.481179669999989</v>
      </c>
      <c r="S30" s="305">
        <f t="shared" si="1"/>
        <v>5.6236285199999987</v>
      </c>
      <c r="T30" s="305">
        <f t="shared" si="1"/>
        <v>31.658686349999989</v>
      </c>
      <c r="U30" s="305">
        <f t="shared" si="1"/>
        <v>46.742336650000013</v>
      </c>
      <c r="V30" s="305">
        <f t="shared" si="1"/>
        <v>10.798667260000011</v>
      </c>
      <c r="W30" s="305">
        <f t="shared" si="1"/>
        <v>17.343832919999997</v>
      </c>
      <c r="X30" s="305">
        <f t="shared" si="1"/>
        <v>39.75473324</v>
      </c>
      <c r="Y30" s="305">
        <f t="shared" si="1"/>
        <v>28.465406550000033</v>
      </c>
      <c r="Z30" s="305">
        <f t="shared" si="1"/>
        <v>46.099559849999999</v>
      </c>
      <c r="AA30" s="305">
        <f t="shared" si="1"/>
        <v>130.49365509000006</v>
      </c>
      <c r="AB30" s="306"/>
      <c r="AC30" s="306"/>
      <c r="AD30" s="306"/>
      <c r="AE30" s="306"/>
      <c r="AF30" s="306"/>
      <c r="AG30" s="306"/>
      <c r="AH30" s="306"/>
      <c r="AI30" s="306"/>
      <c r="AJ30" s="306"/>
      <c r="AK30" s="306"/>
      <c r="AL30" s="306"/>
      <c r="AM30" s="306"/>
    </row>
    <row r="31" spans="1:39" s="299" customFormat="1" x14ac:dyDescent="0.3">
      <c r="N31" s="352"/>
      <c r="O31" s="304">
        <v>2021</v>
      </c>
      <c r="P31" s="305">
        <f t="shared" si="1"/>
        <v>38.320009699999986</v>
      </c>
      <c r="Q31" s="305">
        <f t="shared" si="1"/>
        <v>34.792105439999972</v>
      </c>
      <c r="R31" s="305">
        <f t="shared" si="1"/>
        <v>53.791898949999982</v>
      </c>
      <c r="S31" s="305">
        <f t="shared" si="1"/>
        <v>45.37193597000001</v>
      </c>
      <c r="T31" s="305">
        <f t="shared" si="1"/>
        <v>57.696208250000012</v>
      </c>
      <c r="U31" s="305">
        <f t="shared" si="1"/>
        <v>63.612681760000015</v>
      </c>
      <c r="V31" s="305">
        <f t="shared" si="1"/>
        <v>33.000821430000002</v>
      </c>
      <c r="W31" s="305">
        <f t="shared" si="1"/>
        <v>41.68997195999998</v>
      </c>
      <c r="X31" s="305">
        <f t="shared" si="1"/>
        <v>46.182551330000003</v>
      </c>
      <c r="Y31" s="305">
        <f t="shared" si="1"/>
        <v>86.853810940000017</v>
      </c>
      <c r="Z31" s="305">
        <f t="shared" si="1"/>
        <v>95.393098619999989</v>
      </c>
      <c r="AA31" s="305">
        <f t="shared" si="1"/>
        <v>107.95500660000002</v>
      </c>
      <c r="AB31" s="306"/>
      <c r="AC31" s="306"/>
      <c r="AD31" s="306"/>
      <c r="AE31" s="306"/>
      <c r="AF31" s="306"/>
      <c r="AG31" s="306"/>
      <c r="AH31" s="306"/>
      <c r="AI31" s="306"/>
      <c r="AJ31" s="306"/>
      <c r="AK31" s="306"/>
      <c r="AL31" s="306"/>
      <c r="AM31" s="306"/>
    </row>
    <row r="32" spans="1:39" s="299" customFormat="1" x14ac:dyDescent="0.3">
      <c r="N32" s="351" t="s">
        <v>130</v>
      </c>
      <c r="O32" s="304">
        <v>2020</v>
      </c>
      <c r="P32" s="305">
        <f t="shared" si="1"/>
        <v>49.642073340000003</v>
      </c>
      <c r="Q32" s="305">
        <f t="shared" si="1"/>
        <v>50.243161449999988</v>
      </c>
      <c r="R32" s="305">
        <f t="shared" si="1"/>
        <v>52.732671489999994</v>
      </c>
      <c r="S32" s="305">
        <f t="shared" si="1"/>
        <v>52.246820140000004</v>
      </c>
      <c r="T32" s="305">
        <f t="shared" si="1"/>
        <v>50.447913080000006</v>
      </c>
      <c r="U32" s="305">
        <f t="shared" si="1"/>
        <v>50.249244259999998</v>
      </c>
      <c r="V32" s="305">
        <f t="shared" si="1"/>
        <v>64.91682496</v>
      </c>
      <c r="W32" s="305">
        <f t="shared" si="1"/>
        <v>60.684875789999992</v>
      </c>
      <c r="X32" s="305">
        <f t="shared" si="1"/>
        <v>62.232289309999999</v>
      </c>
      <c r="Y32" s="305">
        <f t="shared" si="1"/>
        <v>61.798060169999999</v>
      </c>
      <c r="Z32" s="305">
        <f t="shared" si="1"/>
        <v>63.62710946</v>
      </c>
      <c r="AA32" s="305">
        <f t="shared" si="1"/>
        <v>67.616969470000001</v>
      </c>
      <c r="AB32" s="306"/>
      <c r="AC32" s="306"/>
      <c r="AD32" s="306"/>
      <c r="AE32" s="306"/>
      <c r="AF32" s="306"/>
      <c r="AG32" s="306"/>
      <c r="AH32" s="306"/>
      <c r="AI32" s="306"/>
      <c r="AJ32" s="306"/>
      <c r="AK32" s="306"/>
      <c r="AL32" s="306"/>
      <c r="AM32" s="306"/>
    </row>
    <row r="33" spans="1:55" ht="18" x14ac:dyDescent="0.3">
      <c r="A33" s="300"/>
      <c r="B33" s="300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52"/>
      <c r="O33" s="304">
        <v>2021</v>
      </c>
      <c r="P33" s="305">
        <f t="shared" si="1"/>
        <v>60.995273739999995</v>
      </c>
      <c r="Q33" s="305">
        <f t="shared" si="1"/>
        <v>64.411506930000002</v>
      </c>
      <c r="R33" s="305">
        <f t="shared" si="1"/>
        <v>62.324420439999997</v>
      </c>
      <c r="S33" s="305">
        <f t="shared" si="1"/>
        <v>63.77517757999999</v>
      </c>
      <c r="T33" s="305">
        <f t="shared" si="1"/>
        <v>64.635168899999996</v>
      </c>
      <c r="U33" s="305">
        <f t="shared" si="1"/>
        <v>58.399031139999998</v>
      </c>
      <c r="V33" s="305">
        <f t="shared" si="1"/>
        <v>74.437410469999989</v>
      </c>
      <c r="W33" s="305">
        <f t="shared" si="1"/>
        <v>79.271876539999994</v>
      </c>
      <c r="X33" s="305">
        <f t="shared" si="1"/>
        <v>62.338564840000004</v>
      </c>
      <c r="Y33" s="305">
        <f t="shared" si="1"/>
        <v>62.126336339999995</v>
      </c>
      <c r="Z33" s="305">
        <f t="shared" si="1"/>
        <v>66.072581009999993</v>
      </c>
      <c r="AA33" s="305">
        <f t="shared" si="1"/>
        <v>65.343683830000003</v>
      </c>
      <c r="AB33" s="306"/>
      <c r="AC33" s="306"/>
      <c r="AD33" s="306"/>
      <c r="AE33" s="306"/>
      <c r="AF33" s="306"/>
      <c r="AG33" s="306"/>
      <c r="AH33" s="306"/>
      <c r="AI33" s="306"/>
      <c r="AJ33" s="306"/>
      <c r="AK33" s="306"/>
      <c r="AL33" s="306"/>
      <c r="AM33" s="306"/>
    </row>
    <row r="34" spans="1:55" x14ac:dyDescent="0.3">
      <c r="N34" s="351" t="s">
        <v>144</v>
      </c>
      <c r="O34" s="304">
        <v>2020</v>
      </c>
      <c r="P34" s="305">
        <f t="shared" si="1"/>
        <v>-51.631855490000014</v>
      </c>
      <c r="Q34" s="305">
        <f t="shared" si="1"/>
        <v>-35.423954780000003</v>
      </c>
      <c r="R34" s="305">
        <f t="shared" si="1"/>
        <v>-38.361531460000009</v>
      </c>
      <c r="S34" s="305">
        <f t="shared" si="1"/>
        <v>106.02717030999997</v>
      </c>
      <c r="T34" s="305">
        <f t="shared" si="1"/>
        <v>-3.3537154100000137</v>
      </c>
      <c r="U34" s="305">
        <f t="shared" si="1"/>
        <v>-59.472284449999989</v>
      </c>
      <c r="V34" s="305">
        <f t="shared" si="1"/>
        <v>-65.001840269999988</v>
      </c>
      <c r="W34" s="305">
        <f t="shared" si="1"/>
        <v>-57.67145601</v>
      </c>
      <c r="X34" s="305">
        <f t="shared" si="1"/>
        <v>-37.217387879999997</v>
      </c>
      <c r="Y34" s="305">
        <f t="shared" si="1"/>
        <v>-43.795185839999967</v>
      </c>
      <c r="Z34" s="305">
        <f t="shared" si="1"/>
        <v>-27.244855680000001</v>
      </c>
      <c r="AA34" s="305">
        <f t="shared" si="1"/>
        <v>332.65535991000002</v>
      </c>
      <c r="AB34" s="306"/>
      <c r="AC34" s="306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</row>
    <row r="35" spans="1:55" x14ac:dyDescent="0.3">
      <c r="N35" s="352"/>
      <c r="O35" s="304">
        <v>2021</v>
      </c>
      <c r="P35" s="305">
        <f t="shared" si="1"/>
        <v>-33.108966570000007</v>
      </c>
      <c r="Q35" s="305">
        <f t="shared" si="1"/>
        <v>-33.944203840000029</v>
      </c>
      <c r="R35" s="305">
        <f t="shared" si="1"/>
        <v>59.620624469999974</v>
      </c>
      <c r="S35" s="305">
        <f t="shared" si="1"/>
        <v>-25.93890888999999</v>
      </c>
      <c r="T35" s="305">
        <f t="shared" si="1"/>
        <v>-16.447557430000014</v>
      </c>
      <c r="U35" s="305">
        <f t="shared" si="1"/>
        <v>140.74498141999999</v>
      </c>
      <c r="V35" s="305">
        <f t="shared" si="1"/>
        <v>-51.175539079999979</v>
      </c>
      <c r="W35" s="305">
        <f t="shared" si="1"/>
        <v>-46.919264040000037</v>
      </c>
      <c r="X35" s="305">
        <f t="shared" si="1"/>
        <v>-25.765873889999977</v>
      </c>
      <c r="Y35" s="305">
        <f t="shared" si="1"/>
        <v>12.460477490000004</v>
      </c>
      <c r="Z35" s="305">
        <f t="shared" si="1"/>
        <v>15.793876019999992</v>
      </c>
      <c r="AA35" s="305">
        <f t="shared" si="1"/>
        <v>28.630906810000006</v>
      </c>
      <c r="AB35" s="306"/>
      <c r="AC35" s="306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</row>
    <row r="36" spans="1:55" ht="33.6" customHeight="1" x14ac:dyDescent="0.3">
      <c r="A36" s="355" t="str">
        <f>+N36</f>
        <v>SIEGE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297"/>
      <c r="N36" s="353" t="s">
        <v>50</v>
      </c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</row>
    <row r="37" spans="1:55" s="300" customFormat="1" ht="25.8" customHeight="1" x14ac:dyDescent="0.3">
      <c r="N37" s="353"/>
      <c r="O37" s="353"/>
      <c r="P37" s="353"/>
      <c r="Q37" s="353"/>
      <c r="R37" s="353"/>
      <c r="S37" s="353"/>
      <c r="T37" s="353"/>
      <c r="U37" s="353"/>
      <c r="V37" s="353"/>
      <c r="W37" s="353"/>
      <c r="X37" s="353"/>
      <c r="Y37" s="353"/>
      <c r="Z37" s="353"/>
      <c r="AA37" s="353"/>
      <c r="AB37" s="301"/>
      <c r="AC37" s="301"/>
      <c r="AD37" s="301"/>
      <c r="AE37" s="301"/>
      <c r="AF37" s="301"/>
      <c r="AG37" s="301"/>
      <c r="AH37" s="301"/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</row>
    <row r="38" spans="1:55" x14ac:dyDescent="0.3"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</row>
    <row r="39" spans="1:55" x14ac:dyDescent="0.3">
      <c r="N39" s="353"/>
      <c r="O39" s="353"/>
      <c r="P39" s="353"/>
      <c r="Q39" s="353"/>
      <c r="R39" s="353"/>
      <c r="S39" s="353"/>
      <c r="T39" s="353"/>
      <c r="U39" s="353"/>
      <c r="V39" s="353"/>
      <c r="W39" s="353"/>
      <c r="X39" s="353"/>
      <c r="Y39" s="353"/>
      <c r="Z39" s="353"/>
      <c r="AA39" s="353"/>
    </row>
    <row r="40" spans="1:55" x14ac:dyDescent="0.3">
      <c r="N40" s="353"/>
      <c r="O40" s="353"/>
      <c r="P40" s="353"/>
      <c r="Q40" s="353"/>
      <c r="R40" s="353"/>
      <c r="S40" s="353"/>
      <c r="T40" s="353"/>
      <c r="U40" s="353"/>
      <c r="V40" s="353"/>
      <c r="W40" s="353"/>
      <c r="X40" s="353"/>
      <c r="Y40" s="353"/>
      <c r="Z40" s="353"/>
      <c r="AA40" s="353"/>
    </row>
    <row r="41" spans="1:55" x14ac:dyDescent="0.3"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</row>
    <row r="42" spans="1:55" x14ac:dyDescent="0.3"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53"/>
    </row>
    <row r="43" spans="1:55" x14ac:dyDescent="0.3"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53"/>
      <c r="Y43" s="353"/>
      <c r="Z43" s="353"/>
      <c r="AA43" s="353"/>
    </row>
    <row r="44" spans="1:55" x14ac:dyDescent="0.3"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</row>
    <row r="45" spans="1:55" x14ac:dyDescent="0.3"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</row>
    <row r="46" spans="1:55" x14ac:dyDescent="0.3"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</row>
    <row r="47" spans="1:55" x14ac:dyDescent="0.3"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</row>
    <row r="48" spans="1:55" x14ac:dyDescent="0.3"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</row>
    <row r="49" spans="1:27" s="299" customFormat="1" x14ac:dyDescent="0.3"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</row>
    <row r="50" spans="1:27" s="299" customFormat="1" x14ac:dyDescent="0.3"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</row>
    <row r="51" spans="1:27" s="299" customFormat="1" ht="18" x14ac:dyDescent="0.3">
      <c r="A51" s="300"/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</row>
    <row r="52" spans="1:27" s="299" customFormat="1" x14ac:dyDescent="0.3"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</row>
    <row r="53" spans="1:27" s="299" customFormat="1" x14ac:dyDescent="0.3"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</row>
    <row r="54" spans="1:27" s="299" customFormat="1" ht="18" x14ac:dyDescent="0.3">
      <c r="A54" s="300"/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</row>
    <row r="55" spans="1:27" s="299" customFormat="1" x14ac:dyDescent="0.3"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</row>
    <row r="56" spans="1:27" s="299" customFormat="1" x14ac:dyDescent="0.3"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</row>
    <row r="57" spans="1:27" s="299" customFormat="1" x14ac:dyDescent="0.3">
      <c r="N57" s="354"/>
      <c r="O57" s="354"/>
      <c r="P57" s="354"/>
      <c r="Q57" s="354"/>
      <c r="R57" s="354"/>
      <c r="S57" s="354"/>
      <c r="T57" s="354"/>
      <c r="U57" s="354"/>
      <c r="V57" s="354"/>
      <c r="W57" s="354"/>
      <c r="X57" s="354"/>
      <c r="Y57" s="354"/>
      <c r="Z57" s="354"/>
      <c r="AA57" s="354"/>
    </row>
    <row r="58" spans="1:27" s="299" customFormat="1" x14ac:dyDescent="0.3">
      <c r="N58" s="302" t="s">
        <v>1</v>
      </c>
      <c r="O58" s="302" t="s">
        <v>125</v>
      </c>
      <c r="P58" s="303" t="s">
        <v>132</v>
      </c>
      <c r="Q58" s="303" t="s">
        <v>133</v>
      </c>
      <c r="R58" s="303" t="s">
        <v>134</v>
      </c>
      <c r="S58" s="303" t="s">
        <v>135</v>
      </c>
      <c r="T58" s="303" t="s">
        <v>136</v>
      </c>
      <c r="U58" s="303" t="s">
        <v>137</v>
      </c>
      <c r="V58" s="303" t="s">
        <v>138</v>
      </c>
      <c r="W58" s="303" t="s">
        <v>139</v>
      </c>
      <c r="X58" s="303" t="s">
        <v>140</v>
      </c>
      <c r="Y58" s="303" t="s">
        <v>141</v>
      </c>
      <c r="Z58" s="303" t="s">
        <v>142</v>
      </c>
      <c r="AA58" s="303" t="s">
        <v>143</v>
      </c>
    </row>
    <row r="59" spans="1:27" s="299" customFormat="1" x14ac:dyDescent="0.3">
      <c r="N59" s="351" t="s">
        <v>128</v>
      </c>
      <c r="O59" s="304">
        <v>2020</v>
      </c>
      <c r="P59" s="305">
        <v>2.5</v>
      </c>
      <c r="Q59" s="305">
        <v>2.5</v>
      </c>
      <c r="R59" s="305">
        <v>8.1999999999999993</v>
      </c>
      <c r="S59" s="305">
        <v>2.5</v>
      </c>
      <c r="T59" s="305">
        <v>2.5</v>
      </c>
      <c r="U59" s="305">
        <v>8.1999999999999993</v>
      </c>
      <c r="V59" s="305">
        <v>2.8</v>
      </c>
      <c r="W59" s="305">
        <v>2.5</v>
      </c>
      <c r="X59" s="305">
        <v>4.3</v>
      </c>
      <c r="Y59" s="305">
        <v>2.5</v>
      </c>
      <c r="Z59" s="305">
        <v>2.5</v>
      </c>
      <c r="AA59" s="305">
        <v>98.593823540000002</v>
      </c>
    </row>
    <row r="60" spans="1:27" s="299" customFormat="1" x14ac:dyDescent="0.3">
      <c r="N60" s="352"/>
      <c r="O60" s="304">
        <v>2021</v>
      </c>
      <c r="P60" s="307">
        <f>+'SIEGE 2021'!C7/1000000</f>
        <v>18</v>
      </c>
      <c r="Q60" s="307">
        <f>+'SIEGE 2021'!D7/1000000</f>
        <v>0</v>
      </c>
      <c r="R60" s="307">
        <f>+'SIEGE 2021'!E7/1000000</f>
        <v>1.35</v>
      </c>
      <c r="S60" s="307">
        <f>+'SIEGE 2021'!F7/1000000</f>
        <v>0</v>
      </c>
      <c r="T60" s="307">
        <f>+'SIEGE 2021'!G7/1000000</f>
        <v>0</v>
      </c>
      <c r="U60" s="307">
        <f>+'SIEGE 2021'!H7/1000000</f>
        <v>1.35</v>
      </c>
      <c r="V60" s="307">
        <f>+'SIEGE 2021'!I7/1000000</f>
        <v>3</v>
      </c>
      <c r="W60" s="307">
        <f>+'SIEGE 2021'!J7/1000000</f>
        <v>3</v>
      </c>
      <c r="X60" s="307">
        <f>+'SIEGE 2021'!K7/1000000</f>
        <v>4.3499999999999996</v>
      </c>
      <c r="Y60" s="307">
        <f>+'SIEGE 2021'!L7/1000000</f>
        <v>3</v>
      </c>
      <c r="Z60" s="307">
        <f>+'SIEGE 2021'!M7/1000000</f>
        <v>3</v>
      </c>
      <c r="AA60" s="307">
        <f>+'SIEGE 2021'!N7/1000000</f>
        <v>4.3499999999999996</v>
      </c>
    </row>
    <row r="61" spans="1:27" s="299" customFormat="1" x14ac:dyDescent="0.3">
      <c r="N61" s="351" t="s">
        <v>126</v>
      </c>
      <c r="O61" s="304">
        <v>2020</v>
      </c>
      <c r="P61" s="307">
        <v>2.5</v>
      </c>
      <c r="Q61" s="307">
        <v>2.5</v>
      </c>
      <c r="R61" s="307">
        <v>8.1999999999999993</v>
      </c>
      <c r="S61" s="307">
        <v>2.5</v>
      </c>
      <c r="T61" s="307">
        <v>2.5</v>
      </c>
      <c r="U61" s="307">
        <v>8.1999999999999993</v>
      </c>
      <c r="V61" s="307">
        <v>2.8</v>
      </c>
      <c r="W61" s="305">
        <v>2.5</v>
      </c>
      <c r="X61" s="305">
        <v>4.3</v>
      </c>
      <c r="Y61" s="305">
        <v>2.5</v>
      </c>
      <c r="Z61" s="305">
        <v>2.5</v>
      </c>
      <c r="AA61" s="305">
        <v>98.593823540000002</v>
      </c>
    </row>
    <row r="62" spans="1:27" s="299" customFormat="1" x14ac:dyDescent="0.3">
      <c r="N62" s="352"/>
      <c r="O62" s="304">
        <v>2021</v>
      </c>
      <c r="P62" s="307">
        <f>+'SIEGE 2021'!C12/1000000</f>
        <v>18</v>
      </c>
      <c r="Q62" s="307">
        <f>+'SIEGE 2021'!D12/1000000</f>
        <v>0</v>
      </c>
      <c r="R62" s="307">
        <f>+'SIEGE 2021'!E12/1000000</f>
        <v>1.35</v>
      </c>
      <c r="S62" s="307">
        <f>+'SIEGE 2021'!F12/1000000</f>
        <v>0</v>
      </c>
      <c r="T62" s="307">
        <f>+'SIEGE 2021'!G12/1000000</f>
        <v>0</v>
      </c>
      <c r="U62" s="307">
        <f>+'SIEGE 2021'!H12/1000000</f>
        <v>1.35</v>
      </c>
      <c r="V62" s="307">
        <f>+'SIEGE 2021'!I12/1000000</f>
        <v>3</v>
      </c>
      <c r="W62" s="307">
        <f>+'SIEGE 2021'!J12/1000000</f>
        <v>3</v>
      </c>
      <c r="X62" s="307">
        <f>+'SIEGE 2021'!K12/1000000</f>
        <v>4.3499999999999996</v>
      </c>
      <c r="Y62" s="307">
        <f>+'SIEGE 2021'!L12/1000000</f>
        <v>3</v>
      </c>
      <c r="Z62" s="307">
        <f>+'SIEGE 2021'!M12/1000000</f>
        <v>3</v>
      </c>
      <c r="AA62" s="307">
        <f>+'SIEGE 2021'!N12/1000000</f>
        <v>4.3499999999999996</v>
      </c>
    </row>
    <row r="63" spans="1:27" s="299" customFormat="1" x14ac:dyDescent="0.3">
      <c r="N63" s="351" t="s">
        <v>129</v>
      </c>
      <c r="O63" s="304">
        <v>2020</v>
      </c>
      <c r="P63" s="307">
        <v>-6.4640550000000005E-2</v>
      </c>
      <c r="Q63" s="307">
        <v>0.11038427000000001</v>
      </c>
      <c r="R63" s="307">
        <v>0.20832359</v>
      </c>
      <c r="S63" s="307">
        <v>0.30950548</v>
      </c>
      <c r="T63" s="307">
        <v>0.22647606000000001</v>
      </c>
      <c r="U63" s="307">
        <v>0.27203082000000001</v>
      </c>
      <c r="V63" s="307">
        <v>0.47041864</v>
      </c>
      <c r="W63" s="305">
        <v>0.3733534</v>
      </c>
      <c r="X63" s="305">
        <v>0.34414748000000001</v>
      </c>
      <c r="Y63" s="305">
        <v>0.68071223999999997</v>
      </c>
      <c r="Z63" s="305">
        <v>1.7311125199999999</v>
      </c>
      <c r="AA63" s="305">
        <v>38.791888239999999</v>
      </c>
    </row>
    <row r="64" spans="1:27" s="299" customFormat="1" x14ac:dyDescent="0.3">
      <c r="N64" s="352"/>
      <c r="O64" s="304">
        <v>2021</v>
      </c>
      <c r="P64" s="307">
        <f>+'SIEGE 2021'!C13/1000000</f>
        <v>0.46549612000000001</v>
      </c>
      <c r="Q64" s="307">
        <f>+'SIEGE 2021'!D13/1000000</f>
        <v>0.92241348999999995</v>
      </c>
      <c r="R64" s="307">
        <f>+'SIEGE 2021'!E13/1000000</f>
        <v>0.65156263000000003</v>
      </c>
      <c r="S64" s="307">
        <f>+'SIEGE 2021'!F13/1000000</f>
        <v>0.94059872999999994</v>
      </c>
      <c r="T64" s="307">
        <f>+'SIEGE 2021'!G13/1000000</f>
        <v>0.44777995000000004</v>
      </c>
      <c r="U64" s="307">
        <f>+'SIEGE 2021'!H13/1000000</f>
        <v>0.26480273999999998</v>
      </c>
      <c r="V64" s="307">
        <f>+'SIEGE 2021'!I13/1000000</f>
        <v>0.19944255999999999</v>
      </c>
      <c r="W64" s="307">
        <f>+'SIEGE 2021'!J13/1000000</f>
        <v>0.59656613000000003</v>
      </c>
      <c r="X64" s="307">
        <f>+'SIEGE 2021'!K13/1000000</f>
        <v>-0.55158850000000004</v>
      </c>
      <c r="Y64" s="307">
        <f>+'SIEGE 2021'!L13/1000000</f>
        <v>0.30497690999999999</v>
      </c>
      <c r="Z64" s="307">
        <f>+'SIEGE 2021'!M13/1000000</f>
        <v>0.46646046999999996</v>
      </c>
      <c r="AA64" s="307">
        <f>+'SIEGE 2021'!N13/1000000</f>
        <v>1.12258653</v>
      </c>
    </row>
    <row r="65" spans="1:55" x14ac:dyDescent="0.3">
      <c r="N65" s="351" t="s">
        <v>127</v>
      </c>
      <c r="O65" s="304">
        <v>2020</v>
      </c>
      <c r="P65" s="307">
        <v>1.36395205</v>
      </c>
      <c r="Q65" s="307">
        <v>0.67346110000000015</v>
      </c>
      <c r="R65" s="307">
        <v>7.0642176799999996</v>
      </c>
      <c r="S65" s="307">
        <v>1.6326362700000001</v>
      </c>
      <c r="T65" s="307">
        <v>0.96614829000000002</v>
      </c>
      <c r="U65" s="307">
        <v>2.5886850199999993</v>
      </c>
      <c r="V65" s="307">
        <v>-1.9649233199999994</v>
      </c>
      <c r="W65" s="305">
        <v>0.20604943999999994</v>
      </c>
      <c r="X65" s="305">
        <v>2.31968533</v>
      </c>
      <c r="Y65" s="305">
        <v>-0.3490241900000004</v>
      </c>
      <c r="Z65" s="305">
        <v>-2.8829999599999998</v>
      </c>
      <c r="AA65" s="305">
        <v>51.773354870000006</v>
      </c>
    </row>
    <row r="66" spans="1:55" x14ac:dyDescent="0.3">
      <c r="N66" s="352"/>
      <c r="O66" s="304">
        <v>2021</v>
      </c>
      <c r="P66" s="307">
        <f>+'SIEGE 2021'!C17/1000000</f>
        <v>15.434513920000001</v>
      </c>
      <c r="Q66" s="307">
        <f>+'SIEGE 2021'!D17/1000000</f>
        <v>-2.9936784400000001</v>
      </c>
      <c r="R66" s="307">
        <f>+'SIEGE 2021'!E17/1000000</f>
        <v>-2.1065021000000002</v>
      </c>
      <c r="S66" s="307">
        <f>+'SIEGE 2021'!F17/1000000</f>
        <v>-5.5385633800000011</v>
      </c>
      <c r="T66" s="307">
        <f>+'SIEGE 2021'!G17/1000000</f>
        <v>-3.0724553000000001</v>
      </c>
      <c r="U66" s="307">
        <f>+'SIEGE 2021'!H17/1000000</f>
        <v>-2.3570315300000004</v>
      </c>
      <c r="V66" s="307">
        <f>+'SIEGE 2021'!I17/1000000</f>
        <v>-5.5211275099999995</v>
      </c>
      <c r="W66" s="307">
        <f>+'SIEGE 2021'!J17/1000000</f>
        <v>1.0704871899999999</v>
      </c>
      <c r="X66" s="307">
        <f>+'SIEGE 2021'!K17/1000000</f>
        <v>1.6800145499999999</v>
      </c>
      <c r="Y66" s="307">
        <f>+'SIEGE 2021'!L17/1000000</f>
        <v>-0.54654752000000006</v>
      </c>
      <c r="Z66" s="307">
        <f>+'SIEGE 2021'!M17/1000000</f>
        <v>-0.72239529999999985</v>
      </c>
      <c r="AA66" s="307">
        <f>+'SIEGE 2021'!N17/1000000</f>
        <v>-2.3592016500000006</v>
      </c>
    </row>
    <row r="67" spans="1:55" x14ac:dyDescent="0.3">
      <c r="N67" s="351" t="s">
        <v>130</v>
      </c>
      <c r="O67" s="304">
        <v>2020</v>
      </c>
      <c r="P67" s="307">
        <v>7.69085733</v>
      </c>
      <c r="Q67" s="307">
        <v>8.1624952999999998</v>
      </c>
      <c r="R67" s="307">
        <v>8.1849258099999993</v>
      </c>
      <c r="S67" s="307">
        <v>8.6123882799999993</v>
      </c>
      <c r="T67" s="307">
        <v>8.6132625100000002</v>
      </c>
      <c r="U67" s="307">
        <v>8.4553907899999992</v>
      </c>
      <c r="V67" s="307">
        <v>8.7862774899999998</v>
      </c>
      <c r="W67" s="305">
        <v>9.9851610399999995</v>
      </c>
      <c r="X67" s="305">
        <v>13.451512279999999</v>
      </c>
      <c r="Y67" s="305">
        <v>10.257791529999999</v>
      </c>
      <c r="Z67" s="305">
        <v>10.000583970000001</v>
      </c>
      <c r="AA67" s="305">
        <v>36.880329840000002</v>
      </c>
    </row>
    <row r="68" spans="1:55" ht="18" x14ac:dyDescent="0.3">
      <c r="A68" s="300"/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52"/>
      <c r="O68" s="304">
        <v>2021</v>
      </c>
      <c r="P68" s="307">
        <f>+'SIEGE 2021'!C18/1000000</f>
        <v>10.559188240000001</v>
      </c>
      <c r="Q68" s="307">
        <f>+'SIEGE 2021'!D18/1000000</f>
        <v>10.849396029999999</v>
      </c>
      <c r="R68" s="307">
        <f>+'SIEGE 2021'!E18/1000000</f>
        <v>11.52690059</v>
      </c>
      <c r="S68" s="307">
        <f>+'SIEGE 2021'!F18/1000000</f>
        <v>13.720481919999999</v>
      </c>
      <c r="T68" s="307">
        <f>+'SIEGE 2021'!G18/1000000</f>
        <v>14.37187188</v>
      </c>
      <c r="U68" s="307">
        <f>+'SIEGE 2021'!H18/1000000</f>
        <v>10.587601660000001</v>
      </c>
      <c r="V68" s="307">
        <f>+'SIEGE 2021'!I18/1000000</f>
        <v>12.98302157</v>
      </c>
      <c r="W68" s="307">
        <f>+'SIEGE 2021'!J18/1000000</f>
        <v>14.649707300000001</v>
      </c>
      <c r="X68" s="307">
        <f>+'SIEGE 2021'!K18/1000000</f>
        <v>17.256683339999999</v>
      </c>
      <c r="Y68" s="307">
        <f>+'SIEGE 2021'!L18/1000000</f>
        <v>11.319395720000001</v>
      </c>
      <c r="Z68" s="307">
        <f>+'SIEGE 2021'!M18/1000000</f>
        <v>16.422787449999998</v>
      </c>
      <c r="AA68" s="307">
        <f>+'SIEGE 2021'!N18/1000000</f>
        <v>14.44020255</v>
      </c>
    </row>
    <row r="69" spans="1:55" x14ac:dyDescent="0.3">
      <c r="N69" s="351" t="s">
        <v>144</v>
      </c>
      <c r="O69" s="304">
        <v>2020</v>
      </c>
      <c r="P69" s="307">
        <v>-7.8743100000000013</v>
      </c>
      <c r="Q69" s="307">
        <v>-8.6032627799999997</v>
      </c>
      <c r="R69" s="307">
        <v>-2.7435993999999999</v>
      </c>
      <c r="S69" s="307">
        <v>153.40173303999998</v>
      </c>
      <c r="T69" s="307">
        <v>16.32346218</v>
      </c>
      <c r="U69" s="307">
        <v>-53.330768049999996</v>
      </c>
      <c r="V69" s="307">
        <v>-12.242687669999999</v>
      </c>
      <c r="W69" s="305">
        <v>-16.296395090000001</v>
      </c>
      <c r="X69" s="305">
        <v>-17.248139469999998</v>
      </c>
      <c r="Y69" s="305">
        <v>-11.892488739999999</v>
      </c>
      <c r="Z69" s="305">
        <v>-14.204658009999999</v>
      </c>
      <c r="AA69" s="305">
        <v>166.01575504000002</v>
      </c>
    </row>
    <row r="70" spans="1:55" x14ac:dyDescent="0.3">
      <c r="N70" s="352"/>
      <c r="O70" s="304">
        <v>2021</v>
      </c>
      <c r="P70" s="307">
        <f>+'SIEGE 2021'!C40/1000000</f>
        <v>3.0446411899999997</v>
      </c>
      <c r="Q70" s="307">
        <f>+'SIEGE 2021'!D40/1000000</f>
        <v>-11.109397209999999</v>
      </c>
      <c r="R70" s="307">
        <f>+'SIEGE 2021'!E40/1000000</f>
        <v>62.990401829999996</v>
      </c>
      <c r="S70" s="307">
        <f>+'SIEGE 2021'!F40/1000000</f>
        <v>-20.727648210000002</v>
      </c>
      <c r="T70" s="307">
        <f>+'SIEGE 2021'!G40/1000000</f>
        <v>-18.657781220000004</v>
      </c>
      <c r="U70" s="307">
        <f>+'SIEGE 2021'!H40/1000000</f>
        <v>132.43008678000001</v>
      </c>
      <c r="V70" s="307">
        <f>+'SIEGE 2021'!I40/1000000</f>
        <v>-20.038527669999997</v>
      </c>
      <c r="W70" s="307">
        <f>+'SIEGE 2021'!J40/1000000</f>
        <v>-15.078523010000003</v>
      </c>
      <c r="X70" s="307">
        <f>+'SIEGE 2021'!K40/1000000</f>
        <v>-16.880552430000005</v>
      </c>
      <c r="Y70" s="307">
        <f>+'SIEGE 2021'!L40/1000000</f>
        <v>-14.553781559999999</v>
      </c>
      <c r="Z70" s="307">
        <f>+'SIEGE 2021'!M40/1000000</f>
        <v>-18.146428440000001</v>
      </c>
      <c r="AA70" s="307">
        <f>+'SIEGE 2021'!N40/1000000</f>
        <v>-17.957960580000002</v>
      </c>
    </row>
    <row r="71" spans="1:55" ht="33.6" customHeight="1" x14ac:dyDescent="0.3">
      <c r="A71" s="355" t="str">
        <f>+N71</f>
        <v>KDU</v>
      </c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355"/>
      <c r="M71" s="297"/>
      <c r="N71" s="353" t="s">
        <v>47</v>
      </c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</row>
    <row r="72" spans="1:55" s="300" customFormat="1" ht="25.8" customHeight="1" x14ac:dyDescent="0.3"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01"/>
      <c r="AC72" s="301"/>
      <c r="AD72" s="301"/>
      <c r="AE72" s="301"/>
      <c r="AF72" s="301"/>
      <c r="AG72" s="301"/>
      <c r="AH72" s="301"/>
      <c r="AI72" s="301"/>
      <c r="AJ72" s="301"/>
      <c r="AK72" s="301"/>
      <c r="AL72" s="301"/>
      <c r="AM72" s="301"/>
      <c r="AN72" s="301"/>
      <c r="AO72" s="301"/>
      <c r="AP72" s="301"/>
      <c r="AQ72" s="301"/>
      <c r="AR72" s="301"/>
      <c r="AS72" s="301"/>
      <c r="AT72" s="301"/>
      <c r="AU72" s="301"/>
      <c r="AV72" s="301"/>
      <c r="AW72" s="301"/>
      <c r="AX72" s="301"/>
      <c r="AY72" s="301"/>
      <c r="AZ72" s="301"/>
      <c r="BA72" s="301"/>
      <c r="BB72" s="301"/>
      <c r="BC72" s="301"/>
    </row>
    <row r="73" spans="1:55" x14ac:dyDescent="0.3"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</row>
    <row r="74" spans="1:55" x14ac:dyDescent="0.3"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</row>
    <row r="75" spans="1:55" x14ac:dyDescent="0.3"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</row>
    <row r="76" spans="1:55" x14ac:dyDescent="0.3"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</row>
    <row r="77" spans="1:55" x14ac:dyDescent="0.3"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</row>
    <row r="78" spans="1:55" x14ac:dyDescent="0.3"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</row>
    <row r="79" spans="1:55" x14ac:dyDescent="0.3"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</row>
    <row r="80" spans="1:55" x14ac:dyDescent="0.3"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</row>
    <row r="81" spans="1:27" s="299" customFormat="1" x14ac:dyDescent="0.3"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</row>
    <row r="82" spans="1:27" s="299" customFormat="1" x14ac:dyDescent="0.3"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</row>
    <row r="83" spans="1:27" s="299" customFormat="1" x14ac:dyDescent="0.3"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</row>
    <row r="84" spans="1:27" s="299" customFormat="1" x14ac:dyDescent="0.3"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</row>
    <row r="85" spans="1:27" s="299" customFormat="1" x14ac:dyDescent="0.3"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</row>
    <row r="86" spans="1:27" s="299" customFormat="1" ht="18" x14ac:dyDescent="0.3">
      <c r="A86" s="300"/>
      <c r="B86" s="300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</row>
    <row r="87" spans="1:27" s="299" customFormat="1" x14ac:dyDescent="0.3"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</row>
    <row r="88" spans="1:27" s="299" customFormat="1" x14ac:dyDescent="0.3"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</row>
    <row r="89" spans="1:27" s="299" customFormat="1" ht="18" x14ac:dyDescent="0.3">
      <c r="A89" s="300"/>
      <c r="B89" s="300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</row>
    <row r="90" spans="1:27" s="299" customFormat="1" x14ac:dyDescent="0.3"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</row>
    <row r="91" spans="1:27" s="299" customFormat="1" x14ac:dyDescent="0.3"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</row>
    <row r="92" spans="1:27" s="299" customFormat="1" x14ac:dyDescent="0.3"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54"/>
      <c r="Z92" s="354"/>
      <c r="AA92" s="354"/>
    </row>
    <row r="93" spans="1:27" s="299" customFormat="1" x14ac:dyDescent="0.3">
      <c r="N93" s="302" t="s">
        <v>1</v>
      </c>
      <c r="O93" s="302" t="s">
        <v>125</v>
      </c>
      <c r="P93" s="303" t="s">
        <v>132</v>
      </c>
      <c r="Q93" s="303" t="s">
        <v>133</v>
      </c>
      <c r="R93" s="303" t="s">
        <v>134</v>
      </c>
      <c r="S93" s="303" t="s">
        <v>135</v>
      </c>
      <c r="T93" s="303" t="s">
        <v>136</v>
      </c>
      <c r="U93" s="303" t="s">
        <v>137</v>
      </c>
      <c r="V93" s="303" t="s">
        <v>138</v>
      </c>
      <c r="W93" s="303" t="s">
        <v>139</v>
      </c>
      <c r="X93" s="303" t="s">
        <v>140</v>
      </c>
      <c r="Y93" s="303" t="s">
        <v>141</v>
      </c>
      <c r="Z93" s="303" t="s">
        <v>142</v>
      </c>
      <c r="AA93" s="303" t="s">
        <v>143</v>
      </c>
    </row>
    <row r="94" spans="1:27" s="299" customFormat="1" x14ac:dyDescent="0.3">
      <c r="N94" s="351" t="s">
        <v>128</v>
      </c>
      <c r="O94" s="304">
        <v>2020</v>
      </c>
      <c r="P94" s="305">
        <v>28.049688700000001</v>
      </c>
      <c r="Q94" s="305">
        <v>58.711413439999994</v>
      </c>
      <c r="R94" s="305">
        <v>51.107887299999994</v>
      </c>
      <c r="S94" s="305">
        <v>43.990155000000001</v>
      </c>
      <c r="T94" s="305">
        <v>71.482070300000004</v>
      </c>
      <c r="U94" s="305">
        <v>100.30512879999999</v>
      </c>
      <c r="V94" s="305">
        <v>72.440591999999995</v>
      </c>
      <c r="W94" s="305">
        <v>80.143167599999998</v>
      </c>
      <c r="X94" s="305">
        <v>121.1460223</v>
      </c>
      <c r="Y94" s="305">
        <v>97.806413980000002</v>
      </c>
      <c r="Z94" s="305">
        <v>122.31690901</v>
      </c>
      <c r="AA94" s="305">
        <v>136.09510342000007</v>
      </c>
    </row>
    <row r="95" spans="1:27" s="299" customFormat="1" x14ac:dyDescent="0.3">
      <c r="N95" s="352"/>
      <c r="O95" s="304">
        <v>2021</v>
      </c>
      <c r="P95" s="305">
        <f>+'KDU 2021'!C7/1000000</f>
        <v>36.362607789999998</v>
      </c>
      <c r="Q95" s="305">
        <f>+'KDU 2021'!D7/1000000</f>
        <v>49.471433079999997</v>
      </c>
      <c r="R95" s="305">
        <f>+'KDU 2021'!E7/1000000</f>
        <v>84.961264099999994</v>
      </c>
      <c r="S95" s="305">
        <f>+'KDU 2021'!F7/1000000</f>
        <v>85.694295980000007</v>
      </c>
      <c r="T95" s="305">
        <f>+'KDU 2021'!G7/1000000</f>
        <v>83.86220247</v>
      </c>
      <c r="U95" s="305">
        <f>+'KDU 2021'!H7/1000000</f>
        <v>159.32885540999999</v>
      </c>
      <c r="V95" s="305">
        <f>+'KDU 2021'!I7/1000000</f>
        <v>35.241349820000003</v>
      </c>
      <c r="W95" s="305">
        <f>+'KDU 2021'!J7/1000000</f>
        <v>105.29668122</v>
      </c>
      <c r="X95" s="305">
        <f>+'KDU 2021'!K7/1000000</f>
        <v>89.344148939999997</v>
      </c>
      <c r="Y95" s="305">
        <f>+'KDU 2021'!L7/1000000</f>
        <v>109.07384893999999</v>
      </c>
      <c r="Z95" s="305">
        <f>+'KDU 2021'!M7/1000000</f>
        <v>126.88435398999999</v>
      </c>
      <c r="AA95" s="305">
        <f>+'KDU 2021'!N7/1000000</f>
        <v>148.34763641999999</v>
      </c>
    </row>
    <row r="96" spans="1:27" s="299" customFormat="1" x14ac:dyDescent="0.3">
      <c r="N96" s="351" t="s">
        <v>126</v>
      </c>
      <c r="O96" s="304">
        <v>2020</v>
      </c>
      <c r="P96" s="305">
        <v>89.242913610000002</v>
      </c>
      <c r="Q96" s="305">
        <v>100.02748260999999</v>
      </c>
      <c r="R96" s="305">
        <v>98.353910729999996</v>
      </c>
      <c r="S96" s="305">
        <v>50.777878719999997</v>
      </c>
      <c r="T96" s="305">
        <v>76.351086259999988</v>
      </c>
      <c r="U96" s="305">
        <v>155.69604462000001</v>
      </c>
      <c r="V96" s="305">
        <v>78.589266530000003</v>
      </c>
      <c r="W96" s="305">
        <v>108.67982361</v>
      </c>
      <c r="X96" s="305">
        <v>124.64526748</v>
      </c>
      <c r="Y96" s="305">
        <v>156.41211609000001</v>
      </c>
      <c r="Z96" s="305">
        <v>137.64539563</v>
      </c>
      <c r="AA96" s="305">
        <v>150.64496970000008</v>
      </c>
    </row>
    <row r="97" spans="1:55" x14ac:dyDescent="0.3">
      <c r="N97" s="352"/>
      <c r="O97" s="304">
        <v>2021</v>
      </c>
      <c r="P97" s="305">
        <f>+'KDU 2021'!C12/1000000</f>
        <v>133.61922730000001</v>
      </c>
      <c r="Q97" s="305">
        <f>+'KDU 2021'!D12/1000000</f>
        <v>112.74824616999999</v>
      </c>
      <c r="R97" s="305">
        <f>+'KDU 2021'!E12/1000000</f>
        <v>197.52268074</v>
      </c>
      <c r="S97" s="305">
        <f>+'KDU 2021'!F12/1000000</f>
        <v>113.00107962999999</v>
      </c>
      <c r="T97" s="305">
        <f>+'KDU 2021'!G12/1000000</f>
        <v>111.26120548</v>
      </c>
      <c r="U97" s="305">
        <f>+'KDU 2021'!H12/1000000</f>
        <v>133.27807884000001</v>
      </c>
      <c r="V97" s="305">
        <f>+'KDU 2021'!I12/1000000</f>
        <v>76.089192659999995</v>
      </c>
      <c r="W97" s="305">
        <f>+'KDU 2021'!J12/1000000</f>
        <v>119.07988601</v>
      </c>
      <c r="X97" s="305">
        <f>+'KDU 2021'!K12/1000000</f>
        <v>99.138224640000004</v>
      </c>
      <c r="Y97" s="305">
        <f>+'KDU 2021'!L12/1000000</f>
        <v>195.32947647</v>
      </c>
      <c r="Z97" s="305">
        <f>+'KDU 2021'!M12/1000000</f>
        <v>156.68151123999999</v>
      </c>
      <c r="AA97" s="305">
        <f>+'KDU 2021'!N12/1000000</f>
        <v>253.54069049</v>
      </c>
    </row>
    <row r="98" spans="1:55" x14ac:dyDescent="0.3">
      <c r="N98" s="351" t="s">
        <v>129</v>
      </c>
      <c r="O98" s="304">
        <v>2020</v>
      </c>
      <c r="P98" s="305">
        <v>83.324416900000003</v>
      </c>
      <c r="Q98" s="305">
        <v>79.303120419999999</v>
      </c>
      <c r="R98" s="305">
        <v>79.825070290000014</v>
      </c>
      <c r="S98" s="305">
        <v>43.933429220000001</v>
      </c>
      <c r="T98" s="305">
        <v>52.125817060000003</v>
      </c>
      <c r="U98" s="305">
        <v>116.09713069</v>
      </c>
      <c r="V98" s="305">
        <v>58.733137509999999</v>
      </c>
      <c r="W98" s="305">
        <v>88.947892609999997</v>
      </c>
      <c r="X98" s="305">
        <v>92.051105540000009</v>
      </c>
      <c r="Y98" s="305">
        <v>133.84409331999998</v>
      </c>
      <c r="Z98" s="305">
        <v>92.003714959999996</v>
      </c>
      <c r="AA98" s="305">
        <v>114.33001573</v>
      </c>
    </row>
    <row r="99" spans="1:55" x14ac:dyDescent="0.3">
      <c r="N99" s="352"/>
      <c r="O99" s="304">
        <v>2021</v>
      </c>
      <c r="P99" s="305">
        <f>+'KDU 2021'!C13/1000000</f>
        <v>115.1433912</v>
      </c>
      <c r="Q99" s="305">
        <f>+'KDU 2021'!D13/1000000</f>
        <v>85.340355810000005</v>
      </c>
      <c r="R99" s="305">
        <f>+'KDU 2021'!E13/1000000</f>
        <v>160.81778996</v>
      </c>
      <c r="S99" s="305">
        <f>+'KDU 2021'!F13/1000000</f>
        <v>84.180428849999998</v>
      </c>
      <c r="T99" s="305">
        <f>+'KDU 2021'!G13/1000000</f>
        <v>87.676561359999994</v>
      </c>
      <c r="U99" s="305">
        <f>+'KDU 2021'!H13/1000000</f>
        <v>101.37603815999999</v>
      </c>
      <c r="V99" s="305">
        <f>+'KDU 2021'!I13/1000000</f>
        <v>57.604893329999996</v>
      </c>
      <c r="W99" s="305">
        <f>+'KDU 2021'!J13/1000000</f>
        <v>85.188913589999999</v>
      </c>
      <c r="X99" s="305">
        <f>+'KDU 2021'!K13/1000000</f>
        <v>82.324132340000006</v>
      </c>
      <c r="Y99" s="305">
        <f>+'KDU 2021'!L13/1000000</f>
        <v>153.35974066</v>
      </c>
      <c r="Z99" s="305">
        <f>+'KDU 2021'!M13/1000000</f>
        <v>103.32059123000001</v>
      </c>
      <c r="AA99" s="305">
        <f>+'KDU 2021'!N13/1000000</f>
        <v>189.73239337999999</v>
      </c>
    </row>
    <row r="100" spans="1:55" x14ac:dyDescent="0.3">
      <c r="N100" s="351" t="s">
        <v>127</v>
      </c>
      <c r="O100" s="304">
        <v>2020</v>
      </c>
      <c r="P100" s="305">
        <v>0.16534956999999284</v>
      </c>
      <c r="Q100" s="305">
        <v>16.663471939999997</v>
      </c>
      <c r="R100" s="305">
        <v>14.816526559999987</v>
      </c>
      <c r="S100" s="305">
        <v>3.9824525399999993</v>
      </c>
      <c r="T100" s="305">
        <v>20.228395889999987</v>
      </c>
      <c r="U100" s="305">
        <v>34.207335110000017</v>
      </c>
      <c r="V100" s="305">
        <v>13.295689970000007</v>
      </c>
      <c r="W100" s="305">
        <v>12.537717239999994</v>
      </c>
      <c r="X100" s="305">
        <v>25.517627140000002</v>
      </c>
      <c r="Y100" s="305">
        <v>14.602167350000023</v>
      </c>
      <c r="Z100" s="305">
        <v>40.080451159999996</v>
      </c>
      <c r="AA100" s="305">
        <v>27.805468520000069</v>
      </c>
    </row>
    <row r="101" spans="1:55" x14ac:dyDescent="0.3">
      <c r="N101" s="352"/>
      <c r="O101" s="304">
        <v>2021</v>
      </c>
      <c r="P101" s="305">
        <f>+'KDU 2021'!C17/1000000</f>
        <v>13.037403729999989</v>
      </c>
      <c r="Q101" s="305">
        <f>+'KDU 2021'!D17/1000000</f>
        <v>21.874853489999978</v>
      </c>
      <c r="R101" s="305">
        <f>+'KDU 2021'!E17/1000000</f>
        <v>31.438501349999996</v>
      </c>
      <c r="S101" s="305">
        <f>+'KDU 2021'!F17/1000000</f>
        <v>25.087929670000001</v>
      </c>
      <c r="T101" s="305">
        <f>+'KDU 2021'!G17/1000000</f>
        <v>18.136356460000009</v>
      </c>
      <c r="U101" s="305">
        <f>+'KDU 2021'!H17/1000000</f>
        <v>25.858425540000006</v>
      </c>
      <c r="V101" s="305">
        <f>+'KDU 2021'!I17/1000000</f>
        <v>14.513310439999998</v>
      </c>
      <c r="W101" s="305">
        <f>+'KDU 2021'!J17/1000000</f>
        <v>26.991475269999981</v>
      </c>
      <c r="X101" s="305">
        <f>+'KDU 2021'!K17/1000000</f>
        <v>10.446175999999999</v>
      </c>
      <c r="Y101" s="305">
        <f>+'KDU 2021'!L17/1000000</f>
        <v>36.687366830000016</v>
      </c>
      <c r="Z101" s="305">
        <f>+'KDU 2021'!M17/1000000</f>
        <v>48.018095119999977</v>
      </c>
      <c r="AA101" s="305">
        <f>+'KDU 2021'!N17/1000000</f>
        <v>57.714027190000024</v>
      </c>
    </row>
    <row r="102" spans="1:55" x14ac:dyDescent="0.3">
      <c r="N102" s="351" t="s">
        <v>130</v>
      </c>
      <c r="O102" s="304">
        <v>2020</v>
      </c>
      <c r="P102" s="305">
        <v>24.530168539999998</v>
      </c>
      <c r="Q102" s="305">
        <v>24.716853559999997</v>
      </c>
      <c r="R102" s="305">
        <v>25.35135678</v>
      </c>
      <c r="S102" s="305">
        <v>26.275869910000001</v>
      </c>
      <c r="T102" s="305">
        <v>25.033281070000001</v>
      </c>
      <c r="U102" s="305">
        <v>25.30459428</v>
      </c>
      <c r="V102" s="305">
        <v>34.327042759999998</v>
      </c>
      <c r="W102" s="305">
        <v>30.498273409999999</v>
      </c>
      <c r="X102" s="305">
        <v>29.603671730000002</v>
      </c>
      <c r="Y102" s="305">
        <v>30.555508739999997</v>
      </c>
      <c r="Z102" s="305">
        <v>30.827675829999997</v>
      </c>
      <c r="AA102" s="305">
        <v>13.651820650000001</v>
      </c>
    </row>
    <row r="103" spans="1:55" ht="18" x14ac:dyDescent="0.3">
      <c r="A103" s="300"/>
      <c r="B103" s="300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52"/>
      <c r="O103" s="304">
        <v>2021</v>
      </c>
      <c r="P103" s="305">
        <f>+'KDU 2021'!C18/1000000</f>
        <v>28.960107699999998</v>
      </c>
      <c r="Q103" s="305">
        <f>+'KDU 2021'!D18/1000000</f>
        <v>30.178071329999998</v>
      </c>
      <c r="R103" s="305">
        <f>+'KDU 2021'!E18/1000000</f>
        <v>29.04488701</v>
      </c>
      <c r="S103" s="305">
        <f>+'KDU 2021'!F18/1000000</f>
        <v>27.44536986</v>
      </c>
      <c r="T103" s="305">
        <f>+'KDU 2021'!G18/1000000</f>
        <v>28.28567095</v>
      </c>
      <c r="U103" s="305">
        <f>+'KDU 2021'!H18/1000000</f>
        <v>26.93320958</v>
      </c>
      <c r="V103" s="305">
        <f>+'KDU 2021'!I18/1000000</f>
        <v>40.381946360000001</v>
      </c>
      <c r="W103" s="305">
        <f>+'KDU 2021'!J18/1000000</f>
        <v>33.961358740000001</v>
      </c>
      <c r="X103" s="305">
        <f>+'KDU 2021'!K18/1000000</f>
        <v>25.593083</v>
      </c>
      <c r="Y103" s="305">
        <f>+'KDU 2021'!L18/1000000</f>
        <v>27.56289636</v>
      </c>
      <c r="Z103" s="305">
        <f>+'KDU 2021'!M18/1000000</f>
        <v>27.309523579999997</v>
      </c>
      <c r="AA103" s="305">
        <f>+'KDU 2021'!N18/1000000</f>
        <v>29.238492620000002</v>
      </c>
    </row>
    <row r="104" spans="1:55" x14ac:dyDescent="0.3">
      <c r="N104" s="351" t="s">
        <v>144</v>
      </c>
      <c r="O104" s="304">
        <v>2020</v>
      </c>
      <c r="P104" s="305">
        <v>-30.339903660000008</v>
      </c>
      <c r="Q104" s="305">
        <v>-14.311550940000002</v>
      </c>
      <c r="R104" s="305">
        <v>-16.775032370000012</v>
      </c>
      <c r="S104" s="305">
        <v>-28.54374323</v>
      </c>
      <c r="T104" s="305">
        <v>-11.403718290000016</v>
      </c>
      <c r="U104" s="305">
        <v>2.2862850000000119</v>
      </c>
      <c r="V104" s="305">
        <v>-27.648206179999992</v>
      </c>
      <c r="W104" s="305">
        <v>-24.743087310000003</v>
      </c>
      <c r="X104" s="305">
        <v>-10.81424442</v>
      </c>
      <c r="Y104" s="305">
        <v>-22.794552319999976</v>
      </c>
      <c r="Z104" s="305">
        <v>2.218395549999999</v>
      </c>
      <c r="AA104" s="305">
        <v>97.45961371000007</v>
      </c>
    </row>
    <row r="105" spans="1:55" x14ac:dyDescent="0.3">
      <c r="N105" s="352"/>
      <c r="O105" s="304">
        <v>2021</v>
      </c>
      <c r="P105" s="305">
        <f>+'KDU 2021'!C40/1000000</f>
        <v>-22.872735250000002</v>
      </c>
      <c r="Q105" s="305">
        <f>+'KDU 2021'!D40/1000000</f>
        <v>-13.751546880000024</v>
      </c>
      <c r="R105" s="305">
        <f>+'KDU 2021'!E40/1000000</f>
        <v>-3.8834887000000178</v>
      </c>
      <c r="S105" s="305">
        <f>+'KDU 2021'!F40/1000000</f>
        <v>-6.2443747599999906</v>
      </c>
      <c r="T105" s="305">
        <f>+'KDU 2021'!G40/1000000</f>
        <v>-15.654573450000019</v>
      </c>
      <c r="U105" s="305">
        <f>+'KDU 2021'!H40/1000000</f>
        <v>-7.6555023800000255</v>
      </c>
      <c r="V105" s="305">
        <f>+'KDU 2021'!I40/1000000</f>
        <v>-31.840796939999983</v>
      </c>
      <c r="W105" s="305">
        <f>+'KDU 2021'!J40/1000000</f>
        <v>-12.594345210000023</v>
      </c>
      <c r="X105" s="305">
        <f>+'KDU 2021'!K40/1000000</f>
        <v>-21.035560719999985</v>
      </c>
      <c r="Y105" s="305">
        <f>+'KDU 2021'!L40/1000000</f>
        <v>2.3336513700000046</v>
      </c>
      <c r="Z105" s="305">
        <f>+'KDU 2021'!M40/1000000</f>
        <v>13.607609919999987</v>
      </c>
      <c r="AA105" s="305">
        <f>+'KDU 2021'!N40/1000000</f>
        <v>21.123236630000026</v>
      </c>
    </row>
    <row r="106" spans="1:55" ht="33.6" customHeight="1" x14ac:dyDescent="0.3">
      <c r="A106" s="355" t="str">
        <f>+N106</f>
        <v>SKDU</v>
      </c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297"/>
      <c r="N106" s="353" t="s">
        <v>48</v>
      </c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</row>
    <row r="107" spans="1:55" s="300" customFormat="1" ht="25.8" customHeight="1" x14ac:dyDescent="0.3"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  <c r="AB107" s="301"/>
      <c r="AC107" s="301"/>
      <c r="AD107" s="301"/>
      <c r="AE107" s="301"/>
      <c r="AF107" s="301"/>
      <c r="AG107" s="301"/>
      <c r="AH107" s="301"/>
      <c r="AI107" s="301"/>
      <c r="AJ107" s="301"/>
      <c r="AK107" s="301"/>
      <c r="AL107" s="301"/>
      <c r="AM107" s="301"/>
      <c r="AN107" s="301"/>
      <c r="AO107" s="301"/>
      <c r="AP107" s="301"/>
      <c r="AQ107" s="301"/>
      <c r="AR107" s="301"/>
      <c r="AS107" s="301"/>
      <c r="AT107" s="301"/>
      <c r="AU107" s="301"/>
      <c r="AV107" s="301"/>
      <c r="AW107" s="301"/>
      <c r="AX107" s="301"/>
      <c r="AY107" s="301"/>
      <c r="AZ107" s="301"/>
      <c r="BA107" s="301"/>
      <c r="BB107" s="301"/>
      <c r="BC107" s="301"/>
    </row>
    <row r="108" spans="1:55" x14ac:dyDescent="0.3"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</row>
    <row r="109" spans="1:55" x14ac:dyDescent="0.3"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</row>
    <row r="110" spans="1:55" x14ac:dyDescent="0.3"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</row>
    <row r="111" spans="1:55" x14ac:dyDescent="0.3"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</row>
    <row r="112" spans="1:55" x14ac:dyDescent="0.3"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</row>
    <row r="113" spans="1:27" s="299" customFormat="1" x14ac:dyDescent="0.3"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</row>
    <row r="114" spans="1:27" s="299" customFormat="1" x14ac:dyDescent="0.3"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</row>
    <row r="115" spans="1:27" s="299" customFormat="1" x14ac:dyDescent="0.3"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</row>
    <row r="116" spans="1:27" s="299" customFormat="1" x14ac:dyDescent="0.3"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</row>
    <row r="117" spans="1:27" s="299" customFormat="1" x14ac:dyDescent="0.3"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</row>
    <row r="118" spans="1:27" s="299" customFormat="1" x14ac:dyDescent="0.3"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</row>
    <row r="119" spans="1:27" s="299" customFormat="1" x14ac:dyDescent="0.3"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</row>
    <row r="120" spans="1:27" s="299" customFormat="1" x14ac:dyDescent="0.3"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</row>
    <row r="121" spans="1:27" s="299" customFormat="1" ht="18" x14ac:dyDescent="0.3">
      <c r="A121" s="300"/>
      <c r="B121" s="300"/>
      <c r="C121" s="300"/>
      <c r="D121" s="300"/>
      <c r="E121" s="300"/>
      <c r="F121" s="300"/>
      <c r="G121" s="300"/>
      <c r="H121" s="300"/>
      <c r="I121" s="300"/>
      <c r="J121" s="300"/>
      <c r="K121" s="300"/>
      <c r="L121" s="300"/>
      <c r="M121" s="300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</row>
    <row r="122" spans="1:27" s="299" customFormat="1" x14ac:dyDescent="0.3"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</row>
    <row r="123" spans="1:27" s="299" customFormat="1" x14ac:dyDescent="0.3"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</row>
    <row r="124" spans="1:27" s="299" customFormat="1" ht="18" x14ac:dyDescent="0.3">
      <c r="A124" s="300"/>
      <c r="B124" s="300"/>
      <c r="C124" s="300"/>
      <c r="D124" s="300"/>
      <c r="E124" s="300"/>
      <c r="F124" s="300"/>
      <c r="G124" s="300"/>
      <c r="H124" s="300"/>
      <c r="I124" s="300"/>
      <c r="J124" s="300"/>
      <c r="K124" s="300"/>
      <c r="L124" s="300"/>
      <c r="M124" s="300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</row>
    <row r="125" spans="1:27" s="299" customFormat="1" x14ac:dyDescent="0.3"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</row>
    <row r="126" spans="1:27" s="299" customFormat="1" x14ac:dyDescent="0.3"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</row>
    <row r="127" spans="1:27" s="299" customFormat="1" x14ac:dyDescent="0.3"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54"/>
    </row>
    <row r="128" spans="1:27" s="299" customFormat="1" x14ac:dyDescent="0.3">
      <c r="N128" s="302" t="s">
        <v>1</v>
      </c>
      <c r="O128" s="302" t="s">
        <v>125</v>
      </c>
      <c r="P128" s="303" t="s">
        <v>132</v>
      </c>
      <c r="Q128" s="303" t="s">
        <v>133</v>
      </c>
      <c r="R128" s="303" t="s">
        <v>134</v>
      </c>
      <c r="S128" s="303" t="s">
        <v>135</v>
      </c>
      <c r="T128" s="303" t="s">
        <v>136</v>
      </c>
      <c r="U128" s="303" t="s">
        <v>137</v>
      </c>
      <c r="V128" s="303" t="s">
        <v>138</v>
      </c>
      <c r="W128" s="303" t="s">
        <v>139</v>
      </c>
      <c r="X128" s="303" t="s">
        <v>140</v>
      </c>
      <c r="Y128" s="303" t="s">
        <v>141</v>
      </c>
      <c r="Z128" s="303" t="s">
        <v>142</v>
      </c>
      <c r="AA128" s="303" t="s">
        <v>143</v>
      </c>
    </row>
    <row r="129" spans="1:55" x14ac:dyDescent="0.3">
      <c r="N129" s="351" t="s">
        <v>128</v>
      </c>
      <c r="O129" s="304">
        <v>2020</v>
      </c>
      <c r="P129" s="305">
        <v>33.521247000000002</v>
      </c>
      <c r="Q129" s="305">
        <v>26.321838</v>
      </c>
      <c r="R129" s="305">
        <v>31.35053804</v>
      </c>
      <c r="S129" s="305">
        <v>25.000449399999997</v>
      </c>
      <c r="T129" s="305">
        <v>43.803422600000005</v>
      </c>
      <c r="U129" s="305">
        <v>52.4705668</v>
      </c>
      <c r="V129" s="305">
        <v>34.898000200000006</v>
      </c>
      <c r="W129" s="305">
        <v>50.619039000000001</v>
      </c>
      <c r="X129" s="305">
        <v>53.09148184</v>
      </c>
      <c r="Y129" s="305">
        <v>60.9380752</v>
      </c>
      <c r="Z129" s="305">
        <v>63.315339159999994</v>
      </c>
      <c r="AA129" s="305">
        <v>100.78095489999997</v>
      </c>
    </row>
    <row r="130" spans="1:55" x14ac:dyDescent="0.3">
      <c r="N130" s="352"/>
      <c r="O130" s="304">
        <v>2021</v>
      </c>
      <c r="P130" s="305">
        <f>+'SKDU 2021'!C7/1000000</f>
        <v>23.460707800000002</v>
      </c>
      <c r="Q130" s="305">
        <f>+'SKDU 2021'!D7/1000000</f>
        <v>30.616077860000001</v>
      </c>
      <c r="R130" s="305">
        <f>+'SKDU 2021'!E7/1000000</f>
        <v>54.755497800000001</v>
      </c>
      <c r="S130" s="305">
        <f>+'SKDU 2021'!F7/1000000</f>
        <v>40.951519619999999</v>
      </c>
      <c r="T130" s="305">
        <f>+'SKDU 2021'!G7/1000000</f>
        <v>111.16438315000001</v>
      </c>
      <c r="U130" s="305">
        <f>+'SKDU 2021'!H7/1000000</f>
        <v>59.212911990000002</v>
      </c>
      <c r="V130" s="305">
        <f>+'SKDU 2021'!I7/1000000</f>
        <v>37.633035</v>
      </c>
      <c r="W130" s="305">
        <f>+'SKDU 2021'!J7/1000000</f>
        <v>31.518268640000002</v>
      </c>
      <c r="X130" s="305">
        <f>+'SKDU 2021'!K7/1000000</f>
        <v>54.354414720000001</v>
      </c>
      <c r="Y130" s="305">
        <f>+'SKDU 2021'!L7/1000000</f>
        <v>91.070764439999991</v>
      </c>
      <c r="Z130" s="305">
        <f>+'SKDU 2021'!M7/1000000</f>
        <v>78.890960180000008</v>
      </c>
      <c r="AA130" s="305">
        <f>+'SKDU 2021'!N7/1000000</f>
        <v>103.35287760999999</v>
      </c>
    </row>
    <row r="131" spans="1:55" x14ac:dyDescent="0.3">
      <c r="N131" s="351" t="s">
        <v>126</v>
      </c>
      <c r="O131" s="304">
        <v>2020</v>
      </c>
      <c r="P131" s="305">
        <v>20.417144390000001</v>
      </c>
      <c r="Q131" s="305">
        <v>19.700745359999999</v>
      </c>
      <c r="R131" s="305">
        <v>18.708029420000003</v>
      </c>
      <c r="S131" s="305">
        <v>11.849877189999997</v>
      </c>
      <c r="T131" s="305">
        <v>18.466925400000001</v>
      </c>
      <c r="U131" s="305">
        <v>27.349988339999996</v>
      </c>
      <c r="V131" s="305">
        <v>21.679183660000003</v>
      </c>
      <c r="W131" s="305">
        <v>31.762441989999999</v>
      </c>
      <c r="X131" s="305">
        <v>39.402867260000008</v>
      </c>
      <c r="Y131" s="305">
        <v>35.903772290000006</v>
      </c>
      <c r="Z131" s="305">
        <v>31.090193539999994</v>
      </c>
      <c r="AA131" s="305">
        <v>47.140808159999978</v>
      </c>
    </row>
    <row r="132" spans="1:55" x14ac:dyDescent="0.3">
      <c r="N132" s="352"/>
      <c r="O132" s="304">
        <v>2021</v>
      </c>
      <c r="P132" s="305">
        <f>+'SKDU 2021'!C12/1000000</f>
        <v>31.693589979999999</v>
      </c>
      <c r="Q132" s="305">
        <f>+'SKDU 2021'!D12/1000000</f>
        <v>35.076715649999997</v>
      </c>
      <c r="R132" s="305">
        <f>+'SKDU 2021'!E12/1000000</f>
        <v>29.644018919999997</v>
      </c>
      <c r="S132" s="305">
        <f>+'SKDU 2021'!F12/1000000</f>
        <v>23.668817619999999</v>
      </c>
      <c r="T132" s="305">
        <f>+'SKDU 2021'!G12/1000000</f>
        <v>47.853499860000007</v>
      </c>
      <c r="U132" s="305">
        <f>+'SKDU 2021'!H12/1000000</f>
        <v>27.867187910000006</v>
      </c>
      <c r="V132" s="305">
        <f>+'SKDU 2021'!I12/1000000</f>
        <v>18.157939300000002</v>
      </c>
      <c r="W132" s="305">
        <f>+'SKDU 2021'!J12/1000000</f>
        <v>19.869276360000001</v>
      </c>
      <c r="X132" s="305">
        <f>+'SKDU 2021'!K12/1000000</f>
        <v>40.447650029999998</v>
      </c>
      <c r="Y132" s="305">
        <f>+'SKDU 2021'!L12/1000000</f>
        <v>58.67804915</v>
      </c>
      <c r="Z132" s="305">
        <f>+'SKDU 2021'!M12/1000000</f>
        <v>56.623053660000011</v>
      </c>
      <c r="AA132" s="305">
        <f>+'SKDU 2021'!N12/1000000</f>
        <v>75.001011169999998</v>
      </c>
    </row>
    <row r="133" spans="1:55" x14ac:dyDescent="0.3">
      <c r="N133" s="351" t="s">
        <v>129</v>
      </c>
      <c r="O133" s="304">
        <v>2020</v>
      </c>
      <c r="P133" s="305">
        <v>10.092533449999999</v>
      </c>
      <c r="Q133" s="305">
        <v>12.77091285</v>
      </c>
      <c r="R133" s="305">
        <v>11.812582239999999</v>
      </c>
      <c r="S133" s="305">
        <v>7.5635804999999996</v>
      </c>
      <c r="T133" s="305">
        <v>6.58085729</v>
      </c>
      <c r="U133" s="305">
        <v>14.033583009999999</v>
      </c>
      <c r="V133" s="305">
        <v>13.54413907</v>
      </c>
      <c r="W133" s="305">
        <v>18.437855670000001</v>
      </c>
      <c r="X133" s="305">
        <v>22.28054139</v>
      </c>
      <c r="Y133" s="305">
        <v>18.089272680000001</v>
      </c>
      <c r="Z133" s="305">
        <v>16.517132140000001</v>
      </c>
      <c r="AA133" s="305">
        <v>23.16480928</v>
      </c>
    </row>
    <row r="134" spans="1:55" x14ac:dyDescent="0.3">
      <c r="N134" s="352"/>
      <c r="O134" s="304">
        <v>2021</v>
      </c>
      <c r="P134" s="305">
        <f>+'SKDU 2021'!C13/1000000</f>
        <v>19.132746190000002</v>
      </c>
      <c r="Q134" s="305">
        <f>+'SKDU 2021'!D13/1000000</f>
        <v>19.222554890000001</v>
      </c>
      <c r="R134" s="305">
        <f>+'SKDU 2021'!E13/1000000</f>
        <v>15.808313609999999</v>
      </c>
      <c r="S134" s="305">
        <f>+'SKDU 2021'!F13/1000000</f>
        <v>12.37509133</v>
      </c>
      <c r="T134" s="305">
        <f>+'SKDU 2021'!G13/1000000</f>
        <v>13.51424059</v>
      </c>
      <c r="U134" s="305">
        <f>+'SKDU 2021'!H13/1000000</f>
        <v>10.5816666</v>
      </c>
      <c r="V134" s="305">
        <f>+'SKDU 2021'!I13/1000000</f>
        <v>7.0564336299999999</v>
      </c>
      <c r="W134" s="305">
        <f>+'SKDU 2021'!J13/1000000</f>
        <v>13.048746339999999</v>
      </c>
      <c r="X134" s="305">
        <f>+'SKDU 2021'!K13/1000000</f>
        <v>12.959217449999999</v>
      </c>
      <c r="Y134" s="305">
        <f>+'SKDU 2021'!L13/1000000</f>
        <v>16.708490510000001</v>
      </c>
      <c r="Z134" s="305">
        <f>+'SKDU 2021'!M13/1000000</f>
        <v>21.47897051</v>
      </c>
      <c r="AA134" s="305">
        <f>+'SKDU 2021'!N13/1000000</f>
        <v>31.529071940000001</v>
      </c>
    </row>
    <row r="135" spans="1:55" x14ac:dyDescent="0.3">
      <c r="N135" s="351" t="s">
        <v>127</v>
      </c>
      <c r="O135" s="304">
        <v>2020</v>
      </c>
      <c r="P135" s="305">
        <v>8.7772757200000004</v>
      </c>
      <c r="Q135" s="305">
        <v>5.6316704499999997</v>
      </c>
      <c r="R135" s="305">
        <v>5.3471947900000005</v>
      </c>
      <c r="S135" s="305">
        <v>2.6750463599999974</v>
      </c>
      <c r="T135" s="305">
        <v>9.7570143200000015</v>
      </c>
      <c r="U135" s="305">
        <v>11.477033509999996</v>
      </c>
      <c r="V135" s="305">
        <v>6.9103010800000035</v>
      </c>
      <c r="W135" s="305">
        <v>11.848320669999998</v>
      </c>
      <c r="X135" s="305">
        <v>15.054623480000004</v>
      </c>
      <c r="Y135" s="305">
        <v>15.271094810000006</v>
      </c>
      <c r="Z135" s="305">
        <v>8.8175317199999945</v>
      </c>
      <c r="AA135" s="305">
        <v>18.689581879999974</v>
      </c>
    </row>
    <row r="136" spans="1:55" x14ac:dyDescent="0.3">
      <c r="N136" s="352"/>
      <c r="O136" s="304">
        <v>2021</v>
      </c>
      <c r="P136" s="305">
        <f>+'SKDU 2021'!C17/1000000</f>
        <v>10.352412579999998</v>
      </c>
      <c r="Q136" s="305">
        <f>+'SKDU 2021'!D17/1000000</f>
        <v>13.910677079999997</v>
      </c>
      <c r="R136" s="305">
        <f>+'SKDU 2021'!E17/1000000</f>
        <v>11.321362069999996</v>
      </c>
      <c r="S136" s="305">
        <f>+'SKDU 2021'!F17/1000000</f>
        <v>10.758584349999998</v>
      </c>
      <c r="T136" s="305">
        <f>+'SKDU 2021'!G17/1000000</f>
        <v>31.630185770000008</v>
      </c>
      <c r="U136" s="305">
        <f>+'SKDU 2021'!H17/1000000</f>
        <v>14.390461740000005</v>
      </c>
      <c r="V136" s="305">
        <f>+'SKDU 2021'!I17/1000000</f>
        <v>7.8419865200000016</v>
      </c>
      <c r="W136" s="305">
        <f>+'SKDU 2021'!J17/1000000</f>
        <v>3.7274650599999988</v>
      </c>
      <c r="X136" s="305">
        <f>+'SKDU 2021'!K17/1000000</f>
        <v>22.463914450000004</v>
      </c>
      <c r="Y136" s="305">
        <f>+'SKDU 2021'!L17/1000000</f>
        <v>38.57618815</v>
      </c>
      <c r="Z136" s="305">
        <f>+'SKDU 2021'!M17/1000000</f>
        <v>31.374123610000012</v>
      </c>
      <c r="AA136" s="305">
        <f>+'SKDU 2021'!N17/1000000</f>
        <v>39.801485469999996</v>
      </c>
    </row>
    <row r="137" spans="1:55" x14ac:dyDescent="0.3">
      <c r="N137" s="351" t="s">
        <v>130</v>
      </c>
      <c r="O137" s="304">
        <v>2020</v>
      </c>
      <c r="P137" s="305">
        <v>8.36750726</v>
      </c>
      <c r="Q137" s="305">
        <v>8.7312100899999994</v>
      </c>
      <c r="R137" s="305">
        <v>8.7403556999999985</v>
      </c>
      <c r="S137" s="305">
        <v>8.2559178400000004</v>
      </c>
      <c r="T137" s="305">
        <v>8.0638518999999995</v>
      </c>
      <c r="U137" s="305">
        <v>8.0124746699999996</v>
      </c>
      <c r="V137" s="305">
        <v>10.8257642</v>
      </c>
      <c r="W137" s="305">
        <v>9.7226948599999989</v>
      </c>
      <c r="X137" s="305">
        <v>9.7909817899999982</v>
      </c>
      <c r="Y137" s="305">
        <v>10.346519199999999</v>
      </c>
      <c r="Z137" s="305">
        <v>11.827444009999999</v>
      </c>
      <c r="AA137" s="305">
        <v>9.9002681599999995</v>
      </c>
    </row>
    <row r="138" spans="1:55" ht="18" x14ac:dyDescent="0.3">
      <c r="A138" s="300"/>
      <c r="B138" s="300"/>
      <c r="C138" s="300"/>
      <c r="D138" s="300"/>
      <c r="E138" s="300"/>
      <c r="F138" s="300"/>
      <c r="G138" s="300"/>
      <c r="H138" s="300"/>
      <c r="I138" s="300"/>
      <c r="J138" s="300"/>
      <c r="K138" s="300"/>
      <c r="L138" s="300"/>
      <c r="M138" s="300"/>
      <c r="N138" s="352"/>
      <c r="O138" s="304">
        <v>2021</v>
      </c>
      <c r="P138" s="305">
        <f>+'SKDU 2021'!C18/1000000</f>
        <v>10.783219189999999</v>
      </c>
      <c r="Q138" s="305">
        <f>+'SKDU 2021'!D18/1000000</f>
        <v>12.372266439999999</v>
      </c>
      <c r="R138" s="305">
        <f>+'SKDU 2021'!E18/1000000</f>
        <v>11.79977021</v>
      </c>
      <c r="S138" s="305">
        <f>+'SKDU 2021'!F18/1000000</f>
        <v>11.68585929</v>
      </c>
      <c r="T138" s="305">
        <f>+'SKDU 2021'!G18/1000000</f>
        <v>11.31154581</v>
      </c>
      <c r="U138" s="305">
        <f>+'SKDU 2021'!H18/1000000</f>
        <v>10.98382608</v>
      </c>
      <c r="V138" s="305">
        <f>+'SKDU 2021'!I18/1000000</f>
        <v>11.221899689999999</v>
      </c>
      <c r="W138" s="305">
        <f>+'SKDU 2021'!J18/1000000</f>
        <v>15.54841815</v>
      </c>
      <c r="X138" s="305">
        <f>+'SKDU 2021'!K18/1000000</f>
        <v>10.018925699999999</v>
      </c>
      <c r="Y138" s="305">
        <f>+'SKDU 2021'!L18/1000000</f>
        <v>11.02240705</v>
      </c>
      <c r="Z138" s="305">
        <f>+'SKDU 2021'!M18/1000000</f>
        <v>11.392522939999999</v>
      </c>
      <c r="AA138" s="305">
        <f>+'SKDU 2021'!N18/1000000</f>
        <v>11.072428349999999</v>
      </c>
    </row>
    <row r="139" spans="1:55" x14ac:dyDescent="0.3">
      <c r="N139" s="351" t="s">
        <v>144</v>
      </c>
      <c r="O139" s="304">
        <v>2020</v>
      </c>
      <c r="P139" s="305">
        <v>-0.28950263999999909</v>
      </c>
      <c r="Q139" s="305">
        <v>-3.7230906600000004</v>
      </c>
      <c r="R139" s="305">
        <v>-4.0299329299999984</v>
      </c>
      <c r="S139" s="305">
        <v>-6.2382580000000019</v>
      </c>
      <c r="T139" s="305">
        <v>0.67664974000000178</v>
      </c>
      <c r="U139" s="305">
        <v>2.3093380399999961</v>
      </c>
      <c r="V139" s="305">
        <v>-5.9491386899999954</v>
      </c>
      <c r="W139" s="305">
        <v>1.0451235699999986</v>
      </c>
      <c r="X139" s="305">
        <v>4.2385100800000055</v>
      </c>
      <c r="Y139" s="305">
        <v>3.733715540000007</v>
      </c>
      <c r="Z139" s="305">
        <v>-4.2093729100000052</v>
      </c>
      <c r="AA139" s="305">
        <v>10.026054759999976</v>
      </c>
    </row>
    <row r="140" spans="1:55" x14ac:dyDescent="0.3">
      <c r="N140" s="352"/>
      <c r="O140" s="304">
        <v>2021</v>
      </c>
      <c r="P140" s="305">
        <f>+'SKDU 2021'!C40/1000000</f>
        <v>-1.3629019100000039</v>
      </c>
      <c r="Q140" s="305">
        <f>+'SKDU 2021'!D40/1000000</f>
        <v>0.68789892999999969</v>
      </c>
      <c r="R140" s="305">
        <f>+'SKDU 2021'!E40/1000000</f>
        <v>-1.5829767200000062</v>
      </c>
      <c r="S140" s="305">
        <f>+'SKDU 2021'!F40/1000000</f>
        <v>-1.9048113000000007</v>
      </c>
      <c r="T140" s="305">
        <f>+'SKDU 2021'!G40/1000000</f>
        <v>18.647077650000011</v>
      </c>
      <c r="U140" s="305">
        <f>+'SKDU 2021'!H40/1000000</f>
        <v>2.0000142400000023</v>
      </c>
      <c r="V140" s="305">
        <f>+'SKDU 2021'!I40/1000000</f>
        <v>-4.312390179999996</v>
      </c>
      <c r="W140" s="305">
        <f>+'SKDU 2021'!J40/1000000</f>
        <v>-12.697923880000003</v>
      </c>
      <c r="X140" s="305">
        <f>+'SKDU 2021'!K40/1000000</f>
        <v>11.335552870000001</v>
      </c>
      <c r="Y140" s="305">
        <f>+'SKDU 2021'!L40/1000000</f>
        <v>25.964056759999998</v>
      </c>
      <c r="Z140" s="305">
        <f>+'SKDU 2021'!M40/1000000</f>
        <v>17.954680720000006</v>
      </c>
      <c r="AA140" s="305">
        <f>+'SKDU 2021'!N40/1000000</f>
        <v>27.012702609999991</v>
      </c>
    </row>
    <row r="141" spans="1:55" ht="33.6" customHeight="1" x14ac:dyDescent="0.3">
      <c r="A141" s="355" t="str">
        <f>+N141</f>
        <v>AZDU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297"/>
      <c r="N141" s="353" t="s">
        <v>49</v>
      </c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</row>
    <row r="142" spans="1:55" s="300" customFormat="1" ht="25.8" customHeight="1" x14ac:dyDescent="0.3"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01"/>
      <c r="AC142" s="301"/>
      <c r="AD142" s="301"/>
      <c r="AE142" s="301"/>
      <c r="AF142" s="301"/>
      <c r="AG142" s="301"/>
      <c r="AH142" s="301"/>
      <c r="AI142" s="301"/>
      <c r="AJ142" s="301"/>
      <c r="AK142" s="301"/>
      <c r="AL142" s="301"/>
      <c r="AM142" s="301"/>
      <c r="AN142" s="301"/>
      <c r="AO142" s="301"/>
      <c r="AP142" s="301"/>
      <c r="AQ142" s="301"/>
      <c r="AR142" s="301"/>
      <c r="AS142" s="301"/>
      <c r="AT142" s="301"/>
      <c r="AU142" s="301"/>
      <c r="AV142" s="301"/>
      <c r="AW142" s="301"/>
      <c r="AX142" s="301"/>
      <c r="AY142" s="301"/>
      <c r="AZ142" s="301"/>
      <c r="BA142" s="301"/>
      <c r="BB142" s="301"/>
      <c r="BC142" s="301"/>
    </row>
    <row r="143" spans="1:55" x14ac:dyDescent="0.3"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</row>
    <row r="144" spans="1:55" x14ac:dyDescent="0.3"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</row>
    <row r="145" spans="1:27" s="299" customFormat="1" x14ac:dyDescent="0.3"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</row>
    <row r="146" spans="1:27" s="299" customFormat="1" x14ac:dyDescent="0.3"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</row>
    <row r="147" spans="1:27" s="299" customFormat="1" x14ac:dyDescent="0.3"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</row>
    <row r="148" spans="1:27" s="299" customFormat="1" x14ac:dyDescent="0.3"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</row>
    <row r="149" spans="1:27" s="299" customFormat="1" x14ac:dyDescent="0.3"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</row>
    <row r="150" spans="1:27" s="299" customFormat="1" x14ac:dyDescent="0.3"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</row>
    <row r="151" spans="1:27" s="299" customFormat="1" x14ac:dyDescent="0.3"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</row>
    <row r="152" spans="1:27" s="299" customFormat="1" x14ac:dyDescent="0.3"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</row>
    <row r="153" spans="1:27" s="299" customFormat="1" x14ac:dyDescent="0.3"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</row>
    <row r="154" spans="1:27" s="299" customFormat="1" x14ac:dyDescent="0.3"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</row>
    <row r="155" spans="1:27" s="299" customFormat="1" x14ac:dyDescent="0.3"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</row>
    <row r="156" spans="1:27" s="299" customFormat="1" ht="18" x14ac:dyDescent="0.3">
      <c r="A156" s="300"/>
      <c r="B156" s="300"/>
      <c r="C156" s="300"/>
      <c r="D156" s="300"/>
      <c r="E156" s="300"/>
      <c r="F156" s="300"/>
      <c r="G156" s="300"/>
      <c r="H156" s="300"/>
      <c r="I156" s="300"/>
      <c r="J156" s="300"/>
      <c r="K156" s="300"/>
      <c r="L156" s="300"/>
      <c r="M156" s="300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</row>
    <row r="157" spans="1:27" s="299" customFormat="1" x14ac:dyDescent="0.3"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</row>
    <row r="158" spans="1:27" s="299" customFormat="1" x14ac:dyDescent="0.3"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</row>
    <row r="159" spans="1:27" s="299" customFormat="1" ht="18" x14ac:dyDescent="0.3">
      <c r="A159" s="300"/>
      <c r="B159" s="300"/>
      <c r="C159" s="300"/>
      <c r="D159" s="300"/>
      <c r="E159" s="300"/>
      <c r="F159" s="300"/>
      <c r="G159" s="300"/>
      <c r="H159" s="300"/>
      <c r="I159" s="300"/>
      <c r="J159" s="300"/>
      <c r="K159" s="300"/>
      <c r="L159" s="300"/>
      <c r="M159" s="300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</row>
    <row r="160" spans="1:27" s="299" customFormat="1" x14ac:dyDescent="0.3"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</row>
    <row r="161" spans="1:27" s="299" customFormat="1" x14ac:dyDescent="0.3"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</row>
    <row r="162" spans="1:27" s="299" customFormat="1" x14ac:dyDescent="0.3"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54"/>
      <c r="Z162" s="354"/>
      <c r="AA162" s="354"/>
    </row>
    <row r="163" spans="1:27" s="299" customFormat="1" x14ac:dyDescent="0.3">
      <c r="N163" s="302" t="s">
        <v>1</v>
      </c>
      <c r="O163" s="302" t="s">
        <v>125</v>
      </c>
      <c r="P163" s="303" t="s">
        <v>132</v>
      </c>
      <c r="Q163" s="303" t="s">
        <v>133</v>
      </c>
      <c r="R163" s="303" t="s">
        <v>134</v>
      </c>
      <c r="S163" s="303" t="s">
        <v>135</v>
      </c>
      <c r="T163" s="303" t="s">
        <v>136</v>
      </c>
      <c r="U163" s="303" t="s">
        <v>137</v>
      </c>
      <c r="V163" s="303" t="s">
        <v>138</v>
      </c>
      <c r="W163" s="303" t="s">
        <v>139</v>
      </c>
      <c r="X163" s="303" t="s">
        <v>140</v>
      </c>
      <c r="Y163" s="303" t="s">
        <v>141</v>
      </c>
      <c r="Z163" s="303" t="s">
        <v>142</v>
      </c>
      <c r="AA163" s="303" t="s">
        <v>143</v>
      </c>
    </row>
    <row r="164" spans="1:27" s="299" customFormat="1" x14ac:dyDescent="0.3">
      <c r="N164" s="351" t="s">
        <v>128</v>
      </c>
      <c r="O164" s="304">
        <v>2020</v>
      </c>
      <c r="P164" s="305">
        <v>8.5236811999999986</v>
      </c>
      <c r="Q164" s="305">
        <v>7.3264657</v>
      </c>
      <c r="R164" s="305">
        <v>2.5534080000000001</v>
      </c>
      <c r="S164" s="305">
        <v>24.729842000000001</v>
      </c>
      <c r="T164" s="305">
        <v>34.374382900000001</v>
      </c>
      <c r="U164" s="305">
        <v>8.5850855999999993</v>
      </c>
      <c r="V164" s="305">
        <v>16.5630582</v>
      </c>
      <c r="W164" s="305">
        <v>22.796482600000001</v>
      </c>
      <c r="X164" s="305">
        <v>29.134300149999998</v>
      </c>
      <c r="Y164" s="305">
        <v>56.564470960000001</v>
      </c>
      <c r="Z164" s="305">
        <v>47.0136222</v>
      </c>
      <c r="AA164" s="305">
        <v>151.10371544</v>
      </c>
    </row>
    <row r="165" spans="1:27" s="299" customFormat="1" x14ac:dyDescent="0.3">
      <c r="N165" s="352"/>
      <c r="O165" s="304">
        <v>2021</v>
      </c>
      <c r="P165" s="305">
        <f>+'AZDU 2021'!C7/1000000</f>
        <v>14.36139468</v>
      </c>
      <c r="Q165" s="305">
        <f>+'AZDU 2021'!D7/1000000</f>
        <v>18.23792031</v>
      </c>
      <c r="R165" s="305">
        <f>+'AZDU 2021'!E7/1000000</f>
        <v>51.685455859999998</v>
      </c>
      <c r="S165" s="305">
        <f>+'AZDU 2021'!F7/1000000</f>
        <v>70.935830030000005</v>
      </c>
      <c r="T165" s="305">
        <f>+'AZDU 2021'!G7/1000000</f>
        <v>52.998015979999998</v>
      </c>
      <c r="U165" s="305">
        <f>+'AZDU 2021'!H7/1000000</f>
        <v>125.46546886</v>
      </c>
      <c r="V165" s="305">
        <f>+'AZDU 2021'!I7/1000000</f>
        <v>71.473074189999991</v>
      </c>
      <c r="W165" s="305">
        <f>+'AZDU 2021'!J7/1000000</f>
        <v>57.44329432</v>
      </c>
      <c r="X165" s="305">
        <f>+'AZDU 2021'!K7/1000000</f>
        <v>72.319234559999998</v>
      </c>
      <c r="Y165" s="305">
        <f>+'AZDU 2021'!L7/1000000</f>
        <v>63.22831592</v>
      </c>
      <c r="Z165" s="305">
        <f>+'AZDU 2021'!M7/1000000</f>
        <v>85.460444840000008</v>
      </c>
      <c r="AA165" s="305">
        <f>+'AZDU 2021'!N7/1000000</f>
        <v>78.511679829999991</v>
      </c>
    </row>
    <row r="166" spans="1:27" s="299" customFormat="1" x14ac:dyDescent="0.3">
      <c r="N166" s="351" t="s">
        <v>126</v>
      </c>
      <c r="O166" s="304">
        <v>2020</v>
      </c>
      <c r="P166" s="305">
        <v>8.8213863499999992</v>
      </c>
      <c r="Q166" s="305">
        <v>10.553953030000001</v>
      </c>
      <c r="R166" s="305">
        <v>5.6112541600000005</v>
      </c>
      <c r="S166" s="305">
        <v>6.9292830500000004</v>
      </c>
      <c r="T166" s="305">
        <v>8.6937539099999999</v>
      </c>
      <c r="U166" s="305">
        <v>12.864796140000001</v>
      </c>
      <c r="V166" s="305">
        <v>6.2507096299999994</v>
      </c>
      <c r="W166" s="305">
        <v>8.2278256200000008</v>
      </c>
      <c r="X166" s="305">
        <v>17.03745297</v>
      </c>
      <c r="Y166" s="305">
        <v>21.432230130000004</v>
      </c>
      <c r="Z166" s="305">
        <v>22.344271560000003</v>
      </c>
      <c r="AA166" s="305">
        <v>88.26975019999999</v>
      </c>
    </row>
    <row r="167" spans="1:27" s="299" customFormat="1" x14ac:dyDescent="0.3">
      <c r="N167" s="352"/>
      <c r="O167" s="304">
        <v>2021</v>
      </c>
      <c r="P167" s="305">
        <f>+'AZDU 2021'!C12/1000000</f>
        <v>30.183023429999999</v>
      </c>
      <c r="Q167" s="305">
        <f>+'AZDU 2021'!D12/1000000</f>
        <v>24.366563689999996</v>
      </c>
      <c r="R167" s="305">
        <f>+'AZDU 2021'!E12/1000000</f>
        <v>52.558266549999999</v>
      </c>
      <c r="S167" s="305">
        <f>+'AZDU 2021'!F12/1000000</f>
        <v>48.376112090000007</v>
      </c>
      <c r="T167" s="305">
        <f>+'AZDU 2021'!G12/1000000</f>
        <v>45.420320419999996</v>
      </c>
      <c r="U167" s="305">
        <f>+'AZDU 2021'!H12/1000000</f>
        <v>65.645581039999996</v>
      </c>
      <c r="V167" s="305">
        <f>+'AZDU 2021'!I12/1000000</f>
        <v>39.966941519999999</v>
      </c>
      <c r="W167" s="305">
        <f>+'AZDU 2021'!J12/1000000</f>
        <v>31.261256539999998</v>
      </c>
      <c r="X167" s="305">
        <f>+'AZDU 2021'!K12/1000000</f>
        <v>40.812441270000001</v>
      </c>
      <c r="Y167" s="305">
        <f>+'AZDU 2021'!L12/1000000</f>
        <v>49.756221109999998</v>
      </c>
      <c r="Z167" s="305">
        <f>+'AZDU 2021'!M12/1000000</f>
        <v>56.966228190000002</v>
      </c>
      <c r="AA167" s="305">
        <f>+'AZDU 2021'!N12/1000000</f>
        <v>56.555725719999998</v>
      </c>
    </row>
    <row r="168" spans="1:27" s="299" customFormat="1" x14ac:dyDescent="0.3">
      <c r="N168" s="351" t="s">
        <v>129</v>
      </c>
      <c r="O168" s="304">
        <v>2020</v>
      </c>
      <c r="P168" s="305">
        <v>10.717019279999999</v>
      </c>
      <c r="Q168" s="305">
        <v>8.9164474299999998</v>
      </c>
      <c r="R168" s="305">
        <v>7.92720512</v>
      </c>
      <c r="S168" s="305">
        <v>8.7665559200000001</v>
      </c>
      <c r="T168" s="305">
        <v>7.1525286299999999</v>
      </c>
      <c r="U168" s="305">
        <v>10.007923640000001</v>
      </c>
      <c r="V168" s="305">
        <v>10.61352754</v>
      </c>
      <c r="W168" s="305">
        <v>14.408748539999999</v>
      </c>
      <c r="X168" s="305">
        <v>17.153611609999999</v>
      </c>
      <c r="Y168" s="305">
        <v>20.570214589999999</v>
      </c>
      <c r="Z168" s="305">
        <v>18.216417879999998</v>
      </c>
      <c r="AA168" s="305">
        <v>45.832103880000005</v>
      </c>
    </row>
    <row r="169" spans="1:27" s="299" customFormat="1" x14ac:dyDescent="0.3">
      <c r="N169" s="352"/>
      <c r="O169" s="304">
        <v>2021</v>
      </c>
      <c r="P169" s="305">
        <f>+'AZDU 2021'!C13/1000000</f>
        <v>27.754299979999999</v>
      </c>
      <c r="Q169" s="305">
        <f>+'AZDU 2021'!D13/1000000</f>
        <v>21.40361068</v>
      </c>
      <c r="R169" s="305">
        <f>+'AZDU 2021'!E13/1000000</f>
        <v>37.180441109999997</v>
      </c>
      <c r="S169" s="305">
        <f>+'AZDU 2021'!F13/1000000</f>
        <v>31.69535183</v>
      </c>
      <c r="T169" s="305">
        <f>+'AZDU 2021'!G13/1000000</f>
        <v>31.998336420000001</v>
      </c>
      <c r="U169" s="305">
        <f>+'AZDU 2021'!H13/1000000</f>
        <v>37.95684962</v>
      </c>
      <c r="V169" s="305">
        <f>+'AZDU 2021'!I13/1000000</f>
        <v>20.73934083</v>
      </c>
      <c r="W169" s="305">
        <f>+'AZDU 2021'!J13/1000000</f>
        <v>19.538009930000001</v>
      </c>
      <c r="X169" s="305">
        <f>+'AZDU 2021'!K13/1000000</f>
        <v>27.236941089999998</v>
      </c>
      <c r="Y169" s="305">
        <f>+'AZDU 2021'!L13/1000000</f>
        <v>33.834704810000005</v>
      </c>
      <c r="Z169" s="305">
        <f>+'AZDU 2021'!M13/1000000</f>
        <v>35.947143629999999</v>
      </c>
      <c r="AA169" s="305">
        <f>+'AZDU 2021'!N13/1000000</f>
        <v>38.185816810000006</v>
      </c>
    </row>
    <row r="170" spans="1:27" s="299" customFormat="1" x14ac:dyDescent="0.3">
      <c r="N170" s="351" t="s">
        <v>127</v>
      </c>
      <c r="O170" s="304">
        <v>2020</v>
      </c>
      <c r="P170" s="305">
        <v>-3.2067991500000002</v>
      </c>
      <c r="Q170" s="305">
        <v>0.44264993000000158</v>
      </c>
      <c r="R170" s="305">
        <v>-3.7467593599999995</v>
      </c>
      <c r="S170" s="305">
        <v>-2.6665066499999983</v>
      </c>
      <c r="T170" s="305">
        <v>0.70712785000000056</v>
      </c>
      <c r="U170" s="305">
        <v>-1.5307169900000002</v>
      </c>
      <c r="V170" s="305">
        <v>-7.4424004700000008</v>
      </c>
      <c r="W170" s="305">
        <v>-7.2482544299999976</v>
      </c>
      <c r="X170" s="305">
        <v>-3.1372027100000008</v>
      </c>
      <c r="Y170" s="305">
        <v>-1.058831419999998</v>
      </c>
      <c r="Z170" s="305">
        <v>8.4576930000003422E-2</v>
      </c>
      <c r="AA170" s="305">
        <v>32.225249819999988</v>
      </c>
    </row>
    <row r="171" spans="1:27" s="299" customFormat="1" x14ac:dyDescent="0.3">
      <c r="N171" s="352"/>
      <c r="O171" s="304">
        <v>2021</v>
      </c>
      <c r="P171" s="305">
        <f>+'AZDU 2021'!C17/1000000</f>
        <v>-0.50432053000000121</v>
      </c>
      <c r="Q171" s="305">
        <f>+'AZDU 2021'!D17/1000000</f>
        <v>2.0002533099999988</v>
      </c>
      <c r="R171" s="305">
        <f>+'AZDU 2021'!E17/1000000</f>
        <v>13.138537629999995</v>
      </c>
      <c r="S171" s="305">
        <f>+'AZDU 2021'!F17/1000000</f>
        <v>15.063985330000005</v>
      </c>
      <c r="T171" s="305">
        <f>+'AZDU 2021'!G17/1000000</f>
        <v>11.002121319999993</v>
      </c>
      <c r="U171" s="305">
        <f>+'AZDU 2021'!H17/1000000</f>
        <v>25.720826010000007</v>
      </c>
      <c r="V171" s="305">
        <f>+'AZDU 2021'!I17/1000000</f>
        <v>16.166651979999997</v>
      </c>
      <c r="W171" s="305">
        <f>+'AZDU 2021'!J17/1000000</f>
        <v>9.9005444399999973</v>
      </c>
      <c r="X171" s="305">
        <f>+'AZDU 2021'!K17/1000000</f>
        <v>11.592446330000001</v>
      </c>
      <c r="Y171" s="305">
        <f>+'AZDU 2021'!L17/1000000</f>
        <v>12.136803479999998</v>
      </c>
      <c r="Z171" s="305">
        <f>+'AZDU 2021'!M17/1000000</f>
        <v>16.723275190000006</v>
      </c>
      <c r="AA171" s="305">
        <f>+'AZDU 2021'!N17/1000000</f>
        <v>12.798695589999996</v>
      </c>
    </row>
    <row r="172" spans="1:27" s="299" customFormat="1" x14ac:dyDescent="0.3">
      <c r="N172" s="351" t="s">
        <v>130</v>
      </c>
      <c r="O172" s="304">
        <v>2020</v>
      </c>
      <c r="P172" s="305">
        <v>9.0535402100000013</v>
      </c>
      <c r="Q172" s="305">
        <v>8.6326025000000008</v>
      </c>
      <c r="R172" s="305">
        <v>10.456033199999998</v>
      </c>
      <c r="S172" s="305">
        <v>9.10264411</v>
      </c>
      <c r="T172" s="305">
        <v>8.7375176000000003</v>
      </c>
      <c r="U172" s="305">
        <v>8.4767845199999989</v>
      </c>
      <c r="V172" s="305">
        <v>10.97774051</v>
      </c>
      <c r="W172" s="305">
        <v>10.47874648</v>
      </c>
      <c r="X172" s="305">
        <v>9.3861235099999991</v>
      </c>
      <c r="Y172" s="305">
        <v>10.638240699999999</v>
      </c>
      <c r="Z172" s="305">
        <v>10.971405650000001</v>
      </c>
      <c r="AA172" s="305">
        <v>7.1845508200000001</v>
      </c>
    </row>
    <row r="173" spans="1:27" s="299" customFormat="1" ht="18" x14ac:dyDescent="0.3">
      <c r="A173" s="300"/>
      <c r="B173" s="300"/>
      <c r="C173" s="300"/>
      <c r="D173" s="300"/>
      <c r="E173" s="300"/>
      <c r="F173" s="300"/>
      <c r="G173" s="300"/>
      <c r="H173" s="300"/>
      <c r="I173" s="300"/>
      <c r="J173" s="300"/>
      <c r="K173" s="300"/>
      <c r="L173" s="300"/>
      <c r="M173" s="300"/>
      <c r="N173" s="352"/>
      <c r="O173" s="304">
        <v>2021</v>
      </c>
      <c r="P173" s="305">
        <f>+'AZDU 2021'!C18/1000000</f>
        <v>10.69275861</v>
      </c>
      <c r="Q173" s="305">
        <f>+'AZDU 2021'!D18/1000000</f>
        <v>11.011773130000002</v>
      </c>
      <c r="R173" s="305">
        <f>+'AZDU 2021'!E18/1000000</f>
        <v>9.9528626300000003</v>
      </c>
      <c r="S173" s="305">
        <f>+'AZDU 2021'!F18/1000000</f>
        <v>10.923466509999999</v>
      </c>
      <c r="T173" s="305">
        <f>+'AZDU 2021'!G18/1000000</f>
        <v>10.666080259999999</v>
      </c>
      <c r="U173" s="305">
        <f>+'AZDU 2021'!H18/1000000</f>
        <v>9.8943938199999995</v>
      </c>
      <c r="V173" s="305">
        <f>+'AZDU 2021'!I18/1000000</f>
        <v>9.8505428500000001</v>
      </c>
      <c r="W173" s="305">
        <f>+'AZDU 2021'!J18/1000000</f>
        <v>15.11239235</v>
      </c>
      <c r="X173" s="305">
        <f>+'AZDU 2021'!K18/1000000</f>
        <v>9.469872800000001</v>
      </c>
      <c r="Y173" s="305">
        <f>+'AZDU 2021'!L18/1000000</f>
        <v>12.221637210000001</v>
      </c>
      <c r="Z173" s="305">
        <f>+'AZDU 2021'!M18/1000000</f>
        <v>10.947747039999999</v>
      </c>
      <c r="AA173" s="305">
        <f>+'AZDU 2021'!N18/1000000</f>
        <v>10.59256031</v>
      </c>
    </row>
    <row r="174" spans="1:27" s="299" customFormat="1" x14ac:dyDescent="0.3">
      <c r="N174" s="351" t="s">
        <v>144</v>
      </c>
      <c r="O174" s="304">
        <v>2020</v>
      </c>
      <c r="P174" s="305">
        <v>-13.128139190000001</v>
      </c>
      <c r="Q174" s="305">
        <v>-8.7860503999999988</v>
      </c>
      <c r="R174" s="305">
        <v>-14.812966759999998</v>
      </c>
      <c r="S174" s="305">
        <v>-12.592561499999999</v>
      </c>
      <c r="T174" s="305">
        <v>-8.9501090399999992</v>
      </c>
      <c r="U174" s="305">
        <v>-10.73713944</v>
      </c>
      <c r="V174" s="305">
        <v>-19.16180773</v>
      </c>
      <c r="W174" s="305">
        <v>-17.677097179999993</v>
      </c>
      <c r="X174" s="305">
        <v>-13.39351407</v>
      </c>
      <c r="Y174" s="305">
        <v>-12.841860319999997</v>
      </c>
      <c r="Z174" s="305">
        <v>-11.049220309999997</v>
      </c>
      <c r="AA174" s="305">
        <v>59.153936399999978</v>
      </c>
    </row>
    <row r="175" spans="1:27" s="299" customFormat="1" x14ac:dyDescent="0.3">
      <c r="N175" s="352"/>
      <c r="O175" s="304">
        <v>2021</v>
      </c>
      <c r="P175" s="305">
        <f>+'AZDU 2021'!C40/1000000</f>
        <v>-11.917970600000002</v>
      </c>
      <c r="Q175" s="305">
        <f>+'AZDU 2021'!D40/1000000</f>
        <v>-9.7711586799999992</v>
      </c>
      <c r="R175" s="305">
        <f>+'AZDU 2021'!E40/1000000</f>
        <v>2.0966880599999951</v>
      </c>
      <c r="S175" s="305">
        <f>+'AZDU 2021'!F40/1000000</f>
        <v>2.9379253800000025</v>
      </c>
      <c r="T175" s="305">
        <f>+'AZDU 2021'!G40/1000000</f>
        <v>-0.78228041000000392</v>
      </c>
      <c r="U175" s="305">
        <f>+'AZDU 2021'!H40/1000000</f>
        <v>13.970382780000001</v>
      </c>
      <c r="V175" s="305">
        <f>+'AZDU 2021'!I40/1000000</f>
        <v>5.0161757100000006</v>
      </c>
      <c r="W175" s="305">
        <f>+'AZDU 2021'!J40/1000000</f>
        <v>-6.5484719400000051</v>
      </c>
      <c r="X175" s="305">
        <f>+'AZDU 2021'!K40/1000000</f>
        <v>0.81468639000000809</v>
      </c>
      <c r="Y175" s="305">
        <f>+'AZDU 2021'!L40/1000000</f>
        <v>-1.2834490799999982</v>
      </c>
      <c r="Z175" s="305">
        <f>+'AZDU 2021'!M40/1000000</f>
        <v>2.3780138200000005</v>
      </c>
      <c r="AA175" s="305">
        <f>+'AZDU 2021'!N40/1000000</f>
        <v>-1.5470718500000089</v>
      </c>
    </row>
  </sheetData>
  <mergeCells count="40">
    <mergeCell ref="A141:L141"/>
    <mergeCell ref="A106:L106"/>
    <mergeCell ref="A71:L71"/>
    <mergeCell ref="A36:L36"/>
    <mergeCell ref="A1:L1"/>
    <mergeCell ref="N102:N103"/>
    <mergeCell ref="N168:N169"/>
    <mergeCell ref="N170:N171"/>
    <mergeCell ref="N172:N173"/>
    <mergeCell ref="N174:N175"/>
    <mergeCell ref="N141:AA162"/>
    <mergeCell ref="N164:N165"/>
    <mergeCell ref="N166:N167"/>
    <mergeCell ref="N137:N138"/>
    <mergeCell ref="N139:N140"/>
    <mergeCell ref="N104:N105"/>
    <mergeCell ref="N106:AA127"/>
    <mergeCell ref="N129:N130"/>
    <mergeCell ref="N131:N132"/>
    <mergeCell ref="N133:N134"/>
    <mergeCell ref="N135:N136"/>
    <mergeCell ref="N71:AA92"/>
    <mergeCell ref="N94:N95"/>
    <mergeCell ref="N96:N97"/>
    <mergeCell ref="N98:N99"/>
    <mergeCell ref="N100:N101"/>
    <mergeCell ref="N34:N35"/>
    <mergeCell ref="N1:AA22"/>
    <mergeCell ref="N36:AA57"/>
    <mergeCell ref="N59:N60"/>
    <mergeCell ref="N32:N33"/>
    <mergeCell ref="N24:N25"/>
    <mergeCell ref="N26:N27"/>
    <mergeCell ref="N28:N29"/>
    <mergeCell ref="N30:N31"/>
    <mergeCell ref="N61:N62"/>
    <mergeCell ref="N63:N64"/>
    <mergeCell ref="N65:N66"/>
    <mergeCell ref="N67:N68"/>
    <mergeCell ref="N69:N70"/>
  </mergeCells>
  <conditionalFormatting sqref="P23:AA23">
    <cfRule type="cellIs" dxfId="16" priority="8" operator="lessThan">
      <formula>-0.01</formula>
    </cfRule>
  </conditionalFormatting>
  <conditionalFormatting sqref="P58:AA58">
    <cfRule type="cellIs" dxfId="15" priority="4" operator="lessThan">
      <formula>-0.01</formula>
    </cfRule>
  </conditionalFormatting>
  <conditionalFormatting sqref="P93:AA93">
    <cfRule type="cellIs" dxfId="14" priority="3" operator="lessThan">
      <formula>-0.01</formula>
    </cfRule>
  </conditionalFormatting>
  <conditionalFormatting sqref="P128:AA128">
    <cfRule type="cellIs" dxfId="13" priority="2" operator="lessThan">
      <formula>-0.01</formula>
    </cfRule>
  </conditionalFormatting>
  <conditionalFormatting sqref="P163:AA163">
    <cfRule type="cellIs" dxfId="12" priority="1" operator="lessThan">
      <formula>-0.01</formula>
    </cfRule>
  </conditionalFormatting>
  <pageMargins left="0.24" right="0.19685039370078741" top="0.23622047244094491" bottom="0.19685039370078741" header="0.19685039370078741" footer="0.19685039370078741"/>
  <pageSetup paperSize="9" scale="102" orientation="landscape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49"/>
  <sheetViews>
    <sheetView view="pageBreakPreview" zoomScale="80" zoomScaleNormal="50" zoomScaleSheetLayoutView="80" workbookViewId="0">
      <pane xSplit="2" ySplit="6" topLeftCell="F7" activePane="bottomRight" state="frozen"/>
      <selection activeCell="C5" sqref="C5:D5"/>
      <selection pane="topRight" activeCell="C5" sqref="C5:D5"/>
      <selection pane="bottomLeft" activeCell="C5" sqref="C5:D5"/>
      <selection pane="bottomRight" activeCell="W6" sqref="W6:X6"/>
    </sheetView>
  </sheetViews>
  <sheetFormatPr baseColWidth="10" defaultColWidth="11.44140625" defaultRowHeight="23.4" x14ac:dyDescent="0.45"/>
  <cols>
    <col min="1" max="1" width="7.6640625" style="2" customWidth="1"/>
    <col min="2" max="2" width="62.33203125" style="2" customWidth="1"/>
    <col min="3" max="5" width="17.77734375" style="96" hidden="1" customWidth="1"/>
    <col min="6" max="6" width="17.77734375" style="152" customWidth="1"/>
    <col min="7" max="9" width="17.77734375" style="96" hidden="1" customWidth="1"/>
    <col min="10" max="10" width="17.77734375" style="152" customWidth="1"/>
    <col min="11" max="13" width="17.77734375" style="96" hidden="1" customWidth="1"/>
    <col min="14" max="14" width="17.77734375" style="152" customWidth="1"/>
    <col min="15" max="17" width="17.77734375" style="96" hidden="1" customWidth="1"/>
    <col min="18" max="18" width="17.77734375" style="141" hidden="1" customWidth="1"/>
    <col min="19" max="19" width="18.5546875" style="152" hidden="1" customWidth="1"/>
    <col min="20" max="20" width="12" style="168" bestFit="1" customWidth="1"/>
    <col min="21" max="21" width="11.44140625" style="1"/>
    <col min="22" max="22" width="49.88671875" style="1" bestFit="1" customWidth="1"/>
    <col min="23" max="24" width="22.21875" style="1" bestFit="1" customWidth="1"/>
    <col min="25" max="16384" width="11.44140625" style="1"/>
  </cols>
  <sheetData>
    <row r="1" spans="1:31" s="42" customFormat="1" ht="13.8" customHeight="1" x14ac:dyDescent="0.45">
      <c r="A1" s="25"/>
      <c r="B1" s="39">
        <v>126401650.40000001</v>
      </c>
      <c r="C1" s="97"/>
      <c r="D1" s="97"/>
      <c r="E1" s="97"/>
      <c r="F1" s="153"/>
      <c r="G1" s="97"/>
      <c r="H1" s="97"/>
      <c r="I1" s="97"/>
      <c r="J1" s="153"/>
      <c r="K1" s="97"/>
      <c r="L1" s="97"/>
      <c r="M1" s="97"/>
      <c r="N1" s="153"/>
      <c r="O1" s="97"/>
      <c r="P1" s="97"/>
      <c r="Q1" s="97"/>
      <c r="R1" s="161"/>
      <c r="S1" s="153"/>
      <c r="T1" s="173"/>
      <c r="U1" s="173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98"/>
      <c r="D2" s="98"/>
      <c r="E2" s="98"/>
      <c r="F2" s="154"/>
      <c r="G2" s="98"/>
      <c r="H2" s="98"/>
      <c r="I2" s="98"/>
      <c r="J2" s="154"/>
      <c r="K2" s="98"/>
      <c r="L2" s="98"/>
      <c r="M2" s="98"/>
      <c r="N2" s="154"/>
      <c r="O2" s="98"/>
      <c r="P2" s="98"/>
      <c r="Q2" s="98"/>
      <c r="R2" s="162"/>
      <c r="S2" s="154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4">
      <c r="A3" s="46"/>
      <c r="B3" s="47"/>
      <c r="C3" s="99"/>
      <c r="D3" s="99"/>
      <c r="E3" s="99"/>
      <c r="F3" s="155"/>
      <c r="G3" s="99"/>
      <c r="H3" s="99"/>
      <c r="I3" s="99"/>
      <c r="J3" s="155"/>
      <c r="K3" s="99"/>
      <c r="L3" s="99"/>
      <c r="M3" s="99"/>
      <c r="N3" s="155"/>
      <c r="O3" s="99"/>
      <c r="P3" s="99"/>
      <c r="Q3" s="99"/>
      <c r="R3" s="163"/>
      <c r="S3" s="155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4">
      <c r="A4" s="46"/>
      <c r="B4" s="46"/>
      <c r="C4" s="100"/>
      <c r="D4" s="100"/>
      <c r="E4" s="100"/>
      <c r="F4" s="156"/>
      <c r="G4" s="100"/>
      <c r="H4" s="100"/>
      <c r="I4" s="100"/>
      <c r="J4" s="156"/>
      <c r="K4" s="100"/>
      <c r="L4" s="100"/>
      <c r="M4" s="100"/>
      <c r="N4" s="156"/>
      <c r="O4" s="100"/>
      <c r="P4" s="100"/>
      <c r="Q4" s="100"/>
      <c r="R4" s="164"/>
      <c r="S4" s="156"/>
      <c r="T4" s="167"/>
    </row>
    <row r="5" spans="1:31" ht="25.8" x14ac:dyDescent="0.5">
      <c r="A5" s="358" t="s">
        <v>78</v>
      </c>
      <c r="B5" s="35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157"/>
    </row>
    <row r="6" spans="1:31" s="27" customFormat="1" ht="34.799999999999997" customHeight="1" x14ac:dyDescent="0.35">
      <c r="A6" s="113" t="s">
        <v>0</v>
      </c>
      <c r="B6" s="114" t="s">
        <v>1</v>
      </c>
      <c r="C6" s="132">
        <v>43831</v>
      </c>
      <c r="D6" s="132">
        <v>43862</v>
      </c>
      <c r="E6" s="132">
        <v>43891</v>
      </c>
      <c r="F6" s="180" t="s">
        <v>76</v>
      </c>
      <c r="G6" s="132">
        <v>43922</v>
      </c>
      <c r="H6" s="132">
        <v>43952</v>
      </c>
      <c r="I6" s="132">
        <v>43983</v>
      </c>
      <c r="J6" s="180" t="s">
        <v>77</v>
      </c>
      <c r="K6" s="132">
        <v>44013</v>
      </c>
      <c r="L6" s="132">
        <v>44044</v>
      </c>
      <c r="M6" s="132">
        <v>44075</v>
      </c>
      <c r="N6" s="180" t="s">
        <v>79</v>
      </c>
      <c r="O6" s="132">
        <v>44105</v>
      </c>
      <c r="P6" s="132">
        <v>44136</v>
      </c>
      <c r="Q6" s="132">
        <v>44166</v>
      </c>
      <c r="R6" s="132" t="s">
        <v>80</v>
      </c>
      <c r="S6" s="166" t="s">
        <v>59</v>
      </c>
      <c r="T6" s="169"/>
      <c r="W6" s="181" t="s">
        <v>83</v>
      </c>
      <c r="X6" s="181" t="s">
        <v>84</v>
      </c>
    </row>
    <row r="7" spans="1:31" s="29" customFormat="1" ht="30.75" customHeight="1" x14ac:dyDescent="0.35">
      <c r="A7" s="101"/>
      <c r="B7" s="79" t="s">
        <v>2</v>
      </c>
      <c r="C7" s="52">
        <v>72594616.900000006</v>
      </c>
      <c r="D7" s="52">
        <v>94859717.139999986</v>
      </c>
      <c r="E7" s="52">
        <v>93211833.340000004</v>
      </c>
      <c r="F7" s="142">
        <f>+C7+D7+E7</f>
        <v>260666167.38</v>
      </c>
      <c r="G7" s="52">
        <v>96220446.400000006</v>
      </c>
      <c r="H7" s="52">
        <v>152159875.80000001</v>
      </c>
      <c r="I7" s="52">
        <v>169560781.19999999</v>
      </c>
      <c r="J7" s="142">
        <f>+G7+H7+I7</f>
        <v>417941103.39999998</v>
      </c>
      <c r="K7" s="52">
        <v>126401650.40000001</v>
      </c>
      <c r="L7" s="52">
        <v>156058689.19999999</v>
      </c>
      <c r="M7" s="52">
        <v>207071804.28999999</v>
      </c>
      <c r="N7" s="142">
        <f>+K7+L7+M7</f>
        <v>489532143.88999999</v>
      </c>
      <c r="O7" s="52"/>
      <c r="P7" s="52"/>
      <c r="Q7" s="52"/>
      <c r="R7" s="133">
        <f>+O7+P7+Q7</f>
        <v>0</v>
      </c>
      <c r="S7" s="142">
        <f>+F7+J7+N7+R7</f>
        <v>1168139414.6700001</v>
      </c>
      <c r="T7" s="170">
        <v>1168.1394146700002</v>
      </c>
      <c r="V7" s="174" t="s">
        <v>2</v>
      </c>
      <c r="W7" s="175">
        <v>2196654860.6999998</v>
      </c>
      <c r="X7" s="175">
        <f>+F7+J7+N7</f>
        <v>1168139414.6700001</v>
      </c>
    </row>
    <row r="8" spans="1:31" s="29" customFormat="1" ht="30.75" customHeight="1" x14ac:dyDescent="0.35">
      <c r="A8" s="102"/>
      <c r="B8" s="80" t="s">
        <v>42</v>
      </c>
      <c r="C8" s="55"/>
      <c r="D8" s="55"/>
      <c r="E8" s="55"/>
      <c r="F8" s="143"/>
      <c r="G8" s="55"/>
      <c r="H8" s="55"/>
      <c r="I8" s="55"/>
      <c r="J8" s="143"/>
      <c r="K8" s="55"/>
      <c r="L8" s="55"/>
      <c r="M8" s="55">
        <v>0</v>
      </c>
      <c r="N8" s="143">
        <f t="shared" ref="N8:N11" si="0">+K8+L8+M8</f>
        <v>0</v>
      </c>
      <c r="O8" s="55"/>
      <c r="P8" s="55"/>
      <c r="Q8" s="55"/>
      <c r="R8" s="134"/>
      <c r="S8" s="143"/>
      <c r="T8" s="170"/>
      <c r="V8" s="176" t="s">
        <v>6</v>
      </c>
      <c r="W8" s="177">
        <v>2247419600.5699997</v>
      </c>
      <c r="X8" s="177">
        <f>+F12+J12+N12</f>
        <v>1249720513.6700001</v>
      </c>
    </row>
    <row r="9" spans="1:31" s="27" customFormat="1" ht="30.75" customHeight="1" x14ac:dyDescent="0.35">
      <c r="A9" s="102"/>
      <c r="B9" s="81" t="s">
        <v>3</v>
      </c>
      <c r="C9" s="55">
        <v>48358797.18</v>
      </c>
      <c r="D9" s="55">
        <v>40979243.36999999</v>
      </c>
      <c r="E9" s="55">
        <v>38245916.840000004</v>
      </c>
      <c r="F9" s="143">
        <f>+C9+D9+E9</f>
        <v>127583957.38999999</v>
      </c>
      <c r="G9" s="55">
        <v>-24135124.940000001</v>
      </c>
      <c r="H9" s="55">
        <v>-46137287.729999997</v>
      </c>
      <c r="I9" s="55">
        <v>36754850.969999999</v>
      </c>
      <c r="J9" s="143">
        <f>+G9+H9+I9</f>
        <v>-33517561.700000003</v>
      </c>
      <c r="K9" s="55">
        <v>4406531.5299999993</v>
      </c>
      <c r="L9" s="55">
        <v>8121768.0600000024</v>
      </c>
      <c r="M9" s="55">
        <v>-25473341.560000002</v>
      </c>
      <c r="N9" s="143">
        <f t="shared" si="0"/>
        <v>-12945041.970000001</v>
      </c>
      <c r="O9" s="55"/>
      <c r="P9" s="55"/>
      <c r="Q9" s="55"/>
      <c r="R9" s="134">
        <f>+O9+P9+Q9</f>
        <v>0</v>
      </c>
      <c r="S9" s="143">
        <f t="shared" ref="S9:S10" si="1">+F9+J9+N9+R9</f>
        <v>81121353.719999984</v>
      </c>
      <c r="T9" s="169"/>
      <c r="V9" s="176" t="s">
        <v>10</v>
      </c>
      <c r="W9" s="177">
        <v>1791262711.49</v>
      </c>
      <c r="X9" s="177">
        <f>+F15+J15+N15</f>
        <v>1011159068.8700001</v>
      </c>
    </row>
    <row r="10" spans="1:31" s="27" customFormat="1" ht="30.75" customHeight="1" x14ac:dyDescent="0.35">
      <c r="A10" s="102"/>
      <c r="B10" s="81" t="s">
        <v>4</v>
      </c>
      <c r="C10" s="55">
        <v>48635.77</v>
      </c>
      <c r="D10" s="55"/>
      <c r="E10" s="55"/>
      <c r="F10" s="143">
        <f>+C10+D10+E10</f>
        <v>48635.77</v>
      </c>
      <c r="G10" s="55"/>
      <c r="H10" s="55"/>
      <c r="I10" s="55">
        <v>86565.51</v>
      </c>
      <c r="J10" s="143">
        <f>+G10+H10+I10</f>
        <v>86565.51</v>
      </c>
      <c r="K10" s="55">
        <v>162272</v>
      </c>
      <c r="L10" s="55">
        <v>162272</v>
      </c>
      <c r="M10" s="55">
        <v>0</v>
      </c>
      <c r="N10" s="143">
        <f t="shared" si="0"/>
        <v>324544</v>
      </c>
      <c r="O10" s="55"/>
      <c r="P10" s="55"/>
      <c r="Q10" s="55"/>
      <c r="R10" s="134">
        <f>+O10+P10+Q10</f>
        <v>0</v>
      </c>
      <c r="S10" s="143">
        <f t="shared" si="1"/>
        <v>459745.28000000003</v>
      </c>
      <c r="T10" s="169"/>
      <c r="V10" s="174" t="s">
        <v>12</v>
      </c>
      <c r="W10" s="175">
        <v>456156889.07999969</v>
      </c>
      <c r="X10" s="175">
        <f>+F16+J16+N16</f>
        <v>238561444.79999983</v>
      </c>
    </row>
    <row r="11" spans="1:31" s="27" customFormat="1" ht="30.75" customHeight="1" thickBot="1" x14ac:dyDescent="0.4">
      <c r="A11" s="103"/>
      <c r="B11" s="82" t="s">
        <v>5</v>
      </c>
      <c r="C11" s="59"/>
      <c r="D11" s="59"/>
      <c r="E11" s="59"/>
      <c r="F11" s="144"/>
      <c r="G11" s="59"/>
      <c r="H11" s="59"/>
      <c r="I11" s="59"/>
      <c r="J11" s="144"/>
      <c r="K11" s="59"/>
      <c r="L11" s="59"/>
      <c r="M11" s="59">
        <v>0</v>
      </c>
      <c r="N11" s="144">
        <f t="shared" si="0"/>
        <v>0</v>
      </c>
      <c r="O11" s="59"/>
      <c r="P11" s="59"/>
      <c r="Q11" s="59"/>
      <c r="R11" s="135"/>
      <c r="S11" s="144"/>
      <c r="T11" s="169"/>
      <c r="V11" s="174" t="s">
        <v>44</v>
      </c>
      <c r="W11" s="175">
        <v>569541640.45000005</v>
      </c>
      <c r="X11" s="175">
        <f>+F17+J17+N17</f>
        <v>489999725.84999996</v>
      </c>
    </row>
    <row r="12" spans="1:31" s="27" customFormat="1" ht="30.75" customHeight="1" thickBot="1" x14ac:dyDescent="0.4">
      <c r="A12" s="104"/>
      <c r="B12" s="83" t="s">
        <v>6</v>
      </c>
      <c r="C12" s="62">
        <f>SUM(C7:C11)</f>
        <v>121002049.85000001</v>
      </c>
      <c r="D12" s="62">
        <f>SUM(D7:D11)</f>
        <v>135838960.50999999</v>
      </c>
      <c r="E12" s="62">
        <f>SUM(E7:E11)</f>
        <v>131457750.18000001</v>
      </c>
      <c r="F12" s="145">
        <f>SUM(F7:F11)</f>
        <v>388298760.53999996</v>
      </c>
      <c r="G12" s="62">
        <f t="shared" ref="G12:S12" si="2">SUM(G7:G11)</f>
        <v>72085321.460000008</v>
      </c>
      <c r="H12" s="62">
        <f t="shared" si="2"/>
        <v>106022588.07000002</v>
      </c>
      <c r="I12" s="62">
        <f t="shared" si="2"/>
        <v>206402197.67999998</v>
      </c>
      <c r="J12" s="145">
        <f t="shared" si="2"/>
        <v>384510107.20999998</v>
      </c>
      <c r="K12" s="62">
        <f t="shared" si="2"/>
        <v>130970453.93000001</v>
      </c>
      <c r="L12" s="62">
        <f t="shared" si="2"/>
        <v>164342729.25999999</v>
      </c>
      <c r="M12" s="62">
        <f t="shared" si="2"/>
        <v>181598462.72999999</v>
      </c>
      <c r="N12" s="145">
        <f t="shared" si="2"/>
        <v>476911645.91999996</v>
      </c>
      <c r="O12" s="62">
        <f t="shared" si="2"/>
        <v>0</v>
      </c>
      <c r="P12" s="62">
        <f t="shared" si="2"/>
        <v>0</v>
      </c>
      <c r="Q12" s="62">
        <f t="shared" si="2"/>
        <v>0</v>
      </c>
      <c r="R12" s="62">
        <f t="shared" si="2"/>
        <v>0</v>
      </c>
      <c r="S12" s="145">
        <f t="shared" si="2"/>
        <v>1249720513.6700001</v>
      </c>
      <c r="T12" s="170">
        <v>1249.7205136700002</v>
      </c>
      <c r="V12" s="174" t="s">
        <v>15</v>
      </c>
      <c r="W12" s="175">
        <v>-141668386.07000035</v>
      </c>
      <c r="X12" s="175">
        <f>+F19+J19+N19</f>
        <v>-264781555.41000015</v>
      </c>
    </row>
    <row r="13" spans="1:31" s="32" customFormat="1" ht="30.75" customHeight="1" x14ac:dyDescent="0.35">
      <c r="A13" s="105">
        <v>60</v>
      </c>
      <c r="B13" s="84" t="s">
        <v>7</v>
      </c>
      <c r="C13" s="65">
        <v>104036052.63</v>
      </c>
      <c r="D13" s="65">
        <v>101094146.48000002</v>
      </c>
      <c r="E13" s="65">
        <v>99773181.239999995</v>
      </c>
      <c r="F13" s="146">
        <f>+C13+D13+E13</f>
        <v>304903380.35000002</v>
      </c>
      <c r="G13" s="65">
        <v>60572071.119999997</v>
      </c>
      <c r="H13" s="65">
        <v>66082179.039999999</v>
      </c>
      <c r="I13" s="65">
        <v>140406268.16</v>
      </c>
      <c r="J13" s="146">
        <f>+G13+H13+I13</f>
        <v>267060518.31999999</v>
      </c>
      <c r="K13" s="65">
        <v>87479380.379999995</v>
      </c>
      <c r="L13" s="65">
        <v>126967071.13000001</v>
      </c>
      <c r="M13" s="65">
        <v>140220897.31999999</v>
      </c>
      <c r="N13" s="146">
        <f t="shared" ref="N13:N14" si="3">+K13+L13+M13</f>
        <v>354667348.82999998</v>
      </c>
      <c r="O13" s="65"/>
      <c r="P13" s="65"/>
      <c r="Q13" s="65"/>
      <c r="R13" s="136">
        <f>+O13+P13+Q13</f>
        <v>0</v>
      </c>
      <c r="S13" s="146">
        <f t="shared" ref="S13:S14" si="4">+F13+J13+N13+R13</f>
        <v>926631247.5</v>
      </c>
      <c r="T13" s="171"/>
      <c r="V13" s="176" t="s">
        <v>23</v>
      </c>
      <c r="W13" s="175">
        <v>-8876888.8800003529</v>
      </c>
      <c r="X13" s="175">
        <f>+F26+J26+N26</f>
        <v>-286522920.94000018</v>
      </c>
    </row>
    <row r="14" spans="1:31" s="32" customFormat="1" ht="30.75" customHeight="1" thickBot="1" x14ac:dyDescent="0.4">
      <c r="A14" s="106" t="s">
        <v>8</v>
      </c>
      <c r="B14" s="82" t="s">
        <v>43</v>
      </c>
      <c r="C14" s="59">
        <v>9812337.0800000001</v>
      </c>
      <c r="D14" s="59">
        <v>8156643.6099999994</v>
      </c>
      <c r="E14" s="59">
        <v>7628866.7300000004</v>
      </c>
      <c r="F14" s="144">
        <f>+C14+D14+E14</f>
        <v>25597847.419999998</v>
      </c>
      <c r="G14" s="59">
        <v>5861220.3200000003</v>
      </c>
      <c r="H14" s="59">
        <v>8246900.1799999997</v>
      </c>
      <c r="I14" s="59">
        <v>16582746.289999999</v>
      </c>
      <c r="J14" s="144">
        <f>+G14+H14+I14</f>
        <v>30690866.789999999</v>
      </c>
      <c r="K14" s="59">
        <v>6924604.7199999997</v>
      </c>
      <c r="L14" s="59">
        <v>11982708.220000001</v>
      </c>
      <c r="M14" s="59">
        <v>9331794.2200000007</v>
      </c>
      <c r="N14" s="144">
        <f t="shared" si="3"/>
        <v>28239107.160000004</v>
      </c>
      <c r="O14" s="59"/>
      <c r="P14" s="59"/>
      <c r="Q14" s="59"/>
      <c r="R14" s="135">
        <f>+O14+P14+Q14</f>
        <v>0</v>
      </c>
      <c r="S14" s="144">
        <f t="shared" si="4"/>
        <v>84527821.370000005</v>
      </c>
      <c r="T14" s="171"/>
      <c r="V14" s="178" t="s">
        <v>29</v>
      </c>
      <c r="W14" s="179">
        <v>13993203.129999638</v>
      </c>
      <c r="X14" s="179">
        <f>+F30+J30+N30</f>
        <v>-180484318.91000021</v>
      </c>
    </row>
    <row r="15" spans="1:31" s="27" customFormat="1" ht="30.75" customHeight="1" thickBot="1" x14ac:dyDescent="0.4">
      <c r="A15" s="107" t="s">
        <v>9</v>
      </c>
      <c r="B15" s="85" t="s">
        <v>10</v>
      </c>
      <c r="C15" s="62">
        <f>SUM(C13:C14)</f>
        <v>113848389.70999999</v>
      </c>
      <c r="D15" s="62">
        <f>SUM(D13:D14)</f>
        <v>109250790.09000002</v>
      </c>
      <c r="E15" s="62">
        <f>SUM(E13:E14)</f>
        <v>107402047.97</v>
      </c>
      <c r="F15" s="145">
        <f>SUM(F13:F14)</f>
        <v>330501227.77000004</v>
      </c>
      <c r="G15" s="62">
        <f t="shared" ref="G15:S15" si="5">SUM(G13:G14)</f>
        <v>66433291.439999998</v>
      </c>
      <c r="H15" s="62">
        <f t="shared" si="5"/>
        <v>74329079.219999999</v>
      </c>
      <c r="I15" s="62">
        <f t="shared" si="5"/>
        <v>156989014.44999999</v>
      </c>
      <c r="J15" s="145">
        <f t="shared" si="5"/>
        <v>297751385.11000001</v>
      </c>
      <c r="K15" s="62">
        <f t="shared" si="5"/>
        <v>94403985.099999994</v>
      </c>
      <c r="L15" s="62">
        <f t="shared" si="5"/>
        <v>138949779.35000002</v>
      </c>
      <c r="M15" s="62">
        <f t="shared" si="5"/>
        <v>149552691.53999999</v>
      </c>
      <c r="N15" s="145">
        <f t="shared" si="5"/>
        <v>382906455.99000001</v>
      </c>
      <c r="O15" s="62">
        <f t="shared" si="5"/>
        <v>0</v>
      </c>
      <c r="P15" s="62">
        <f t="shared" si="5"/>
        <v>0</v>
      </c>
      <c r="Q15" s="62">
        <f t="shared" si="5"/>
        <v>0</v>
      </c>
      <c r="R15" s="62">
        <f t="shared" si="5"/>
        <v>0</v>
      </c>
      <c r="S15" s="145">
        <f t="shared" si="5"/>
        <v>1011159068.87</v>
      </c>
      <c r="T15" s="169"/>
      <c r="V15" s="178" t="s">
        <v>41</v>
      </c>
      <c r="W15" s="179">
        <v>18813604.409999639</v>
      </c>
      <c r="X15" s="179">
        <f>+F39+J39+N39</f>
        <v>-180494318.91000021</v>
      </c>
    </row>
    <row r="16" spans="1:31" s="27" customFormat="1" ht="30.75" customHeight="1" thickBot="1" x14ac:dyDescent="0.4">
      <c r="A16" s="108" t="s">
        <v>11</v>
      </c>
      <c r="B16" s="86" t="s">
        <v>12</v>
      </c>
      <c r="C16" s="68">
        <f>+C12-C15</f>
        <v>7153660.1400000155</v>
      </c>
      <c r="D16" s="68">
        <f>+D12-D15</f>
        <v>26588170.419999972</v>
      </c>
      <c r="E16" s="68">
        <f>+E12-E15</f>
        <v>24055702.210000008</v>
      </c>
      <c r="F16" s="147">
        <f>+F12-F15</f>
        <v>57797532.769999921</v>
      </c>
      <c r="G16" s="68">
        <f t="shared" ref="G16:S16" si="6">+G12-G15</f>
        <v>5652030.0200000107</v>
      </c>
      <c r="H16" s="68">
        <f t="shared" si="6"/>
        <v>31693508.850000024</v>
      </c>
      <c r="I16" s="68">
        <f t="shared" si="6"/>
        <v>49413183.229999989</v>
      </c>
      <c r="J16" s="147">
        <f t="shared" si="6"/>
        <v>86758722.099999964</v>
      </c>
      <c r="K16" s="68">
        <f t="shared" si="6"/>
        <v>36566468.830000013</v>
      </c>
      <c r="L16" s="68">
        <f t="shared" si="6"/>
        <v>25392949.909999967</v>
      </c>
      <c r="M16" s="68">
        <f t="shared" si="6"/>
        <v>32045771.189999998</v>
      </c>
      <c r="N16" s="147">
        <f t="shared" si="6"/>
        <v>94005189.929999948</v>
      </c>
      <c r="O16" s="68">
        <f t="shared" si="6"/>
        <v>0</v>
      </c>
      <c r="P16" s="68">
        <f t="shared" si="6"/>
        <v>0</v>
      </c>
      <c r="Q16" s="68">
        <f t="shared" si="6"/>
        <v>0</v>
      </c>
      <c r="R16" s="68">
        <f t="shared" si="6"/>
        <v>0</v>
      </c>
      <c r="S16" s="147">
        <f t="shared" si="6"/>
        <v>238561444.80000007</v>
      </c>
      <c r="T16" s="170">
        <v>238.56144480000006</v>
      </c>
      <c r="V16" s="174" t="s">
        <v>81</v>
      </c>
      <c r="W16" s="175"/>
      <c r="X16" s="175"/>
    </row>
    <row r="17" spans="1:24" s="32" customFormat="1" ht="30.75" customHeight="1" x14ac:dyDescent="0.35">
      <c r="A17" s="105">
        <v>63</v>
      </c>
      <c r="B17" s="84" t="s">
        <v>44</v>
      </c>
      <c r="C17" s="65">
        <v>49109086.020000003</v>
      </c>
      <c r="D17" s="65">
        <v>50108682.780000001</v>
      </c>
      <c r="E17" s="65">
        <v>52597598.100000001</v>
      </c>
      <c r="F17" s="146">
        <f>+C17+D17+E17</f>
        <v>151815366.90000001</v>
      </c>
      <c r="G17" s="65">
        <v>52168291.420000002</v>
      </c>
      <c r="H17" s="65">
        <v>50447913.079999998</v>
      </c>
      <c r="I17" s="65">
        <v>50249244.259999998</v>
      </c>
      <c r="J17" s="146">
        <f>+G17+H17+I17</f>
        <v>152865448.75999999</v>
      </c>
      <c r="K17" s="65">
        <v>60985343.339999996</v>
      </c>
      <c r="L17" s="65">
        <v>59967406.759999998</v>
      </c>
      <c r="M17" s="65">
        <v>64366160.089999996</v>
      </c>
      <c r="N17" s="146">
        <f t="shared" ref="N17:N18" si="7">+K17+L17+M17</f>
        <v>185318910.19</v>
      </c>
      <c r="O17" s="65"/>
      <c r="P17" s="65"/>
      <c r="Q17" s="65"/>
      <c r="R17" s="136">
        <f>+O17+P17+Q17</f>
        <v>0</v>
      </c>
      <c r="S17" s="146">
        <f t="shared" ref="S17:S18" si="8">+F17+J17+N17+R17</f>
        <v>489999725.84999996</v>
      </c>
      <c r="T17" s="170">
        <v>489.99972584999995</v>
      </c>
      <c r="V17" s="176" t="s">
        <v>82</v>
      </c>
      <c r="W17" s="175"/>
      <c r="X17" s="175"/>
    </row>
    <row r="18" spans="1:24" s="32" customFormat="1" ht="30.75" customHeight="1" thickBot="1" x14ac:dyDescent="0.4">
      <c r="A18" s="106">
        <v>64</v>
      </c>
      <c r="B18" s="82" t="s">
        <v>13</v>
      </c>
      <c r="C18" s="59">
        <v>919180</v>
      </c>
      <c r="D18" s="59">
        <v>1000748.56</v>
      </c>
      <c r="E18" s="59">
        <v>864798.37</v>
      </c>
      <c r="F18" s="144">
        <f>+C18+D18+E18</f>
        <v>2784726.93</v>
      </c>
      <c r="G18" s="59">
        <v>948810.18</v>
      </c>
      <c r="H18" s="59">
        <v>1927733.56</v>
      </c>
      <c r="I18" s="59">
        <v>1628390.23</v>
      </c>
      <c r="J18" s="144">
        <f>+G18+H18+I18</f>
        <v>4504933.9700000007</v>
      </c>
      <c r="K18" s="59">
        <v>2342790.96</v>
      </c>
      <c r="L18" s="59">
        <v>1593543.83</v>
      </c>
      <c r="M18" s="59">
        <v>2117278.67</v>
      </c>
      <c r="N18" s="144">
        <f t="shared" si="7"/>
        <v>6053613.46</v>
      </c>
      <c r="O18" s="59"/>
      <c r="P18" s="59"/>
      <c r="Q18" s="59"/>
      <c r="R18" s="135">
        <f>+O18+P18+Q18</f>
        <v>0</v>
      </c>
      <c r="S18" s="144">
        <f t="shared" si="8"/>
        <v>13343274.359999999</v>
      </c>
      <c r="T18" s="171"/>
    </row>
    <row r="19" spans="1:24" s="27" customFormat="1" ht="30.75" customHeight="1" thickBot="1" x14ac:dyDescent="0.4">
      <c r="A19" s="107" t="s">
        <v>14</v>
      </c>
      <c r="B19" s="85" t="s">
        <v>15</v>
      </c>
      <c r="C19" s="62">
        <f>+C16-C17-C18</f>
        <v>-42874605.879999988</v>
      </c>
      <c r="D19" s="62">
        <f>+D16-D17-D18</f>
        <v>-24521260.920000028</v>
      </c>
      <c r="E19" s="62">
        <f>+E16-E17-E18</f>
        <v>-29406694.259999994</v>
      </c>
      <c r="F19" s="145">
        <f>+F16-F17-F18</f>
        <v>-96802561.060000092</v>
      </c>
      <c r="G19" s="62">
        <f t="shared" ref="G19:S19" si="9">+G16-G17-G18</f>
        <v>-47465071.579999991</v>
      </c>
      <c r="H19" s="62">
        <f t="shared" si="9"/>
        <v>-20682137.789999973</v>
      </c>
      <c r="I19" s="62">
        <f t="shared" si="9"/>
        <v>-2464451.2600000086</v>
      </c>
      <c r="J19" s="145">
        <f t="shared" si="9"/>
        <v>-70611660.630000025</v>
      </c>
      <c r="K19" s="62">
        <f t="shared" si="9"/>
        <v>-26761665.469999984</v>
      </c>
      <c r="L19" s="62">
        <f t="shared" si="9"/>
        <v>-36168000.68000003</v>
      </c>
      <c r="M19" s="62">
        <f t="shared" si="9"/>
        <v>-34437667.57</v>
      </c>
      <c r="N19" s="145">
        <f t="shared" si="9"/>
        <v>-97367333.720000044</v>
      </c>
      <c r="O19" s="62">
        <f t="shared" si="9"/>
        <v>0</v>
      </c>
      <c r="P19" s="62">
        <f t="shared" si="9"/>
        <v>0</v>
      </c>
      <c r="Q19" s="62">
        <f t="shared" si="9"/>
        <v>0</v>
      </c>
      <c r="R19" s="62">
        <f t="shared" si="9"/>
        <v>0</v>
      </c>
      <c r="S19" s="145">
        <f t="shared" si="9"/>
        <v>-264781555.40999991</v>
      </c>
      <c r="T19" s="170">
        <v>-264.7815554099999</v>
      </c>
    </row>
    <row r="20" spans="1:24" s="32" customFormat="1" ht="30.75" customHeight="1" x14ac:dyDescent="0.35">
      <c r="A20" s="105">
        <v>75</v>
      </c>
      <c r="B20" s="84" t="s">
        <v>16</v>
      </c>
      <c r="C20" s="52">
        <v>45200</v>
      </c>
      <c r="D20" s="52">
        <v>126781.18999999994</v>
      </c>
      <c r="E20" s="52">
        <v>456500</v>
      </c>
      <c r="F20" s="142">
        <f>+C20+D20+E20</f>
        <v>628481.18999999994</v>
      </c>
      <c r="G20" s="52">
        <v>0.01</v>
      </c>
      <c r="H20" s="52">
        <v>26143251.710000001</v>
      </c>
      <c r="I20" s="52">
        <v>108168.97</v>
      </c>
      <c r="J20" s="142">
        <f>+G20+H20+I20</f>
        <v>26251420.690000001</v>
      </c>
      <c r="K20" s="52">
        <v>108160</v>
      </c>
      <c r="L20" s="52">
        <v>37520.57</v>
      </c>
      <c r="M20" s="52">
        <v>32263107.550000001</v>
      </c>
      <c r="N20" s="142">
        <f t="shared" ref="N20:N25" si="10">+K20+L20+M20</f>
        <v>32408788.120000001</v>
      </c>
      <c r="O20" s="52"/>
      <c r="P20" s="52"/>
      <c r="Q20" s="52"/>
      <c r="R20" s="133">
        <f>+O20+P20+Q20</f>
        <v>0</v>
      </c>
      <c r="S20" s="142">
        <f t="shared" ref="S20:S21" si="11">+F20+J20+N20+R20</f>
        <v>59288690</v>
      </c>
      <c r="T20" s="171"/>
    </row>
    <row r="21" spans="1:24" s="32" customFormat="1" ht="30.75" customHeight="1" x14ac:dyDescent="0.35">
      <c r="A21" s="109">
        <v>65</v>
      </c>
      <c r="B21" s="81" t="s">
        <v>17</v>
      </c>
      <c r="C21" s="55">
        <v>559002.49</v>
      </c>
      <c r="D21" s="55">
        <v>135320</v>
      </c>
      <c r="E21" s="55">
        <v>234450.71</v>
      </c>
      <c r="F21" s="143">
        <f>+C21+D21+E21</f>
        <v>928773.2</v>
      </c>
      <c r="G21" s="55">
        <v>136065.91</v>
      </c>
      <c r="H21" s="55">
        <v>370938.53</v>
      </c>
      <c r="I21" s="55">
        <v>570095.81000000006</v>
      </c>
      <c r="J21" s="143">
        <f>+G21+H21+I21</f>
        <v>1077100.25</v>
      </c>
      <c r="K21" s="55"/>
      <c r="L21" s="55"/>
      <c r="M21" s="55">
        <v>4870066.92</v>
      </c>
      <c r="N21" s="143">
        <f t="shared" si="10"/>
        <v>4870066.92</v>
      </c>
      <c r="O21" s="55"/>
      <c r="P21" s="55"/>
      <c r="Q21" s="55"/>
      <c r="R21" s="134">
        <f>+O21+P21+Q21</f>
        <v>0</v>
      </c>
      <c r="S21" s="143">
        <f t="shared" si="11"/>
        <v>6875940.3700000001</v>
      </c>
      <c r="T21" s="171"/>
    </row>
    <row r="22" spans="1:24" s="27" customFormat="1" ht="30.75" customHeight="1" x14ac:dyDescent="0.35">
      <c r="A22" s="109"/>
      <c r="B22" s="87" t="s">
        <v>18</v>
      </c>
      <c r="C22" s="71"/>
      <c r="D22" s="71"/>
      <c r="E22" s="71"/>
      <c r="F22" s="143"/>
      <c r="G22" s="71"/>
      <c r="H22" s="71"/>
      <c r="I22" s="71"/>
      <c r="J22" s="143"/>
      <c r="K22" s="71"/>
      <c r="L22" s="71"/>
      <c r="M22" s="71">
        <v>0</v>
      </c>
      <c r="N22" s="143">
        <f t="shared" si="10"/>
        <v>0</v>
      </c>
      <c r="O22" s="71"/>
      <c r="P22" s="71"/>
      <c r="Q22" s="71"/>
      <c r="R22" s="137"/>
      <c r="S22" s="143"/>
      <c r="T22" s="169"/>
    </row>
    <row r="23" spans="1:24" s="27" customFormat="1" ht="30.75" customHeight="1" x14ac:dyDescent="0.35">
      <c r="A23" s="109"/>
      <c r="B23" s="87" t="s">
        <v>19</v>
      </c>
      <c r="C23" s="71"/>
      <c r="D23" s="71"/>
      <c r="E23" s="71"/>
      <c r="F23" s="143"/>
      <c r="G23" s="71"/>
      <c r="H23" s="71"/>
      <c r="I23" s="71"/>
      <c r="J23" s="143"/>
      <c r="K23" s="71"/>
      <c r="L23" s="71"/>
      <c r="M23" s="71">
        <v>0</v>
      </c>
      <c r="N23" s="143">
        <f t="shared" si="10"/>
        <v>0</v>
      </c>
      <c r="O23" s="71"/>
      <c r="P23" s="71"/>
      <c r="Q23" s="71"/>
      <c r="R23" s="137"/>
      <c r="S23" s="143"/>
      <c r="T23" s="169"/>
    </row>
    <row r="24" spans="1:24" s="32" customFormat="1" ht="30.75" customHeight="1" x14ac:dyDescent="0.35">
      <c r="A24" s="109">
        <v>68</v>
      </c>
      <c r="B24" s="81" t="s">
        <v>20</v>
      </c>
      <c r="C24" s="55">
        <v>7548276.8499999996</v>
      </c>
      <c r="D24" s="55">
        <v>7621104.040000001</v>
      </c>
      <c r="E24" s="55">
        <v>7920123.5700000003</v>
      </c>
      <c r="F24" s="143">
        <f>+C24+D24+E24</f>
        <v>23089504.460000001</v>
      </c>
      <c r="G24" s="55">
        <v>7958704.75</v>
      </c>
      <c r="H24" s="55">
        <v>8170645.1100000003</v>
      </c>
      <c r="I24" s="55">
        <v>8166580.1699999999</v>
      </c>
      <c r="J24" s="143">
        <f>+G24+H24+I24</f>
        <v>24295930.030000001</v>
      </c>
      <c r="K24" s="55">
        <v>9204911.6600000001</v>
      </c>
      <c r="L24" s="55">
        <v>9383746.2800000012</v>
      </c>
      <c r="M24" s="55">
        <v>8180022.7299999986</v>
      </c>
      <c r="N24" s="143">
        <f t="shared" si="10"/>
        <v>26768680.670000002</v>
      </c>
      <c r="O24" s="55"/>
      <c r="P24" s="55"/>
      <c r="Q24" s="55"/>
      <c r="R24" s="134">
        <f>+O24+P24+Q24</f>
        <v>0</v>
      </c>
      <c r="S24" s="143">
        <f>+F24+J24+N24+R24</f>
        <v>74154115.159999996</v>
      </c>
      <c r="T24" s="171"/>
    </row>
    <row r="25" spans="1:24" s="32" customFormat="1" ht="30.75" customHeight="1" thickBot="1" x14ac:dyDescent="0.4">
      <c r="A25" s="106">
        <v>78</v>
      </c>
      <c r="B25" s="82" t="s">
        <v>21</v>
      </c>
      <c r="C25" s="59"/>
      <c r="D25" s="59"/>
      <c r="E25" s="59"/>
      <c r="F25" s="144"/>
      <c r="G25" s="59"/>
      <c r="H25" s="59"/>
      <c r="I25" s="59"/>
      <c r="J25" s="144"/>
      <c r="K25" s="59"/>
      <c r="L25" s="59"/>
      <c r="M25" s="59">
        <v>0</v>
      </c>
      <c r="N25" s="144">
        <f t="shared" si="10"/>
        <v>0</v>
      </c>
      <c r="O25" s="59"/>
      <c r="P25" s="59"/>
      <c r="Q25" s="59"/>
      <c r="R25" s="135"/>
      <c r="S25" s="144"/>
      <c r="T25" s="171"/>
    </row>
    <row r="26" spans="1:24" s="27" customFormat="1" ht="30.75" customHeight="1" thickBot="1" x14ac:dyDescent="0.4">
      <c r="A26" s="107" t="s">
        <v>22</v>
      </c>
      <c r="B26" s="85" t="s">
        <v>23</v>
      </c>
      <c r="C26" s="62">
        <f>+C19+C20-(C21+C22+C23+C24)+C25</f>
        <v>-50936685.219999984</v>
      </c>
      <c r="D26" s="62">
        <f>+D19+D20-(D21+D22+D23+D24)+D25</f>
        <v>-32150903.770000026</v>
      </c>
      <c r="E26" s="62">
        <f>+E19+E20-(E21+E22+E23+E24)+E25</f>
        <v>-37104768.539999992</v>
      </c>
      <c r="F26" s="145">
        <f>+F19+F20-(F21+F22+F23+F24)+F25</f>
        <v>-120192357.53000009</v>
      </c>
      <c r="G26" s="62">
        <f t="shared" ref="G26:S26" si="12">+G19+G20-(G21+G22+G23+G24)+G25</f>
        <v>-55559842.229999989</v>
      </c>
      <c r="H26" s="62">
        <f>+H19+H20-(H21+H22+H23+H24)+H25</f>
        <v>-3080469.7199999727</v>
      </c>
      <c r="I26" s="62">
        <f t="shared" si="12"/>
        <v>-11092958.270000009</v>
      </c>
      <c r="J26" s="145">
        <f t="shared" si="12"/>
        <v>-69733270.220000029</v>
      </c>
      <c r="K26" s="62">
        <f t="shared" si="12"/>
        <v>-35858417.12999998</v>
      </c>
      <c r="L26" s="62">
        <f t="shared" si="12"/>
        <v>-45514226.39000003</v>
      </c>
      <c r="M26" s="62">
        <f t="shared" si="12"/>
        <v>-15224649.669999998</v>
      </c>
      <c r="N26" s="145">
        <f t="shared" si="12"/>
        <v>-96597293.190000042</v>
      </c>
      <c r="O26" s="62">
        <f t="shared" si="12"/>
        <v>0</v>
      </c>
      <c r="P26" s="62">
        <f t="shared" si="12"/>
        <v>0</v>
      </c>
      <c r="Q26" s="62">
        <f t="shared" si="12"/>
        <v>0</v>
      </c>
      <c r="R26" s="62">
        <f t="shared" si="12"/>
        <v>0</v>
      </c>
      <c r="S26" s="145">
        <f t="shared" si="12"/>
        <v>-286522920.93999994</v>
      </c>
      <c r="T26" s="169"/>
    </row>
    <row r="27" spans="1:24" s="32" customFormat="1" ht="30.75" customHeight="1" x14ac:dyDescent="0.35">
      <c r="A27" s="105">
        <v>76</v>
      </c>
      <c r="B27" s="84" t="s">
        <v>24</v>
      </c>
      <c r="C27" s="52">
        <v>105137.29</v>
      </c>
      <c r="D27" s="52">
        <v>12624.660000000003</v>
      </c>
      <c r="E27" s="52">
        <v>33333.01</v>
      </c>
      <c r="F27" s="142">
        <f>+C27+D27+E27</f>
        <v>151094.96</v>
      </c>
      <c r="G27" s="52">
        <v>161789942.91</v>
      </c>
      <c r="H27" s="52">
        <v>112866.48</v>
      </c>
      <c r="I27" s="52">
        <v>12508637.1</v>
      </c>
      <c r="J27" s="142">
        <f>+G27+H27+I27</f>
        <v>174411446.48999998</v>
      </c>
      <c r="K27" s="52"/>
      <c r="L27" s="52"/>
      <c r="M27" s="52">
        <v>0</v>
      </c>
      <c r="N27" s="142">
        <f t="shared" ref="N27:N28" si="13">+K27+L27+M27</f>
        <v>0</v>
      </c>
      <c r="O27" s="52"/>
      <c r="P27" s="52"/>
      <c r="Q27" s="52"/>
      <c r="R27" s="133">
        <f>+O27+P27+Q27</f>
        <v>0</v>
      </c>
      <c r="S27" s="142">
        <f t="shared" ref="S27:S28" si="14">+F27+J27+N27+R27</f>
        <v>174562541.44999999</v>
      </c>
      <c r="T27" s="171"/>
    </row>
    <row r="28" spans="1:24" s="32" customFormat="1" ht="30.75" customHeight="1" thickBot="1" x14ac:dyDescent="0.4">
      <c r="A28" s="106">
        <v>66</v>
      </c>
      <c r="B28" s="82" t="s">
        <v>25</v>
      </c>
      <c r="C28" s="59">
        <v>162173.32999999999</v>
      </c>
      <c r="D28" s="59"/>
      <c r="E28" s="59"/>
      <c r="F28" s="144">
        <f>+C28+D28+E28</f>
        <v>162173.32999999999</v>
      </c>
      <c r="G28" s="59">
        <v>37119.15</v>
      </c>
      <c r="H28" s="59">
        <v>310127.67</v>
      </c>
      <c r="I28" s="59">
        <v>57139519.270000003</v>
      </c>
      <c r="J28" s="144">
        <f>+G28+H28+I28</f>
        <v>57486766.090000004</v>
      </c>
      <c r="K28" s="59"/>
      <c r="L28" s="59"/>
      <c r="M28" s="59">
        <v>10875000</v>
      </c>
      <c r="N28" s="144">
        <f t="shared" si="13"/>
        <v>10875000</v>
      </c>
      <c r="O28" s="59"/>
      <c r="P28" s="59"/>
      <c r="Q28" s="59"/>
      <c r="R28" s="135">
        <f>+O28+P28+Q28</f>
        <v>0</v>
      </c>
      <c r="S28" s="144">
        <f t="shared" si="14"/>
        <v>68523939.420000002</v>
      </c>
      <c r="T28" s="171"/>
    </row>
    <row r="29" spans="1:24" s="27" customFormat="1" ht="30.75" customHeight="1" thickBot="1" x14ac:dyDescent="0.4">
      <c r="A29" s="107" t="s">
        <v>26</v>
      </c>
      <c r="B29" s="85" t="s">
        <v>27</v>
      </c>
      <c r="C29" s="62">
        <f>+C27-C28</f>
        <v>-57036.039999999994</v>
      </c>
      <c r="D29" s="62">
        <f>+D27-D28</f>
        <v>12624.660000000003</v>
      </c>
      <c r="E29" s="62">
        <f>+E27-E28</f>
        <v>33333.01</v>
      </c>
      <c r="F29" s="145">
        <f>+F27-F28</f>
        <v>-11078.369999999995</v>
      </c>
      <c r="G29" s="62">
        <f t="shared" ref="G29:S29" si="15">+G27-G28</f>
        <v>161752823.75999999</v>
      </c>
      <c r="H29" s="62">
        <f t="shared" si="15"/>
        <v>-197261.19</v>
      </c>
      <c r="I29" s="62">
        <f t="shared" si="15"/>
        <v>-44630882.170000002</v>
      </c>
      <c r="J29" s="145">
        <f>+J27-J28</f>
        <v>116924680.39999998</v>
      </c>
      <c r="K29" s="62">
        <f t="shared" si="15"/>
        <v>0</v>
      </c>
      <c r="L29" s="62">
        <f t="shared" si="15"/>
        <v>0</v>
      </c>
      <c r="M29" s="62">
        <f t="shared" si="15"/>
        <v>-10875000</v>
      </c>
      <c r="N29" s="145">
        <f t="shared" si="15"/>
        <v>-10875000</v>
      </c>
      <c r="O29" s="62">
        <f t="shared" si="15"/>
        <v>0</v>
      </c>
      <c r="P29" s="62">
        <f t="shared" si="15"/>
        <v>0</v>
      </c>
      <c r="Q29" s="62">
        <f t="shared" si="15"/>
        <v>0</v>
      </c>
      <c r="R29" s="62">
        <f>+R27-R28</f>
        <v>0</v>
      </c>
      <c r="S29" s="145">
        <f t="shared" si="15"/>
        <v>106038602.02999999</v>
      </c>
      <c r="T29" s="169"/>
    </row>
    <row r="30" spans="1:24" s="27" customFormat="1" ht="30.75" customHeight="1" thickBot="1" x14ac:dyDescent="0.4">
      <c r="A30" s="107" t="s">
        <v>28</v>
      </c>
      <c r="B30" s="85" t="s">
        <v>29</v>
      </c>
      <c r="C30" s="62">
        <f>+C26+C29</f>
        <v>-50993721.259999983</v>
      </c>
      <c r="D30" s="62">
        <f>+D26+D29</f>
        <v>-32138279.110000025</v>
      </c>
      <c r="E30" s="62">
        <f>+E26+E29</f>
        <v>-37071435.529999994</v>
      </c>
      <c r="F30" s="145">
        <f>+F26+F29</f>
        <v>-120203435.9000001</v>
      </c>
      <c r="G30" s="62">
        <f t="shared" ref="G30:S30" si="16">+G26+G29</f>
        <v>106192981.53</v>
      </c>
      <c r="H30" s="62">
        <f t="shared" si="16"/>
        <v>-3277730.9099999727</v>
      </c>
      <c r="I30" s="62">
        <f t="shared" si="16"/>
        <v>-55723840.440000013</v>
      </c>
      <c r="J30" s="145">
        <f>+J26+J29</f>
        <v>47191410.179999948</v>
      </c>
      <c r="K30" s="62">
        <f t="shared" si="16"/>
        <v>-35858417.12999998</v>
      </c>
      <c r="L30" s="62">
        <f t="shared" si="16"/>
        <v>-45514226.39000003</v>
      </c>
      <c r="M30" s="62">
        <f t="shared" si="16"/>
        <v>-26099649.669999998</v>
      </c>
      <c r="N30" s="145">
        <f t="shared" si="16"/>
        <v>-107472293.19000004</v>
      </c>
      <c r="O30" s="62">
        <f t="shared" si="16"/>
        <v>0</v>
      </c>
      <c r="P30" s="62">
        <f t="shared" si="16"/>
        <v>0</v>
      </c>
      <c r="Q30" s="62">
        <f t="shared" si="16"/>
        <v>0</v>
      </c>
      <c r="R30" s="62">
        <f>+R26+R29</f>
        <v>0</v>
      </c>
      <c r="S30" s="145">
        <f t="shared" si="16"/>
        <v>-180484318.90999997</v>
      </c>
      <c r="T30" s="169"/>
    </row>
    <row r="31" spans="1:24" s="32" customFormat="1" ht="30.75" customHeight="1" x14ac:dyDescent="0.35">
      <c r="A31" s="105" t="s">
        <v>30</v>
      </c>
      <c r="B31" s="84" t="s">
        <v>31</v>
      </c>
      <c r="C31" s="52"/>
      <c r="D31" s="52"/>
      <c r="E31" s="52"/>
      <c r="F31" s="142"/>
      <c r="G31" s="52"/>
      <c r="H31" s="52"/>
      <c r="I31" s="52">
        <v>-10000</v>
      </c>
      <c r="J31" s="142">
        <f>+G31+H31+I31</f>
        <v>-10000</v>
      </c>
      <c r="K31" s="52"/>
      <c r="L31" s="52"/>
      <c r="M31" s="52"/>
      <c r="N31" s="142">
        <f t="shared" ref="N31:N34" si="17">+K31+L31+M31</f>
        <v>0</v>
      </c>
      <c r="O31" s="52"/>
      <c r="P31" s="52"/>
      <c r="Q31" s="52"/>
      <c r="R31" s="133">
        <f>+O31+P31+Q31</f>
        <v>0</v>
      </c>
      <c r="S31" s="142">
        <f>+F31+J31+N31+R31</f>
        <v>-10000</v>
      </c>
      <c r="T31" s="171"/>
    </row>
    <row r="32" spans="1:24" s="32" customFormat="1" ht="30.75" customHeight="1" x14ac:dyDescent="0.35">
      <c r="A32" s="109" t="s">
        <v>32</v>
      </c>
      <c r="B32" s="81" t="s">
        <v>33</v>
      </c>
      <c r="C32" s="55"/>
      <c r="D32" s="55"/>
      <c r="E32" s="55"/>
      <c r="F32" s="143"/>
      <c r="G32" s="55"/>
      <c r="H32" s="55">
        <f>+H33+H27</f>
        <v>132391572.74000004</v>
      </c>
      <c r="I32" s="55"/>
      <c r="J32" s="143"/>
      <c r="K32" s="55"/>
      <c r="L32" s="55"/>
      <c r="M32" s="55"/>
      <c r="N32" s="143">
        <f t="shared" si="17"/>
        <v>0</v>
      </c>
      <c r="O32" s="55"/>
      <c r="P32" s="55"/>
      <c r="Q32" s="55"/>
      <c r="R32" s="134"/>
      <c r="S32" s="143"/>
      <c r="T32" s="171"/>
    </row>
    <row r="33" spans="1:20" s="37" customFormat="1" ht="30.75" customHeight="1" x14ac:dyDescent="0.35">
      <c r="A33" s="110"/>
      <c r="B33" s="88" t="s">
        <v>45</v>
      </c>
      <c r="C33" s="75">
        <f t="shared" ref="C33:H33" si="18">+C12+C20+C27</f>
        <v>121152387.14000002</v>
      </c>
      <c r="D33" s="75">
        <f t="shared" si="18"/>
        <v>135978366.35999998</v>
      </c>
      <c r="E33" s="75">
        <f t="shared" si="18"/>
        <v>131947583.19000001</v>
      </c>
      <c r="F33" s="148">
        <f t="shared" si="18"/>
        <v>389078336.68999994</v>
      </c>
      <c r="G33" s="75">
        <f t="shared" si="18"/>
        <v>233875264.38</v>
      </c>
      <c r="H33" s="75">
        <f t="shared" si="18"/>
        <v>132278706.26000004</v>
      </c>
      <c r="I33" s="75">
        <f t="shared" ref="I33:S33" si="19">+I12+I20+I27</f>
        <v>219019003.74999997</v>
      </c>
      <c r="J33" s="148">
        <f>+J12+J20+J27</f>
        <v>585172974.38999999</v>
      </c>
      <c r="K33" s="75">
        <f t="shared" si="19"/>
        <v>131078613.93000001</v>
      </c>
      <c r="L33" s="75">
        <f t="shared" si="19"/>
        <v>164380249.82999998</v>
      </c>
      <c r="M33" s="75">
        <f t="shared" si="19"/>
        <v>213861570.28</v>
      </c>
      <c r="N33" s="148">
        <f t="shared" si="17"/>
        <v>509320434.03999996</v>
      </c>
      <c r="O33" s="75">
        <f t="shared" si="19"/>
        <v>0</v>
      </c>
      <c r="P33" s="75">
        <f t="shared" si="19"/>
        <v>0</v>
      </c>
      <c r="Q33" s="75">
        <f t="shared" si="19"/>
        <v>0</v>
      </c>
      <c r="R33" s="138">
        <f>+R12+R20+R27</f>
        <v>0</v>
      </c>
      <c r="S33" s="148">
        <f t="shared" si="19"/>
        <v>1483571745.1200001</v>
      </c>
      <c r="T33" s="172"/>
    </row>
    <row r="34" spans="1:20" s="37" customFormat="1" ht="30.75" customHeight="1" thickBot="1" x14ac:dyDescent="0.4">
      <c r="A34" s="111"/>
      <c r="B34" s="89" t="s">
        <v>46</v>
      </c>
      <c r="C34" s="77">
        <f t="shared" ref="C34:S34" si="20">+C15+C17+C18+C24+C21+C28</f>
        <v>172146108.40000001</v>
      </c>
      <c r="D34" s="77">
        <f>+D15+D17+D18+D24+D21+D28</f>
        <v>168116645.47</v>
      </c>
      <c r="E34" s="77">
        <f>+E15+E17+E18+E24+E21+E28</f>
        <v>169019018.72</v>
      </c>
      <c r="F34" s="149">
        <f>+F15+F17+F18+F24+F21+F28</f>
        <v>509281772.59000003</v>
      </c>
      <c r="G34" s="77">
        <f>+G15+G17+G18+G24+G21+G28</f>
        <v>127682282.85000001</v>
      </c>
      <c r="H34" s="77">
        <f t="shared" si="20"/>
        <v>135556437.16999999</v>
      </c>
      <c r="I34" s="77">
        <f t="shared" si="20"/>
        <v>274742844.18999994</v>
      </c>
      <c r="J34" s="149">
        <f>+J15+J17+J18+J24+J21+J28</f>
        <v>537981564.21000004</v>
      </c>
      <c r="K34" s="77">
        <f t="shared" si="20"/>
        <v>166937031.06</v>
      </c>
      <c r="L34" s="77">
        <f t="shared" si="20"/>
        <v>209894476.22000003</v>
      </c>
      <c r="M34" s="77">
        <f t="shared" si="20"/>
        <v>239961219.94999996</v>
      </c>
      <c r="N34" s="149">
        <f t="shared" si="17"/>
        <v>616792727.23000002</v>
      </c>
      <c r="O34" s="77">
        <f t="shared" si="20"/>
        <v>0</v>
      </c>
      <c r="P34" s="77">
        <f t="shared" si="20"/>
        <v>0</v>
      </c>
      <c r="Q34" s="77">
        <f t="shared" si="20"/>
        <v>0</v>
      </c>
      <c r="R34" s="139">
        <f>+R15+R17+R18+R24+R21+R28</f>
        <v>0</v>
      </c>
      <c r="S34" s="149">
        <f t="shared" si="20"/>
        <v>1664056064.03</v>
      </c>
      <c r="T34" s="172"/>
    </row>
    <row r="35" spans="1:20" s="27" customFormat="1" ht="30.75" customHeight="1" thickBot="1" x14ac:dyDescent="0.4">
      <c r="A35" s="107" t="s">
        <v>34</v>
      </c>
      <c r="B35" s="85" t="s">
        <v>35</v>
      </c>
      <c r="C35" s="62">
        <f>+C30</f>
        <v>-50993721.259999983</v>
      </c>
      <c r="D35" s="62">
        <f>+D30</f>
        <v>-32138279.110000025</v>
      </c>
      <c r="E35" s="62">
        <f>+E30</f>
        <v>-37071435.529999994</v>
      </c>
      <c r="F35" s="145">
        <f>+F30</f>
        <v>-120203435.9000001</v>
      </c>
      <c r="G35" s="62">
        <f t="shared" ref="G35:S35" si="21">+G30</f>
        <v>106192981.53</v>
      </c>
      <c r="H35" s="62">
        <f t="shared" si="21"/>
        <v>-3277730.9099999727</v>
      </c>
      <c r="I35" s="62">
        <f>+I33-I34+I31</f>
        <v>-55733840.439999968</v>
      </c>
      <c r="J35" s="145">
        <f>+J33-J34+J31</f>
        <v>47181410.179999948</v>
      </c>
      <c r="K35" s="62">
        <f t="shared" si="21"/>
        <v>-35858417.12999998</v>
      </c>
      <c r="L35" s="62">
        <f t="shared" si="21"/>
        <v>-45514226.39000003</v>
      </c>
      <c r="M35" s="62">
        <f t="shared" si="21"/>
        <v>-26099649.669999998</v>
      </c>
      <c r="N35" s="145">
        <f>+N33-N34+N31</f>
        <v>-107472293.19000006</v>
      </c>
      <c r="O35" s="62">
        <f t="shared" si="21"/>
        <v>0</v>
      </c>
      <c r="P35" s="62">
        <f t="shared" si="21"/>
        <v>0</v>
      </c>
      <c r="Q35" s="62">
        <f t="shared" si="21"/>
        <v>0</v>
      </c>
      <c r="R35" s="62">
        <f>+R33-R34+R31</f>
        <v>0</v>
      </c>
      <c r="S35" s="145">
        <f t="shared" si="21"/>
        <v>-180484318.90999997</v>
      </c>
      <c r="T35" s="169"/>
    </row>
    <row r="36" spans="1:20" s="32" customFormat="1" ht="30.75" customHeight="1" x14ac:dyDescent="0.35">
      <c r="A36" s="105">
        <v>77</v>
      </c>
      <c r="B36" s="84" t="s">
        <v>36</v>
      </c>
      <c r="C36" s="52">
        <v>0</v>
      </c>
      <c r="D36" s="52">
        <v>0</v>
      </c>
      <c r="E36" s="52">
        <v>0</v>
      </c>
      <c r="F36" s="142"/>
      <c r="G36" s="52">
        <v>0</v>
      </c>
      <c r="H36" s="52">
        <v>0</v>
      </c>
      <c r="I36" s="52">
        <v>0</v>
      </c>
      <c r="J36" s="142"/>
      <c r="K36" s="52">
        <v>0</v>
      </c>
      <c r="L36" s="52">
        <v>0</v>
      </c>
      <c r="M36" s="52">
        <v>0</v>
      </c>
      <c r="N36" s="142"/>
      <c r="O36" s="52">
        <v>0</v>
      </c>
      <c r="P36" s="52">
        <v>0</v>
      </c>
      <c r="Q36" s="52">
        <v>0</v>
      </c>
      <c r="R36" s="133"/>
      <c r="S36" s="142">
        <f t="shared" ref="S36:S37" si="22">+F36+J36+N36+R36</f>
        <v>0</v>
      </c>
      <c r="T36" s="171"/>
    </row>
    <row r="37" spans="1:20" s="32" customFormat="1" ht="30.75" customHeight="1" thickBot="1" x14ac:dyDescent="0.4">
      <c r="A37" s="106">
        <v>67</v>
      </c>
      <c r="B37" s="82" t="s">
        <v>37</v>
      </c>
      <c r="C37" s="59">
        <v>0</v>
      </c>
      <c r="D37" s="59">
        <v>0</v>
      </c>
      <c r="E37" s="59">
        <v>0</v>
      </c>
      <c r="F37" s="144"/>
      <c r="G37" s="59">
        <v>0</v>
      </c>
      <c r="H37" s="59">
        <v>0</v>
      </c>
      <c r="I37" s="59">
        <v>0</v>
      </c>
      <c r="J37" s="144"/>
      <c r="K37" s="59">
        <v>0</v>
      </c>
      <c r="L37" s="59">
        <v>0</v>
      </c>
      <c r="M37" s="59">
        <v>0</v>
      </c>
      <c r="N37" s="144"/>
      <c r="O37" s="59">
        <v>0</v>
      </c>
      <c r="P37" s="59">
        <v>0</v>
      </c>
      <c r="Q37" s="59">
        <v>0</v>
      </c>
      <c r="R37" s="135"/>
      <c r="S37" s="144">
        <f t="shared" si="22"/>
        <v>0</v>
      </c>
      <c r="T37" s="171"/>
    </row>
    <row r="38" spans="1:20" s="27" customFormat="1" ht="30.75" customHeight="1" thickBot="1" x14ac:dyDescent="0.4">
      <c r="A38" s="107" t="s">
        <v>38</v>
      </c>
      <c r="B38" s="85" t="s">
        <v>39</v>
      </c>
      <c r="C38" s="62"/>
      <c r="D38" s="62"/>
      <c r="E38" s="62"/>
      <c r="F38" s="145"/>
      <c r="G38" s="62"/>
      <c r="H38" s="62"/>
      <c r="I38" s="62"/>
      <c r="J38" s="145"/>
      <c r="K38" s="62"/>
      <c r="L38" s="62"/>
      <c r="M38" s="62"/>
      <c r="N38" s="145"/>
      <c r="O38" s="62"/>
      <c r="P38" s="62"/>
      <c r="Q38" s="62"/>
      <c r="R38" s="62"/>
      <c r="S38" s="145"/>
      <c r="T38" s="169"/>
    </row>
    <row r="39" spans="1:20" s="27" customFormat="1" ht="30.6" customHeight="1" x14ac:dyDescent="0.35">
      <c r="A39" s="115" t="s">
        <v>40</v>
      </c>
      <c r="B39" s="116" t="s">
        <v>41</v>
      </c>
      <c r="C39" s="118">
        <f>+C35</f>
        <v>-50993721.259999983</v>
      </c>
      <c r="D39" s="118">
        <f>+D35</f>
        <v>-32138279.110000025</v>
      </c>
      <c r="E39" s="118">
        <f>+E35</f>
        <v>-37071435.529999994</v>
      </c>
      <c r="F39" s="150">
        <f>+F35</f>
        <v>-120203435.9000001</v>
      </c>
      <c r="G39" s="118">
        <f t="shared" ref="G39:S39" si="23">+G35</f>
        <v>106192981.53</v>
      </c>
      <c r="H39" s="118">
        <f t="shared" si="23"/>
        <v>-3277730.9099999727</v>
      </c>
      <c r="I39" s="118">
        <f t="shared" si="23"/>
        <v>-55733840.439999968</v>
      </c>
      <c r="J39" s="150">
        <f t="shared" si="23"/>
        <v>47181410.179999948</v>
      </c>
      <c r="K39" s="118">
        <f t="shared" si="23"/>
        <v>-35858417.12999998</v>
      </c>
      <c r="L39" s="118">
        <f t="shared" si="23"/>
        <v>-45514226.39000003</v>
      </c>
      <c r="M39" s="118">
        <f t="shared" si="23"/>
        <v>-26099649.669999998</v>
      </c>
      <c r="N39" s="150">
        <f>+N35</f>
        <v>-107472293.19000006</v>
      </c>
      <c r="O39" s="118">
        <f t="shared" si="23"/>
        <v>0</v>
      </c>
      <c r="P39" s="118">
        <f t="shared" si="23"/>
        <v>0</v>
      </c>
      <c r="Q39" s="118">
        <f t="shared" si="23"/>
        <v>0</v>
      </c>
      <c r="R39" s="118">
        <f t="shared" si="23"/>
        <v>0</v>
      </c>
      <c r="S39" s="150">
        <f t="shared" si="23"/>
        <v>-180484318.90999997</v>
      </c>
      <c r="T39" s="170">
        <v>-180.48431890999996</v>
      </c>
    </row>
    <row r="40" spans="1:20" s="37" customFormat="1" ht="11.4" customHeight="1" x14ac:dyDescent="0.35">
      <c r="A40" s="158"/>
      <c r="B40" s="158"/>
      <c r="C40" s="159"/>
      <c r="D40" s="159"/>
      <c r="E40" s="159"/>
      <c r="F40" s="160"/>
      <c r="G40" s="159"/>
      <c r="H40" s="159"/>
      <c r="I40" s="159"/>
      <c r="J40" s="160"/>
      <c r="K40" s="159"/>
      <c r="L40" s="159"/>
      <c r="M40" s="159"/>
      <c r="N40" s="160"/>
      <c r="O40" s="159"/>
      <c r="P40" s="159"/>
      <c r="Q40" s="159"/>
      <c r="R40" s="165"/>
      <c r="S40" s="160"/>
      <c r="T40" s="172"/>
    </row>
    <row r="41" spans="1:20" s="27" customFormat="1" ht="18" x14ac:dyDescent="0.35">
      <c r="A41" s="356" t="s">
        <v>51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169"/>
    </row>
    <row r="42" spans="1:20" s="37" customFormat="1" ht="18" x14ac:dyDescent="0.35">
      <c r="A42" s="92">
        <v>1</v>
      </c>
      <c r="B42" s="93" t="s">
        <v>52</v>
      </c>
      <c r="C42" s="95">
        <f>+C12/C7</f>
        <v>1.6668184917441171</v>
      </c>
      <c r="D42" s="95">
        <f>+D12/D7</f>
        <v>1.431998371969845</v>
      </c>
      <c r="E42" s="95">
        <f>+E12/E7</f>
        <v>1.4103118184629411</v>
      </c>
      <c r="F42" s="151">
        <f>+F12/F7</f>
        <v>1.4896400420616793</v>
      </c>
      <c r="G42" s="95">
        <f t="shared" ref="G42:S42" si="24">+G12/G7</f>
        <v>0.74916843723975912</v>
      </c>
      <c r="H42" s="95">
        <f t="shared" si="24"/>
        <v>0.69678413913374138</v>
      </c>
      <c r="I42" s="95">
        <f t="shared" si="24"/>
        <v>1.2172755764585967</v>
      </c>
      <c r="J42" s="151"/>
      <c r="K42" s="95">
        <f t="shared" si="24"/>
        <v>1.0361451256019361</v>
      </c>
      <c r="L42" s="95">
        <f t="shared" si="24"/>
        <v>1.0530828504485479</v>
      </c>
      <c r="M42" s="95">
        <f t="shared" si="24"/>
        <v>0.8769830511336778</v>
      </c>
      <c r="N42" s="151"/>
      <c r="O42" s="95" t="e">
        <f t="shared" si="24"/>
        <v>#DIV/0!</v>
      </c>
      <c r="P42" s="95" t="e">
        <f t="shared" si="24"/>
        <v>#DIV/0!</v>
      </c>
      <c r="Q42" s="95" t="e">
        <f t="shared" si="24"/>
        <v>#DIV/0!</v>
      </c>
      <c r="R42" s="140"/>
      <c r="S42" s="151">
        <f t="shared" si="24"/>
        <v>1.0698384952818725</v>
      </c>
      <c r="T42" s="172"/>
    </row>
    <row r="43" spans="1:20" s="37" customFormat="1" ht="18" x14ac:dyDescent="0.35">
      <c r="A43" s="92">
        <v>2</v>
      </c>
      <c r="B43" s="93" t="s">
        <v>53</v>
      </c>
      <c r="C43" s="95">
        <f>+C13/C7</f>
        <v>1.433109741088805</v>
      </c>
      <c r="D43" s="95">
        <f>+D13/D7</f>
        <v>1.0657226220778084</v>
      </c>
      <c r="E43" s="95">
        <f>+E13/E7</f>
        <v>1.0703917910944503</v>
      </c>
      <c r="F43" s="151">
        <f>+F13/F7</f>
        <v>1.1697083032087969</v>
      </c>
      <c r="G43" s="95">
        <f t="shared" ref="G43:S43" si="25">+G13/G7</f>
        <v>0.62951351179763382</v>
      </c>
      <c r="H43" s="95">
        <f t="shared" si="25"/>
        <v>0.43429438077919352</v>
      </c>
      <c r="I43" s="95">
        <f t="shared" si="25"/>
        <v>0.8280586298690632</v>
      </c>
      <c r="J43" s="151"/>
      <c r="K43" s="95">
        <f t="shared" si="25"/>
        <v>0.69207466914530091</v>
      </c>
      <c r="L43" s="95">
        <f t="shared" si="25"/>
        <v>0.81358540034437266</v>
      </c>
      <c r="M43" s="95">
        <f t="shared" si="25"/>
        <v>0.67716074528245951</v>
      </c>
      <c r="N43" s="151"/>
      <c r="O43" s="95" t="e">
        <f t="shared" si="25"/>
        <v>#DIV/0!</v>
      </c>
      <c r="P43" s="95" t="e">
        <f t="shared" si="25"/>
        <v>#DIV/0!</v>
      </c>
      <c r="Q43" s="95" t="e">
        <f t="shared" si="25"/>
        <v>#DIV/0!</v>
      </c>
      <c r="R43" s="140"/>
      <c r="S43" s="151">
        <f t="shared" si="25"/>
        <v>0.79325398652161205</v>
      </c>
      <c r="T43" s="172"/>
    </row>
    <row r="44" spans="1:20" s="37" customFormat="1" ht="18" x14ac:dyDescent="0.35">
      <c r="A44" s="92">
        <v>3</v>
      </c>
      <c r="B44" s="93" t="s">
        <v>56</v>
      </c>
      <c r="C44" s="95">
        <f>+C13/C12</f>
        <v>0.85978752226898736</v>
      </c>
      <c r="D44" s="95">
        <f>+D13/D12</f>
        <v>0.74422055425371003</v>
      </c>
      <c r="E44" s="95">
        <f>+E13/E12</f>
        <v>0.7589752685055422</v>
      </c>
      <c r="F44" s="151">
        <f>+F13/F12</f>
        <v>0.78522882722050535</v>
      </c>
      <c r="G44" s="95">
        <f t="shared" ref="G44:S44" si="26">+G13/G12</f>
        <v>0.84028301314590537</v>
      </c>
      <c r="H44" s="95">
        <f t="shared" si="26"/>
        <v>0.62328396469976854</v>
      </c>
      <c r="I44" s="95">
        <f t="shared" si="26"/>
        <v>0.68025568399073844</v>
      </c>
      <c r="J44" s="151"/>
      <c r="K44" s="95">
        <f t="shared" si="26"/>
        <v>0.66793217672403615</v>
      </c>
      <c r="L44" s="95">
        <f t="shared" si="26"/>
        <v>0.77257492133485584</v>
      </c>
      <c r="M44" s="95">
        <f t="shared" si="26"/>
        <v>0.77214804140979965</v>
      </c>
      <c r="N44" s="151"/>
      <c r="O44" s="95" t="e">
        <f t="shared" si="26"/>
        <v>#DIV/0!</v>
      </c>
      <c r="P44" s="95" t="e">
        <f t="shared" si="26"/>
        <v>#DIV/0!</v>
      </c>
      <c r="Q44" s="95" t="e">
        <f t="shared" si="26"/>
        <v>#DIV/0!</v>
      </c>
      <c r="R44" s="140"/>
      <c r="S44" s="151">
        <f t="shared" si="26"/>
        <v>0.74147078275830025</v>
      </c>
      <c r="T44" s="172"/>
    </row>
    <row r="45" spans="1:20" s="37" customFormat="1" ht="18" x14ac:dyDescent="0.35">
      <c r="A45" s="92">
        <v>4</v>
      </c>
      <c r="B45" s="93" t="s">
        <v>57</v>
      </c>
      <c r="C45" s="95">
        <f>+C15/C12</f>
        <v>0.94087984336738062</v>
      </c>
      <c r="D45" s="95">
        <f>+D15/D12</f>
        <v>0.80426697671878422</v>
      </c>
      <c r="E45" s="95">
        <f>+E15/E12</f>
        <v>0.81700810962410764</v>
      </c>
      <c r="F45" s="151">
        <f>+F15/F12</f>
        <v>0.85115189991947959</v>
      </c>
      <c r="G45" s="95">
        <f t="shared" ref="G45:S45" si="27">+G15/G12</f>
        <v>0.92159249753590533</v>
      </c>
      <c r="H45" s="95">
        <f t="shared" si="27"/>
        <v>0.70106833433386095</v>
      </c>
      <c r="I45" s="95">
        <f t="shared" si="27"/>
        <v>0.76059759156921014</v>
      </c>
      <c r="J45" s="151"/>
      <c r="K45" s="95">
        <f t="shared" si="27"/>
        <v>0.7208036795112297</v>
      </c>
      <c r="L45" s="95">
        <f t="shared" si="27"/>
        <v>0.84548784102382279</v>
      </c>
      <c r="M45" s="95">
        <f t="shared" si="27"/>
        <v>0.82353500845629102</v>
      </c>
      <c r="N45" s="151"/>
      <c r="O45" s="95" t="e">
        <f t="shared" si="27"/>
        <v>#DIV/0!</v>
      </c>
      <c r="P45" s="95" t="e">
        <f t="shared" si="27"/>
        <v>#DIV/0!</v>
      </c>
      <c r="Q45" s="95" t="e">
        <f t="shared" si="27"/>
        <v>#DIV/0!</v>
      </c>
      <c r="R45" s="140"/>
      <c r="S45" s="151">
        <f t="shared" si="27"/>
        <v>0.80910816283280251</v>
      </c>
      <c r="T45" s="172"/>
    </row>
    <row r="46" spans="1:20" s="37" customFormat="1" ht="18" x14ac:dyDescent="0.35">
      <c r="A46" s="92">
        <v>5</v>
      </c>
      <c r="B46" s="93" t="s">
        <v>58</v>
      </c>
      <c r="C46" s="95">
        <f>+C17/C12</f>
        <v>0.40585333951679331</v>
      </c>
      <c r="D46" s="95">
        <f>+D17/D12</f>
        <v>0.36888299639418382</v>
      </c>
      <c r="E46" s="95">
        <f>+E17/E12</f>
        <v>0.4001102865976342</v>
      </c>
      <c r="F46" s="151">
        <f>+F17/F12</f>
        <v>0.3909756670066965</v>
      </c>
      <c r="G46" s="95">
        <f t="shared" ref="G46:S46" si="28">+G17/G12</f>
        <v>0.72370200150869934</v>
      </c>
      <c r="H46" s="95">
        <f t="shared" si="28"/>
        <v>0.47582231294610944</v>
      </c>
      <c r="I46" s="95">
        <f t="shared" si="28"/>
        <v>0.2434530485857761</v>
      </c>
      <c r="J46" s="151"/>
      <c r="K46" s="95">
        <f t="shared" si="28"/>
        <v>0.46564199412941587</v>
      </c>
      <c r="L46" s="95">
        <f t="shared" si="28"/>
        <v>0.36489236262547392</v>
      </c>
      <c r="M46" s="95">
        <f t="shared" si="28"/>
        <v>0.35444220794808928</v>
      </c>
      <c r="N46" s="151"/>
      <c r="O46" s="95" t="e">
        <f t="shared" si="28"/>
        <v>#DIV/0!</v>
      </c>
      <c r="P46" s="95" t="e">
        <f t="shared" si="28"/>
        <v>#DIV/0!</v>
      </c>
      <c r="Q46" s="95" t="e">
        <f t="shared" si="28"/>
        <v>#DIV/0!</v>
      </c>
      <c r="R46" s="140"/>
      <c r="S46" s="151">
        <f t="shared" si="28"/>
        <v>0.39208744714531329</v>
      </c>
      <c r="T46" s="172"/>
    </row>
    <row r="47" spans="1:20" s="37" customFormat="1" ht="18" x14ac:dyDescent="0.35">
      <c r="A47" s="92">
        <v>6</v>
      </c>
      <c r="B47" s="93" t="s">
        <v>54</v>
      </c>
      <c r="C47" s="95">
        <f>+C16/C17</f>
        <v>0.14566876966691336</v>
      </c>
      <c r="D47" s="95">
        <f>+D16/D17</f>
        <v>0.53061004490447661</v>
      </c>
      <c r="E47" s="95">
        <f>+E16/E17</f>
        <v>0.45735362600141255</v>
      </c>
      <c r="F47" s="151">
        <f>+F16/F17</f>
        <v>0.38070937053474208</v>
      </c>
      <c r="G47" s="95">
        <f t="shared" ref="G47:S47" si="29">+G16/G17</f>
        <v>0.10834224902050685</v>
      </c>
      <c r="H47" s="95">
        <f t="shared" si="29"/>
        <v>0.62824221885533005</v>
      </c>
      <c r="I47" s="95">
        <f t="shared" si="29"/>
        <v>0.98336171931911942</v>
      </c>
      <c r="J47" s="151"/>
      <c r="K47" s="95">
        <f t="shared" si="29"/>
        <v>0.59959437509661839</v>
      </c>
      <c r="L47" s="95">
        <f t="shared" si="29"/>
        <v>0.42344585637372939</v>
      </c>
      <c r="M47" s="95">
        <f t="shared" si="29"/>
        <v>0.49786675397743146</v>
      </c>
      <c r="N47" s="151"/>
      <c r="O47" s="95" t="e">
        <f t="shared" si="29"/>
        <v>#DIV/0!</v>
      </c>
      <c r="P47" s="95" t="e">
        <f t="shared" si="29"/>
        <v>#DIV/0!</v>
      </c>
      <c r="Q47" s="95" t="e">
        <f t="shared" si="29"/>
        <v>#DIV/0!</v>
      </c>
      <c r="R47" s="140"/>
      <c r="S47" s="151">
        <f t="shared" si="29"/>
        <v>0.48686036382197723</v>
      </c>
      <c r="T47" s="172"/>
    </row>
    <row r="48" spans="1:20" s="37" customFormat="1" ht="18" x14ac:dyDescent="0.35">
      <c r="A48" s="92">
        <v>7</v>
      </c>
      <c r="B48" s="93" t="s">
        <v>55</v>
      </c>
      <c r="C48" s="95">
        <f>+C19/C12</f>
        <v>-0.35432958311986801</v>
      </c>
      <c r="D48" s="95">
        <f>+D19/D12</f>
        <v>-0.18051714197411617</v>
      </c>
      <c r="E48" s="95">
        <f>+E19/E12</f>
        <v>-0.22369692330603974</v>
      </c>
      <c r="F48" s="151">
        <f>+F19/F12</f>
        <v>-0.24929917604006396</v>
      </c>
      <c r="G48" s="95">
        <f t="shared" ref="G48:S48" si="30">+G19/G12</f>
        <v>-0.65845682059333344</v>
      </c>
      <c r="H48" s="95">
        <f t="shared" si="30"/>
        <v>-0.19507293838502474</v>
      </c>
      <c r="I48" s="95">
        <f t="shared" si="30"/>
        <v>-1.1940043699635519E-2</v>
      </c>
      <c r="J48" s="151"/>
      <c r="K48" s="95">
        <f t="shared" si="30"/>
        <v>-0.20433360858857016</v>
      </c>
      <c r="L48" s="95">
        <f t="shared" si="30"/>
        <v>-0.22007667052176125</v>
      </c>
      <c r="M48" s="95">
        <f t="shared" si="30"/>
        <v>-0.18963633861373494</v>
      </c>
      <c r="N48" s="151"/>
      <c r="O48" s="95" t="e">
        <f t="shared" si="30"/>
        <v>#DIV/0!</v>
      </c>
      <c r="P48" s="95" t="e">
        <f t="shared" si="30"/>
        <v>#DIV/0!</v>
      </c>
      <c r="Q48" s="95" t="e">
        <f t="shared" si="30"/>
        <v>#DIV/0!</v>
      </c>
      <c r="R48" s="140"/>
      <c r="S48" s="151">
        <f t="shared" si="30"/>
        <v>-0.21187261672806137</v>
      </c>
      <c r="T48" s="172"/>
    </row>
    <row r="49" spans="1:2" ht="15.6" x14ac:dyDescent="0.3">
      <c r="A49" s="90"/>
      <c r="B49" s="90"/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T2:U2"/>
    <mergeCell ref="T3:U3"/>
    <mergeCell ref="A41:S41"/>
    <mergeCell ref="A5:R5"/>
  </mergeCells>
  <phoneticPr fontId="32" type="noConversion"/>
  <conditionalFormatting sqref="H6 K6 M6 P6">
    <cfRule type="cellIs" dxfId="11" priority="15" operator="lessThan">
      <formula>-0.01</formula>
    </cfRule>
  </conditionalFormatting>
  <conditionalFormatting sqref="C1:C4 C42:C1048576 C6:C40 I6:J6 L6 O6 G6">
    <cfRule type="cellIs" dxfId="10" priority="11" operator="lessThan">
      <formula>-0.01</formula>
    </cfRule>
  </conditionalFormatting>
  <conditionalFormatting sqref="G1:M4 G42:M1048576 Q6 G7:M40 O7:Q40 O42:Q1048576 O1:Q4 S1:S4 S42:S1048576 S6:S40">
    <cfRule type="cellIs" dxfId="9" priority="10" operator="lessThan">
      <formula>-0.01</formula>
    </cfRule>
  </conditionalFormatting>
  <conditionalFormatting sqref="E1:F4 E42:F1048576 E6:F40">
    <cfRule type="cellIs" dxfId="8" priority="6" operator="lessThan">
      <formula>-0.01</formula>
    </cfRule>
  </conditionalFormatting>
  <conditionalFormatting sqref="N1:N4 N42:N1048576 N7:N40">
    <cfRule type="cellIs" dxfId="7" priority="3" operator="lessThan">
      <formula>-0.01</formula>
    </cfRule>
  </conditionalFormatting>
  <conditionalFormatting sqref="D1:D4 D42:D1048576 D6:D40">
    <cfRule type="cellIs" dxfId="6" priority="7" operator="lessThan">
      <formula>-0.01</formula>
    </cfRule>
  </conditionalFormatting>
  <conditionalFormatting sqref="R1:R4 R42:R1048576 R7:R40">
    <cfRule type="cellIs" dxfId="5" priority="1" operator="lessThan">
      <formula>-0.01</formula>
    </cfRule>
  </conditionalFormatting>
  <conditionalFormatting sqref="N6">
    <cfRule type="cellIs" dxfId="4" priority="4" operator="lessThan">
      <formula>-0.01</formula>
    </cfRule>
  </conditionalFormatting>
  <conditionalFormatting sqref="R6">
    <cfRule type="cellIs" dxfId="3" priority="2" operator="lessThan">
      <formula>-0.01</formula>
    </cfRule>
  </conditionalFormatting>
  <pageMargins left="0.14000000000000001" right="0.11" top="0.16" bottom="0.16" header="0.16" footer="0"/>
  <pageSetup paperSize="9" scale="62" orientation="portrait" r:id="rId1"/>
  <ignoredErrors>
    <ignoredError sqref="I35" formula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90" zoomScaleNormal="50" zoomScaleSheetLayoutView="90" workbookViewId="0">
      <pane xSplit="2" ySplit="6" topLeftCell="C33" activePane="bottomRight" state="frozen"/>
      <selection activeCell="C5" sqref="C5:D5"/>
      <selection pane="topRight" activeCell="C5" sqref="C5:D5"/>
      <selection pane="bottomLeft" activeCell="C5" sqref="C5:D5"/>
      <selection pane="bottomRight" activeCell="D30" sqref="D30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87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/>
      <c r="D7" s="51">
        <v>49471433.079999998</v>
      </c>
      <c r="E7" s="52">
        <v>30616077.859999999</v>
      </c>
      <c r="F7" s="53">
        <v>18237920.309999999</v>
      </c>
      <c r="G7" s="51">
        <f>+C7+D7+E7+F7</f>
        <v>98325431.25</v>
      </c>
      <c r="H7" s="28"/>
    </row>
    <row r="8" spans="1:31" s="29" customFormat="1" ht="30.75" customHeight="1" x14ac:dyDescent="0.35">
      <c r="A8" s="102"/>
      <c r="B8" s="80" t="s">
        <v>42</v>
      </c>
      <c r="C8" s="54"/>
      <c r="D8" s="54">
        <v>104457.01</v>
      </c>
      <c r="E8" s="55"/>
      <c r="F8" s="56"/>
      <c r="G8" s="51">
        <f>+C8+D8+E8+F8</f>
        <v>104457.01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/>
      <c r="D9" s="57">
        <v>63172356.079999998</v>
      </c>
      <c r="E9" s="55">
        <v>4460637.79</v>
      </c>
      <c r="F9" s="56">
        <v>6128643.3799999999</v>
      </c>
      <c r="G9" s="51">
        <f>+C9+D9+E9+F9</f>
        <v>73761637.25</v>
      </c>
      <c r="H9" s="26"/>
    </row>
    <row r="10" spans="1:31" s="27" customFormat="1" ht="30.75" customHeight="1" x14ac:dyDescent="0.35">
      <c r="A10" s="102"/>
      <c r="B10" s="81" t="s">
        <v>4</v>
      </c>
      <c r="C10" s="54"/>
      <c r="D10" s="54"/>
      <c r="E10" s="55"/>
      <c r="F10" s="56"/>
      <c r="G10" s="51">
        <f>+C10+D10+E10+F10</f>
        <v>0</v>
      </c>
      <c r="H10" s="26"/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H11" s="26"/>
    </row>
    <row r="12" spans="1:31" s="279" customFormat="1" ht="30.75" customHeight="1" thickBot="1" x14ac:dyDescent="0.4">
      <c r="A12" s="273"/>
      <c r="B12" s="274" t="s">
        <v>6</v>
      </c>
      <c r="C12" s="275">
        <f>SUM(C7:C11)</f>
        <v>0</v>
      </c>
      <c r="D12" s="275">
        <f>SUM(D7:D11)</f>
        <v>112748246.16999999</v>
      </c>
      <c r="E12" s="276">
        <f>SUM(E7:E11)</f>
        <v>35076715.649999999</v>
      </c>
      <c r="F12" s="277">
        <f>SUM(F7:F11)</f>
        <v>24366563.689999998</v>
      </c>
      <c r="G12" s="275">
        <f>SUM(G7:G11)</f>
        <v>172191525.50999999</v>
      </c>
      <c r="H12" s="278"/>
    </row>
    <row r="13" spans="1:31" s="32" customFormat="1" ht="30.75" customHeight="1" x14ac:dyDescent="0.35">
      <c r="A13" s="105">
        <v>60</v>
      </c>
      <c r="B13" s="84" t="s">
        <v>7</v>
      </c>
      <c r="C13" s="51">
        <v>922413.49</v>
      </c>
      <c r="D13" s="64">
        <v>85340355.810000002</v>
      </c>
      <c r="E13" s="65">
        <v>19222554.890000001</v>
      </c>
      <c r="F13" s="66">
        <v>21403610.68</v>
      </c>
      <c r="G13" s="51">
        <f>+C13+D13+E13+F13</f>
        <v>126888934.87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v>2071264.95</v>
      </c>
      <c r="D14" s="58">
        <v>5533036.8700000001</v>
      </c>
      <c r="E14" s="59">
        <v>1943483.68</v>
      </c>
      <c r="F14" s="60">
        <v>962699.7</v>
      </c>
      <c r="G14" s="58">
        <f>+C14+D14+E14+F14</f>
        <v>10510485.199999999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112"/>
      <c r="D15" s="112"/>
      <c r="E15" s="231"/>
      <c r="F15" s="232"/>
      <c r="G15" s="112">
        <f>+C15+D15+E15+F15</f>
        <v>0</v>
      </c>
      <c r="H15" s="33"/>
      <c r="I15" s="34"/>
    </row>
    <row r="16" spans="1:31" s="279" customFormat="1" ht="30.75" customHeight="1" thickBot="1" x14ac:dyDescent="0.4">
      <c r="A16" s="280" t="s">
        <v>9</v>
      </c>
      <c r="B16" s="281" t="s">
        <v>10</v>
      </c>
      <c r="C16" s="275">
        <f>+C13+C14+C15</f>
        <v>2993678.44</v>
      </c>
      <c r="D16" s="275">
        <f>+D13+D14+D15</f>
        <v>90873392.680000007</v>
      </c>
      <c r="E16" s="276">
        <f>+E13+E14+E15</f>
        <v>21166038.57</v>
      </c>
      <c r="F16" s="277">
        <f>+F13+F14+F15</f>
        <v>22366310.379999999</v>
      </c>
      <c r="G16" s="275">
        <f>+G13+G14+G15</f>
        <v>137399420.06999999</v>
      </c>
      <c r="H16" s="278"/>
      <c r="I16" s="282"/>
    </row>
    <row r="17" spans="1:12" s="279" customFormat="1" ht="30.75" customHeight="1" thickBot="1" x14ac:dyDescent="0.4">
      <c r="A17" s="283" t="s">
        <v>11</v>
      </c>
      <c r="B17" s="284" t="s">
        <v>12</v>
      </c>
      <c r="C17" s="285">
        <f>+C12-C16</f>
        <v>-2993678.44</v>
      </c>
      <c r="D17" s="285">
        <f>+D12-D16</f>
        <v>21874853.48999998</v>
      </c>
      <c r="E17" s="286">
        <f>+E12-E16</f>
        <v>13910677.079999998</v>
      </c>
      <c r="F17" s="287">
        <f>+F12-F16</f>
        <v>2000253.3099999987</v>
      </c>
      <c r="G17" s="285">
        <f>+G12-G16</f>
        <v>34792105.439999998</v>
      </c>
      <c r="H17" s="278"/>
      <c r="I17" s="282"/>
    </row>
    <row r="18" spans="1:12" s="32" customFormat="1" ht="30.75" customHeight="1" x14ac:dyDescent="0.35">
      <c r="A18" s="105">
        <v>63</v>
      </c>
      <c r="B18" s="84" t="s">
        <v>44</v>
      </c>
      <c r="C18" s="64">
        <v>10849396.029999999</v>
      </c>
      <c r="D18" s="64">
        <v>30178071.329999998</v>
      </c>
      <c r="E18" s="65">
        <v>12372266.439999999</v>
      </c>
      <c r="F18" s="66">
        <v>11011773.130000001</v>
      </c>
      <c r="G18" s="51">
        <f>+C18+D18+E18+F18</f>
        <v>64411506.93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/>
      <c r="D19" s="58">
        <v>495134</v>
      </c>
      <c r="E19" s="59">
        <v>311798</v>
      </c>
      <c r="F19" s="60">
        <v>186325</v>
      </c>
      <c r="G19" s="58">
        <f>+C19+D19+E19+F19</f>
        <v>993257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-13843074.469999999</v>
      </c>
      <c r="D20" s="61">
        <f>+D17-D18-D19</f>
        <v>-8798351.8400000185</v>
      </c>
      <c r="E20" s="62">
        <f>+E17-E18-E19</f>
        <v>1226612.6399999987</v>
      </c>
      <c r="F20" s="63">
        <f>+F17-F18-F19</f>
        <v>-9197844.8200000022</v>
      </c>
      <c r="G20" s="61">
        <f>+G17-G18-G19</f>
        <v>-30612658.490000002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/>
      <c r="D21" s="51">
        <v>1053173.24</v>
      </c>
      <c r="E21" s="52"/>
      <c r="F21" s="53"/>
      <c r="G21" s="51">
        <f t="shared" ref="G21:G26" si="0">+C21+D21+E21+F21</f>
        <v>1053173.24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v>186254.12</v>
      </c>
      <c r="D22" s="54"/>
      <c r="E22" s="55">
        <v>2364.0700000000002</v>
      </c>
      <c r="F22" s="56"/>
      <c r="G22" s="54">
        <f t="shared" si="0"/>
        <v>188618.19</v>
      </c>
      <c r="H22" s="31"/>
    </row>
    <row r="23" spans="1:12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v>1250068.6200000001</v>
      </c>
      <c r="D25" s="54">
        <v>5851567.3799999999</v>
      </c>
      <c r="E25" s="55">
        <v>536349.64</v>
      </c>
      <c r="F25" s="56">
        <v>573313.86</v>
      </c>
      <c r="G25" s="57">
        <f t="shared" si="0"/>
        <v>8211299.5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-15279397.209999999</v>
      </c>
      <c r="D27" s="61">
        <f>+D20+D21+D26-(D22+D23+D24+D25)</f>
        <v>-13596745.980000019</v>
      </c>
      <c r="E27" s="62">
        <f>+E20+E21+E26-(E22+E23+E24+E25)</f>
        <v>687898.92999999877</v>
      </c>
      <c r="F27" s="63">
        <f>+F20+F21+F26-(F22+F23+F24+F25)</f>
        <v>-9771158.6800000016</v>
      </c>
      <c r="G27" s="61">
        <f>+G20+G21+G26-(G22+G23+G24+G25)</f>
        <v>-37959402.940000005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>
        <v>4170000</v>
      </c>
      <c r="D28" s="51">
        <v>58690.97</v>
      </c>
      <c r="E28" s="52"/>
      <c r="F28" s="53"/>
      <c r="G28" s="51">
        <f>+C28+D28+E28+F28</f>
        <v>4228690.97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/>
      <c r="D29" s="58">
        <v>213491.87</v>
      </c>
      <c r="E29" s="59"/>
      <c r="F29" s="60"/>
      <c r="G29" s="58">
        <f>+C29+D29+E29+F29</f>
        <v>213491.87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4170000</v>
      </c>
      <c r="D30" s="61">
        <f>+D28-D29</f>
        <v>-154800.9</v>
      </c>
      <c r="E30" s="62">
        <f>+E28-E29</f>
        <v>0</v>
      </c>
      <c r="F30" s="63">
        <f>+F28-F29</f>
        <v>0</v>
      </c>
      <c r="G30" s="61">
        <f>+G28-G29</f>
        <v>4015199.0999999996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-11109397.209999999</v>
      </c>
      <c r="D31" s="61">
        <f>+D27+D30</f>
        <v>-13751546.880000019</v>
      </c>
      <c r="E31" s="62">
        <f>+E27+E30</f>
        <v>687898.92999999877</v>
      </c>
      <c r="F31" s="63">
        <f>+F27+F30</f>
        <v>-9771158.6800000016</v>
      </c>
      <c r="G31" s="61">
        <f>+G27+G30</f>
        <v>-33944203.840000004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4170000</v>
      </c>
      <c r="D34" s="74">
        <f>+D12+D21+D28+D26</f>
        <v>113860110.37999998</v>
      </c>
      <c r="E34" s="75">
        <f>+E12+E21+E28+E26</f>
        <v>35076715.649999999</v>
      </c>
      <c r="F34" s="75">
        <f>+F12+F21+F28+F26</f>
        <v>24366563.689999998</v>
      </c>
      <c r="G34" s="74">
        <f>+G12+G21+G28+G26</f>
        <v>177473389.72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15279397.209999999</v>
      </c>
      <c r="D35" s="73">
        <f t="shared" ref="D35:G35" si="1">+D16+D18+D19+D25+D22+D29+D33+D32</f>
        <v>127611657.26000001</v>
      </c>
      <c r="E35" s="77">
        <f t="shared" si="1"/>
        <v>34388816.719999999</v>
      </c>
      <c r="F35" s="77">
        <f t="shared" si="1"/>
        <v>34137722.369999997</v>
      </c>
      <c r="G35" s="73">
        <f t="shared" si="1"/>
        <v>211417593.56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-11109397.209999999</v>
      </c>
      <c r="D36" s="61">
        <f>+D34-D35</f>
        <v>-13751546.880000025</v>
      </c>
      <c r="E36" s="62">
        <f>+E34-E35</f>
        <v>687898.9299999997</v>
      </c>
      <c r="F36" s="63">
        <f>+F34-F35</f>
        <v>-9771158.6799999997</v>
      </c>
      <c r="G36" s="61">
        <f>+G34-G35</f>
        <v>-33944203.840000004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-11109397.209999999</v>
      </c>
      <c r="D40" s="117">
        <f>+D36</f>
        <v>-13751546.880000025</v>
      </c>
      <c r="E40" s="118">
        <f>+E36</f>
        <v>687898.9299999997</v>
      </c>
      <c r="F40" s="119">
        <f>+F36</f>
        <v>-9771158.6799999997</v>
      </c>
      <c r="G40" s="117">
        <f>+G36</f>
        <v>-33944203.840000004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 t="e">
        <f>+C12/C7</f>
        <v>#DIV/0!</v>
      </c>
      <c r="D43" s="95">
        <f>+D12/D7</f>
        <v>2.2790576126564877</v>
      </c>
      <c r="E43" s="95">
        <f>+E12/E7</f>
        <v>1.1456959252062733</v>
      </c>
      <c r="F43" s="95">
        <f>+F12/F7</f>
        <v>1.3360384997756358</v>
      </c>
      <c r="G43" s="95">
        <f>+G12/G7</f>
        <v>1.7512409894464611</v>
      </c>
      <c r="H43" s="38"/>
    </row>
    <row r="44" spans="1:8" s="37" customFormat="1" ht="18" x14ac:dyDescent="0.35">
      <c r="A44" s="92">
        <v>2</v>
      </c>
      <c r="B44" s="93" t="s">
        <v>53</v>
      </c>
      <c r="C44" s="94" t="e">
        <f>+C13/C7</f>
        <v>#DIV/0!</v>
      </c>
      <c r="D44" s="95">
        <f>+D13/D7</f>
        <v>1.7250431308912471</v>
      </c>
      <c r="E44" s="95">
        <f>+E13/E7</f>
        <v>0.62785817889215423</v>
      </c>
      <c r="F44" s="95">
        <f>+F13/F7</f>
        <v>1.1735773770359237</v>
      </c>
      <c r="G44" s="95">
        <f>+G13/G7</f>
        <v>1.2904996526013204</v>
      </c>
      <c r="H44" s="36"/>
    </row>
    <row r="45" spans="1:8" s="37" customFormat="1" ht="18" x14ac:dyDescent="0.35">
      <c r="A45" s="92">
        <v>3</v>
      </c>
      <c r="B45" s="93" t="s">
        <v>56</v>
      </c>
      <c r="C45" s="94" t="e">
        <f>+C13/C12</f>
        <v>#DIV/0!</v>
      </c>
      <c r="D45" s="95">
        <f>+D13/D12</f>
        <v>0.75691071665385545</v>
      </c>
      <c r="E45" s="95">
        <f>+E13/E12</f>
        <v>0.5480146739451075</v>
      </c>
      <c r="F45" s="95">
        <f>+F13/F12</f>
        <v>0.87840086736497891</v>
      </c>
      <c r="G45" s="95">
        <f>+G13/G12</f>
        <v>0.73690580587039956</v>
      </c>
      <c r="H45" s="36"/>
    </row>
    <row r="46" spans="1:8" s="37" customFormat="1" ht="18" x14ac:dyDescent="0.35">
      <c r="A46" s="92">
        <v>4</v>
      </c>
      <c r="B46" s="93" t="s">
        <v>57</v>
      </c>
      <c r="C46" s="94" t="e">
        <f>+C16/C12</f>
        <v>#DIV/0!</v>
      </c>
      <c r="D46" s="95">
        <f>+D16/D12</f>
        <v>0.80598497774397815</v>
      </c>
      <c r="E46" s="95">
        <f>+E16/E12</f>
        <v>0.60342133457412228</v>
      </c>
      <c r="F46" s="95">
        <f>+F16/F12</f>
        <v>0.91790991395225341</v>
      </c>
      <c r="G46" s="95">
        <f>+G16/G12</f>
        <v>0.7979453092307992</v>
      </c>
      <c r="H46" s="36"/>
    </row>
    <row r="47" spans="1:8" s="37" customFormat="1" ht="18" x14ac:dyDescent="0.35">
      <c r="A47" s="92">
        <v>5</v>
      </c>
      <c r="B47" s="93" t="s">
        <v>58</v>
      </c>
      <c r="C47" s="94" t="e">
        <f>+C18/C12</f>
        <v>#DIV/0!</v>
      </c>
      <c r="D47" s="95">
        <f>+D18/D12</f>
        <v>0.26765889807720811</v>
      </c>
      <c r="E47" s="95">
        <f>+E18/E12</f>
        <v>0.35272020799929138</v>
      </c>
      <c r="F47" s="95">
        <f>+F18/F12</f>
        <v>0.45192146377698783</v>
      </c>
      <c r="G47" s="95">
        <f>+G18/G12</f>
        <v>0.37406897197306793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-0.27593042338228668</v>
      </c>
      <c r="D48" s="95">
        <f>+D17/D18</f>
        <v>0.72485922810627745</v>
      </c>
      <c r="E48" s="95">
        <f>+E17/E18</f>
        <v>1.1243434780087067</v>
      </c>
      <c r="F48" s="95">
        <f>+F17/F18</f>
        <v>0.18164679624125152</v>
      </c>
      <c r="G48" s="95">
        <f>+G17/G18</f>
        <v>0.54015357035212275</v>
      </c>
      <c r="H48" s="36"/>
    </row>
    <row r="49" spans="1:8" s="37" customFormat="1" ht="18" x14ac:dyDescent="0.35">
      <c r="A49" s="92">
        <v>7</v>
      </c>
      <c r="B49" s="93" t="s">
        <v>55</v>
      </c>
      <c r="C49" s="94" t="e">
        <f>+C20/C12</f>
        <v>#DIV/0!</v>
      </c>
      <c r="D49" s="95">
        <f>+D20/D12</f>
        <v>-7.8035376503630974E-2</v>
      </c>
      <c r="E49" s="95">
        <f>+E20/E12</f>
        <v>3.4969426791245171E-2</v>
      </c>
      <c r="F49" s="95">
        <f>+F20/F12</f>
        <v>-0.37747812687165178</v>
      </c>
      <c r="G49" s="95">
        <f>+G20/G12</f>
        <v>-0.17778260805420518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T1:U1"/>
    <mergeCell ref="T2:U2"/>
    <mergeCell ref="T3:U3"/>
    <mergeCell ref="A5:G5"/>
  </mergeCells>
  <conditionalFormatting sqref="D1:G4 C43:G1048576 D41:G41">
    <cfRule type="cellIs" dxfId="180" priority="18" operator="lessThan">
      <formula>-0.01</formula>
    </cfRule>
  </conditionalFormatting>
  <conditionalFormatting sqref="C1:C4 C41">
    <cfRule type="cellIs" dxfId="179" priority="17" operator="lessThan">
      <formula>-0.01</formula>
    </cfRule>
  </conditionalFormatting>
  <conditionalFormatting sqref="G6">
    <cfRule type="cellIs" dxfId="178" priority="12" operator="lessThan">
      <formula>-0.01</formula>
    </cfRule>
  </conditionalFormatting>
  <conditionalFormatting sqref="D6:F6">
    <cfRule type="cellIs" dxfId="177" priority="14" operator="lessThan">
      <formula>-0.01</formula>
    </cfRule>
  </conditionalFormatting>
  <conditionalFormatting sqref="C6">
    <cfRule type="cellIs" dxfId="176" priority="13" operator="lessThan">
      <formula>-0.01</formula>
    </cfRule>
  </conditionalFormatting>
  <conditionalFormatting sqref="D7:F33 D36:F40 D34:E35">
    <cfRule type="cellIs" dxfId="175" priority="4" operator="lessThan">
      <formula>-0.01</formula>
    </cfRule>
  </conditionalFormatting>
  <conditionalFormatting sqref="C7:C40">
    <cfRule type="cellIs" dxfId="174" priority="3" operator="lessThan">
      <formula>-0.01</formula>
    </cfRule>
  </conditionalFormatting>
  <conditionalFormatting sqref="G7:G40">
    <cfRule type="cellIs" dxfId="173" priority="2" operator="lessThan">
      <formula>-0.01</formula>
    </cfRule>
  </conditionalFormatting>
  <conditionalFormatting sqref="F34:F35">
    <cfRule type="cellIs" dxfId="172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90" zoomScaleNormal="50" zoomScaleSheetLayoutView="90" workbookViewId="0">
      <pane xSplit="2" ySplit="6" topLeftCell="C37" activePane="bottomRight" state="frozen"/>
      <selection activeCell="C5" sqref="C5:D5"/>
      <selection pane="topRight" activeCell="C5" sqref="C5:D5"/>
      <selection pane="bottomLeft" activeCell="C5" sqref="C5:D5"/>
      <selection pane="bottomRight" activeCell="C7" sqref="C7:F7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88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>
        <v>1350000</v>
      </c>
      <c r="D7" s="51">
        <v>84961264.099999994</v>
      </c>
      <c r="E7" s="52">
        <v>54755497.799999997</v>
      </c>
      <c r="F7" s="53">
        <v>51685455.859999999</v>
      </c>
      <c r="G7" s="51">
        <f>+C7+D7+E7+F7</f>
        <v>192752217.75999999</v>
      </c>
      <c r="H7" s="28"/>
    </row>
    <row r="8" spans="1:31" s="29" customFormat="1" ht="30.75" customHeight="1" x14ac:dyDescent="0.35">
      <c r="A8" s="102"/>
      <c r="B8" s="80" t="s">
        <v>42</v>
      </c>
      <c r="C8" s="54"/>
      <c r="D8" s="54"/>
      <c r="E8" s="55"/>
      <c r="F8" s="56"/>
      <c r="G8" s="51">
        <f>+C8+D8+E8+F8</f>
        <v>0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/>
      <c r="D9" s="57">
        <v>112561416.64</v>
      </c>
      <c r="E9" s="55">
        <v>-25111478.879999999</v>
      </c>
      <c r="F9" s="56">
        <v>872810.69</v>
      </c>
      <c r="G9" s="51">
        <f>+C9+D9+E9+F9</f>
        <v>88322748.450000003</v>
      </c>
      <c r="H9" s="26"/>
    </row>
    <row r="10" spans="1:31" s="27" customFormat="1" ht="30.75" customHeight="1" x14ac:dyDescent="0.35">
      <c r="A10" s="102"/>
      <c r="B10" s="81" t="s">
        <v>4</v>
      </c>
      <c r="C10" s="54"/>
      <c r="D10" s="54"/>
      <c r="E10" s="55"/>
      <c r="F10" s="56"/>
      <c r="G10" s="51">
        <f>+C10+D10+E10+F10</f>
        <v>0</v>
      </c>
      <c r="H10" s="26"/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1350000</v>
      </c>
      <c r="D12" s="61">
        <f>SUM(D7:D11)</f>
        <v>197522680.74000001</v>
      </c>
      <c r="E12" s="62">
        <f>SUM(E7:E11)</f>
        <v>29644018.919999998</v>
      </c>
      <c r="F12" s="63">
        <f>SUM(F7:F11)</f>
        <v>52558266.549999997</v>
      </c>
      <c r="G12" s="61">
        <f>SUM(G7:G11)</f>
        <v>281074966.20999998</v>
      </c>
      <c r="H12" s="26"/>
    </row>
    <row r="13" spans="1:31" s="32" customFormat="1" ht="30.75" customHeight="1" x14ac:dyDescent="0.35">
      <c r="A13" s="105">
        <v>60</v>
      </c>
      <c r="B13" s="84" t="s">
        <v>7</v>
      </c>
      <c r="C13" s="51">
        <v>651562.63</v>
      </c>
      <c r="D13" s="64">
        <v>160817789.96000001</v>
      </c>
      <c r="E13" s="65">
        <v>15808313.609999999</v>
      </c>
      <c r="F13" s="66">
        <v>37180441.109999999</v>
      </c>
      <c r="G13" s="51">
        <f>+C13+D13+E13+F13</f>
        <v>214458107.31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v>2804939.47</v>
      </c>
      <c r="D14" s="58">
        <v>5266389.43</v>
      </c>
      <c r="E14" s="59">
        <v>2514343.2400000002</v>
      </c>
      <c r="F14" s="60">
        <v>2239287.81</v>
      </c>
      <c r="G14" s="236">
        <f>+C14+D14+E14+F14</f>
        <v>12824959.950000001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112"/>
      <c r="D15" s="112"/>
      <c r="E15" s="231"/>
      <c r="F15" s="232"/>
      <c r="G15" s="112">
        <f>+C15+D15+E15+F15</f>
        <v>0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3456502.1</v>
      </c>
      <c r="D16" s="61">
        <f>+D13+D14+D15</f>
        <v>166084179.39000002</v>
      </c>
      <c r="E16" s="62">
        <f>+E13+E14+E15</f>
        <v>18322656.850000001</v>
      </c>
      <c r="F16" s="63">
        <f>+F13+F14+F15</f>
        <v>39419728.920000002</v>
      </c>
      <c r="G16" s="61">
        <f>+G13+G14+G15</f>
        <v>227283067.25999999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-2106502.1</v>
      </c>
      <c r="D17" s="67">
        <f>+D12-D16</f>
        <v>31438501.349999994</v>
      </c>
      <c r="E17" s="68">
        <f>+E12-E16</f>
        <v>11321362.069999997</v>
      </c>
      <c r="F17" s="69">
        <f>+F12-F16</f>
        <v>13138537.629999995</v>
      </c>
      <c r="G17" s="67">
        <f>+G12-G16</f>
        <v>53791898.949999988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v>11526900.59</v>
      </c>
      <c r="D18" s="64">
        <v>29044887.010000002</v>
      </c>
      <c r="E18" s="65">
        <v>11799770.210000001</v>
      </c>
      <c r="F18" s="66">
        <v>9952862.6300000008</v>
      </c>
      <c r="G18" s="51">
        <f>+C18+D18+E18+F18</f>
        <v>62324420.440000005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v>99245.82</v>
      </c>
      <c r="D19" s="58">
        <v>861244</v>
      </c>
      <c r="E19" s="59">
        <v>568218.93999999994</v>
      </c>
      <c r="F19" s="60">
        <v>519634.56</v>
      </c>
      <c r="G19" s="236">
        <f>+C19+D19+E19+F19</f>
        <v>2048343.32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-13732648.51</v>
      </c>
      <c r="D20" s="61">
        <f>+D17-D18-D19</f>
        <v>1532370.3399999924</v>
      </c>
      <c r="E20" s="62">
        <f>+E17-E18-E19</f>
        <v>-1046627.0800000043</v>
      </c>
      <c r="F20" s="63">
        <f>+F17-F18-F19</f>
        <v>2666040.4399999944</v>
      </c>
      <c r="G20" s="61">
        <f>+G17-G18-G19</f>
        <v>-10580864.810000017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v>78186884.579999998</v>
      </c>
      <c r="D21" s="51">
        <v>463776.63</v>
      </c>
      <c r="E21" s="52"/>
      <c r="F21" s="53"/>
      <c r="G21" s="51">
        <f t="shared" ref="G21:G26" si="0">+C21+D21+E21+F21</f>
        <v>78650661.209999993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v>214000</v>
      </c>
      <c r="D22" s="54">
        <v>1002.71</v>
      </c>
      <c r="E22" s="55"/>
      <c r="F22" s="56">
        <v>21.62</v>
      </c>
      <c r="G22" s="54">
        <f t="shared" si="0"/>
        <v>215024.33</v>
      </c>
      <c r="H22" s="31"/>
    </row>
    <row r="23" spans="1:12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v>1249834.24</v>
      </c>
      <c r="D25" s="54">
        <v>5851567.3600000003</v>
      </c>
      <c r="E25" s="55">
        <v>536349.64</v>
      </c>
      <c r="F25" s="56">
        <v>569330.76</v>
      </c>
      <c r="G25" s="57">
        <f t="shared" si="0"/>
        <v>8207082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62990401.829999998</v>
      </c>
      <c r="D27" s="61">
        <f>+D20+D21+D26-(D22+D23+D24+D25)</f>
        <v>-3856423.100000008</v>
      </c>
      <c r="E27" s="62">
        <f>+E20+E21+E26-(E22+E23+E24+E25)</f>
        <v>-1582976.7200000044</v>
      </c>
      <c r="F27" s="63">
        <f>+F20+F21+F26-(F22+F23+F24+F25)</f>
        <v>2096688.0599999945</v>
      </c>
      <c r="G27" s="61">
        <f>+G20+G21+G26-(G22+G23+G24+G25)</f>
        <v>59647690.069999978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/>
      <c r="D28" s="51">
        <v>99114.66</v>
      </c>
      <c r="E28" s="52"/>
      <c r="F28" s="53"/>
      <c r="G28" s="51">
        <f>+C28+D28+E28+F28</f>
        <v>99114.66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/>
      <c r="D29" s="58">
        <v>126180.26</v>
      </c>
      <c r="E29" s="59"/>
      <c r="F29" s="60"/>
      <c r="G29" s="58">
        <f>+C29+D29+E29+F29</f>
        <v>126180.26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0</v>
      </c>
      <c r="D30" s="61">
        <f>+D28-D29</f>
        <v>-27065.599999999991</v>
      </c>
      <c r="E30" s="62">
        <f>+E28-E29</f>
        <v>0</v>
      </c>
      <c r="F30" s="63">
        <f>+F28-F29</f>
        <v>0</v>
      </c>
      <c r="G30" s="61">
        <f>+G28-G29</f>
        <v>-27065.599999999991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62990401.829999998</v>
      </c>
      <c r="D31" s="61">
        <f>+D27+D30</f>
        <v>-3883488.7000000081</v>
      </c>
      <c r="E31" s="62">
        <f>+E27+E30</f>
        <v>-1582976.7200000044</v>
      </c>
      <c r="F31" s="63">
        <f>+F27+F30</f>
        <v>2096688.0599999945</v>
      </c>
      <c r="G31" s="61">
        <f>+G27+G30</f>
        <v>59620624.469999976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79536884.579999998</v>
      </c>
      <c r="D34" s="74">
        <f>+D12+D21+D28+D26</f>
        <v>198085572.03</v>
      </c>
      <c r="E34" s="75">
        <f>+E12+E21+E28+E26</f>
        <v>29644018.919999998</v>
      </c>
      <c r="F34" s="75">
        <f>+F12+F21+F28+F26</f>
        <v>52558266.549999997</v>
      </c>
      <c r="G34" s="74">
        <f>+G12+G21+G28+G26</f>
        <v>359824742.07999998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16546482.75</v>
      </c>
      <c r="D35" s="73">
        <f t="shared" ref="D35:G35" si="1">+D16+D18+D19+D25+D22+D29+D33+D32</f>
        <v>201969060.73000002</v>
      </c>
      <c r="E35" s="77">
        <f t="shared" si="1"/>
        <v>31226995.640000004</v>
      </c>
      <c r="F35" s="77">
        <f t="shared" si="1"/>
        <v>50461578.490000002</v>
      </c>
      <c r="G35" s="73">
        <f t="shared" si="1"/>
        <v>300204117.60999995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62990401.829999998</v>
      </c>
      <c r="D36" s="61">
        <f>+D34-D35</f>
        <v>-3883488.7000000179</v>
      </c>
      <c r="E36" s="62">
        <f>+E34-E35</f>
        <v>-1582976.7200000063</v>
      </c>
      <c r="F36" s="63">
        <f>+F34-F35</f>
        <v>2096688.0599999949</v>
      </c>
      <c r="G36" s="61">
        <f>+G34-G35</f>
        <v>59620624.470000029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62990401.829999998</v>
      </c>
      <c r="D40" s="117">
        <f>+D36</f>
        <v>-3883488.7000000179</v>
      </c>
      <c r="E40" s="118">
        <f>+E36</f>
        <v>-1582976.7200000063</v>
      </c>
      <c r="F40" s="119">
        <f>+F36</f>
        <v>2096688.0599999949</v>
      </c>
      <c r="G40" s="117">
        <f>+G36</f>
        <v>59620624.470000029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2.3248557190429096</v>
      </c>
      <c r="E43" s="95">
        <f>+E12/E7</f>
        <v>0.54138890359974046</v>
      </c>
      <c r="F43" s="95">
        <f>+F12/F7</f>
        <v>1.0168869689833862</v>
      </c>
      <c r="G43" s="95">
        <f>+G12/G7</f>
        <v>1.4582191036575909</v>
      </c>
      <c r="H43" s="38"/>
    </row>
    <row r="44" spans="1:8" s="37" customFormat="1" ht="18" x14ac:dyDescent="0.35">
      <c r="A44" s="92">
        <v>2</v>
      </c>
      <c r="B44" s="93" t="s">
        <v>53</v>
      </c>
      <c r="C44" s="94">
        <f>+C13/C7</f>
        <v>0.48263898518518517</v>
      </c>
      <c r="D44" s="95">
        <f>+D13/D7</f>
        <v>1.8928365963424973</v>
      </c>
      <c r="E44" s="95">
        <f>+E13/E7</f>
        <v>0.28870733068196125</v>
      </c>
      <c r="F44" s="95">
        <f>+F13/F7</f>
        <v>0.71935983714084628</v>
      </c>
      <c r="G44" s="95">
        <f>+G13/G7</f>
        <v>1.1126103232546278</v>
      </c>
      <c r="H44" s="36"/>
    </row>
    <row r="45" spans="1:8" s="37" customFormat="1" ht="18" x14ac:dyDescent="0.35">
      <c r="A45" s="92">
        <v>3</v>
      </c>
      <c r="B45" s="93" t="s">
        <v>56</v>
      </c>
      <c r="C45" s="94">
        <f>+C13/C12</f>
        <v>0.48263898518518517</v>
      </c>
      <c r="D45" s="95">
        <f>+D13/D12</f>
        <v>0.8141737918780334</v>
      </c>
      <c r="E45" s="95">
        <f>+E13/E12</f>
        <v>0.53327160708747789</v>
      </c>
      <c r="F45" s="95">
        <f>+F13/F12</f>
        <v>0.70741376286885937</v>
      </c>
      <c r="G45" s="95">
        <f>+G13/G12</f>
        <v>0.7629925574722709</v>
      </c>
      <c r="H45" s="36"/>
    </row>
    <row r="46" spans="1:8" s="37" customFormat="1" ht="18" x14ac:dyDescent="0.35">
      <c r="A46" s="92">
        <v>4</v>
      </c>
      <c r="B46" s="93" t="s">
        <v>57</v>
      </c>
      <c r="C46" s="94">
        <f>+C16/C12</f>
        <v>2.5603719259259261</v>
      </c>
      <c r="D46" s="95">
        <f>+D16/D12</f>
        <v>0.84083599294917111</v>
      </c>
      <c r="E46" s="95">
        <f>+E16/E12</f>
        <v>0.61808950059865908</v>
      </c>
      <c r="F46" s="95">
        <f>+F16/F12</f>
        <v>0.75001957841396893</v>
      </c>
      <c r="G46" s="95">
        <f>+G16/G12</f>
        <v>0.80862081146774789</v>
      </c>
      <c r="H46" s="36"/>
    </row>
    <row r="47" spans="1:8" s="37" customFormat="1" ht="18" x14ac:dyDescent="0.35">
      <c r="A47" s="92">
        <v>5</v>
      </c>
      <c r="B47" s="93" t="s">
        <v>58</v>
      </c>
      <c r="C47" s="94">
        <f>+C18/C12</f>
        <v>8.5384448814814817</v>
      </c>
      <c r="D47" s="95">
        <f>+D18/D12</f>
        <v>0.14704583241370603</v>
      </c>
      <c r="E47" s="95">
        <f>+E18/E12</f>
        <v>0.39804893667906222</v>
      </c>
      <c r="F47" s="95">
        <f>+F18/F12</f>
        <v>0.18936816762272007</v>
      </c>
      <c r="G47" s="95">
        <f>+G18/G12</f>
        <v>0.22173593500829761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-0.18274661810022602</v>
      </c>
      <c r="D48" s="95">
        <f>+D17/D18</f>
        <v>1.0824108676744337</v>
      </c>
      <c r="E48" s="95">
        <f>+E17/E18</f>
        <v>0.95945614774815147</v>
      </c>
      <c r="F48" s="95">
        <f>+F17/F18</f>
        <v>1.3200762552873688</v>
      </c>
      <c r="G48" s="95">
        <f>+G17/G18</f>
        <v>0.86309505279372289</v>
      </c>
      <c r="H48" s="36"/>
    </row>
    <row r="49" spans="1:8" s="37" customFormat="1" ht="18" x14ac:dyDescent="0.35">
      <c r="A49" s="92">
        <v>7</v>
      </c>
      <c r="B49" s="93" t="s">
        <v>55</v>
      </c>
      <c r="C49" s="94">
        <f>+C20/C12</f>
        <v>-10.17233222962963</v>
      </c>
      <c r="D49" s="95">
        <f>+D20/D12</f>
        <v>7.7579462482946877E-3</v>
      </c>
      <c r="E49" s="95">
        <f>+E20/E12</f>
        <v>-3.5306517743917444E-2</v>
      </c>
      <c r="F49" s="95">
        <f>+F20/F12</f>
        <v>5.0725425608619021E-2</v>
      </c>
      <c r="G49" s="95">
        <f>+G20/G12</f>
        <v>-3.7644280288180197E-2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T1:U1"/>
    <mergeCell ref="T2:U2"/>
    <mergeCell ref="T3:U3"/>
    <mergeCell ref="A5:G5"/>
  </mergeCells>
  <conditionalFormatting sqref="D1:G4 C43:G1048576 D41:G41">
    <cfRule type="cellIs" dxfId="171" priority="18" operator="lessThan">
      <formula>-0.01</formula>
    </cfRule>
  </conditionalFormatting>
  <conditionalFormatting sqref="C1:C4 C41">
    <cfRule type="cellIs" dxfId="170" priority="17" operator="lessThan">
      <formula>-0.01</formula>
    </cfRule>
  </conditionalFormatting>
  <conditionalFormatting sqref="G6">
    <cfRule type="cellIs" dxfId="169" priority="12" operator="lessThan">
      <formula>-0.01</formula>
    </cfRule>
  </conditionalFormatting>
  <conditionalFormatting sqref="D6:F6">
    <cfRule type="cellIs" dxfId="168" priority="14" operator="lessThan">
      <formula>-0.01</formula>
    </cfRule>
  </conditionalFormatting>
  <conditionalFormatting sqref="C6">
    <cfRule type="cellIs" dxfId="167" priority="13" operator="lessThan">
      <formula>-0.01</formula>
    </cfRule>
  </conditionalFormatting>
  <conditionalFormatting sqref="D7:F33 D36:F40 D34:E35">
    <cfRule type="cellIs" dxfId="166" priority="4" operator="lessThan">
      <formula>-0.01</formula>
    </cfRule>
  </conditionalFormatting>
  <conditionalFormatting sqref="C7:C40">
    <cfRule type="cellIs" dxfId="165" priority="3" operator="lessThan">
      <formula>-0.01</formula>
    </cfRule>
  </conditionalFormatting>
  <conditionalFormatting sqref="G7:G40">
    <cfRule type="cellIs" dxfId="164" priority="2" operator="lessThan">
      <formula>-0.01</formula>
    </cfRule>
  </conditionalFormatting>
  <conditionalFormatting sqref="F34:F35">
    <cfRule type="cellIs" dxfId="163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AE50"/>
  <sheetViews>
    <sheetView view="pageBreakPreview" zoomScale="90" zoomScaleNormal="50" zoomScaleSheetLayoutView="90" workbookViewId="0">
      <pane xSplit="2" ySplit="6" topLeftCell="C28" activePane="bottomRight" state="frozen"/>
      <selection activeCell="C5" sqref="C5:D5"/>
      <selection pane="topRight" activeCell="C5" sqref="C5:D5"/>
      <selection pane="bottomLeft" activeCell="C5" sqref="C5:D5"/>
      <selection pane="bottomRight" activeCell="I6" sqref="I6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89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>
        <f>+'01 2021'!C7+'02 2021'!C7+'03 2021'!C7</f>
        <v>19350000</v>
      </c>
      <c r="D7" s="51">
        <f>+'01 2021'!D7+'02 2021'!D7+'03 2021'!D7</f>
        <v>170795304.97</v>
      </c>
      <c r="E7" s="52">
        <f>+'01 2021'!E7+'02 2021'!E7+'03 2021'!E7</f>
        <v>108832283.45999999</v>
      </c>
      <c r="F7" s="53">
        <f>+'01 2021'!F7+'02 2021'!F7+'03 2021'!F7</f>
        <v>84284770.849999994</v>
      </c>
      <c r="G7" s="51">
        <f>+C7+D7+E7+F7</f>
        <v>383262359.27999997</v>
      </c>
      <c r="H7" s="28"/>
    </row>
    <row r="8" spans="1:31" s="29" customFormat="1" ht="30.75" customHeight="1" x14ac:dyDescent="0.35">
      <c r="A8" s="102"/>
      <c r="B8" s="80" t="s">
        <v>42</v>
      </c>
      <c r="C8" s="54">
        <f>+'01 2021'!C8+'02 2021'!C8+'03 2021'!C8</f>
        <v>0</v>
      </c>
      <c r="D8" s="54">
        <f>+'01 2021'!D8+'02 2021'!D8+'03 2021'!D8</f>
        <v>104457.01</v>
      </c>
      <c r="E8" s="55">
        <f>+'01 2021'!E8+'02 2021'!E8+'03 2021'!E8</f>
        <v>0</v>
      </c>
      <c r="F8" s="56">
        <f>+'01 2021'!F8+'02 2021'!F8+'03 2021'!F8</f>
        <v>0</v>
      </c>
      <c r="G8" s="51">
        <f>+C8+D8+E8+F8</f>
        <v>104457.01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>
        <f>+'01 2021'!C9+'02 2021'!C9+'03 2021'!C9</f>
        <v>0</v>
      </c>
      <c r="D9" s="57">
        <f>+'01 2021'!D9+'02 2021'!D9+'03 2021'!D9</f>
        <v>272880216.93000001</v>
      </c>
      <c r="E9" s="55">
        <f>+'01 2021'!E9+'02 2021'!E9+'03 2021'!E9</f>
        <v>-12417958.91</v>
      </c>
      <c r="F9" s="56">
        <f>+'01 2021'!F9+'02 2021'!F9+'03 2021'!F9</f>
        <v>22823082.82</v>
      </c>
      <c r="G9" s="51">
        <f>+C9+D9+E9+F9</f>
        <v>283285340.84000003</v>
      </c>
      <c r="H9" s="26"/>
    </row>
    <row r="10" spans="1:31" s="27" customFormat="1" ht="30.75" customHeight="1" x14ac:dyDescent="0.35">
      <c r="A10" s="102"/>
      <c r="B10" s="81" t="s">
        <v>4</v>
      </c>
      <c r="C10" s="54">
        <f>+'01 2021'!C10+'02 2021'!C10+'03 2021'!C10</f>
        <v>0</v>
      </c>
      <c r="D10" s="54">
        <f>+'01 2021'!D10+'02 2021'!D10+'03 2021'!D10</f>
        <v>110175.3</v>
      </c>
      <c r="E10" s="55">
        <f>+'01 2021'!E10+'02 2021'!E10+'03 2021'!E10</f>
        <v>0</v>
      </c>
      <c r="F10" s="56">
        <f>+'01 2021'!F10+'02 2021'!F10+'03 2021'!F10</f>
        <v>0</v>
      </c>
      <c r="G10" s="51">
        <f>+C10+D10+E10+F10</f>
        <v>110175.3</v>
      </c>
      <c r="H10" s="26"/>
    </row>
    <row r="11" spans="1:31" s="27" customFormat="1" ht="30.75" customHeight="1" thickBot="1" x14ac:dyDescent="0.4">
      <c r="A11" s="103"/>
      <c r="B11" s="82" t="s">
        <v>5</v>
      </c>
      <c r="C11" s="58">
        <f>+'01 2021'!C11+'02 2021'!C11+'03 2021'!C11</f>
        <v>0</v>
      </c>
      <c r="D11" s="58">
        <f>+'01 2021'!D11+'02 2021'!D11+'03 2021'!D11</f>
        <v>0</v>
      </c>
      <c r="E11" s="59">
        <f>+'01 2021'!E11+'02 2021'!E11+'03 2021'!E11</f>
        <v>0</v>
      </c>
      <c r="F11" s="60">
        <f>+'01 2021'!F11+'02 2021'!F11+'03 2021'!F11</f>
        <v>0</v>
      </c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19350000</v>
      </c>
      <c r="D12" s="61">
        <f>SUM(D7:D11)</f>
        <v>443890154.20999998</v>
      </c>
      <c r="E12" s="62">
        <f>SUM(E7:E11)</f>
        <v>96414324.549999997</v>
      </c>
      <c r="F12" s="63">
        <f>SUM(F7:F11)</f>
        <v>107107853.66999999</v>
      </c>
      <c r="G12" s="61">
        <f>SUM(G7:G11)</f>
        <v>666762332.42999995</v>
      </c>
      <c r="H12" s="26"/>
    </row>
    <row r="13" spans="1:31" s="32" customFormat="1" ht="30.75" customHeight="1" x14ac:dyDescent="0.35">
      <c r="A13" s="105">
        <v>60</v>
      </c>
      <c r="B13" s="84" t="s">
        <v>7</v>
      </c>
      <c r="C13" s="51">
        <f>+'01 2021'!C13+'02 2021'!C13+'03 2021'!C13</f>
        <v>2039472.2399999998</v>
      </c>
      <c r="D13" s="64">
        <f>+'01 2021'!D13+'02 2021'!D13+'03 2021'!D13</f>
        <v>361301536.97000003</v>
      </c>
      <c r="E13" s="65">
        <f>+'01 2021'!E13+'02 2021'!E13+'03 2021'!E13</f>
        <v>54163614.689999998</v>
      </c>
      <c r="F13" s="66">
        <f>+'01 2021'!F13+'02 2021'!F13+'03 2021'!F13</f>
        <v>86338351.769999996</v>
      </c>
      <c r="G13" s="51">
        <f>+C13+D13+E13+F13</f>
        <v>503842975.67000002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f>+'01 2021'!C14+'02 2021'!C14+'03 2021'!C14</f>
        <v>6871737.3700000001</v>
      </c>
      <c r="D14" s="58">
        <f>+'01 2021'!D14+'02 2021'!D14+'03 2021'!D14</f>
        <v>16237858.67</v>
      </c>
      <c r="E14" s="59">
        <f>+'01 2021'!E14+'02 2021'!E14+'03 2021'!E14</f>
        <v>6666258.1299999999</v>
      </c>
      <c r="F14" s="60">
        <f>+'01 2021'!F14+'02 2021'!F14+'03 2021'!F14</f>
        <v>6135031.4900000002</v>
      </c>
      <c r="G14" s="58">
        <f>+C14+D14+E14+F14</f>
        <v>35910885.659999996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58">
        <f>+'01 2021'!C15+'02 2021'!C15+'03 2021'!C15</f>
        <v>104457.01</v>
      </c>
      <c r="D15" s="58">
        <f>+'01 2021'!D15+'02 2021'!D15+'03 2021'!D15</f>
        <v>0</v>
      </c>
      <c r="E15" s="59">
        <f>+'01 2021'!E15+'02 2021'!E15+'03 2021'!E15</f>
        <v>0</v>
      </c>
      <c r="F15" s="60">
        <f>+'01 2021'!F15+'02 2021'!F15+'03 2021'!F15</f>
        <v>0</v>
      </c>
      <c r="G15" s="112">
        <f>+C15+D15+E15+F15</f>
        <v>104457.01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9015666.6199999992</v>
      </c>
      <c r="D16" s="61">
        <f>+D13+D14+D15</f>
        <v>377539395.64000005</v>
      </c>
      <c r="E16" s="62">
        <f>+E13+E14+E15</f>
        <v>60829872.82</v>
      </c>
      <c r="F16" s="63">
        <f>+F13+F14+F15</f>
        <v>92473383.25999999</v>
      </c>
      <c r="G16" s="61">
        <f>+G13+G14+G15</f>
        <v>539858318.34000003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10334333.380000001</v>
      </c>
      <c r="D17" s="67">
        <f>+D12-D16</f>
        <v>66350758.569999933</v>
      </c>
      <c r="E17" s="68">
        <f>+E12-E16</f>
        <v>35584451.729999997</v>
      </c>
      <c r="F17" s="69">
        <f>+F12-F16</f>
        <v>14634470.409999996</v>
      </c>
      <c r="G17" s="67">
        <f>+G12-G16</f>
        <v>126904014.08999991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f>+'01 2021'!C18+'02 2021'!C18+'03 2021'!C18</f>
        <v>32935484.859999999</v>
      </c>
      <c r="D18" s="64">
        <f>+'01 2021'!D18+'02 2021'!D18+'03 2021'!D18</f>
        <v>88183066.040000007</v>
      </c>
      <c r="E18" s="65">
        <f>+'01 2021'!E18+'02 2021'!E18+'03 2021'!E18</f>
        <v>34955255.840000004</v>
      </c>
      <c r="F18" s="66">
        <f>+'01 2021'!F18+'02 2021'!F18+'03 2021'!F18</f>
        <v>31657394.370000005</v>
      </c>
      <c r="G18" s="51">
        <f>+C18+D18+E18+F18</f>
        <v>187731201.11000001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f>+'01 2021'!C19+'02 2021'!C19+'03 2021'!C19</f>
        <v>638722.82000000007</v>
      </c>
      <c r="D19" s="58">
        <f>+'01 2021'!D19+'02 2021'!D19+'03 2021'!D19</f>
        <v>1727257.67</v>
      </c>
      <c r="E19" s="59">
        <f>+'01 2021'!E19+'02 2021'!E19+'03 2021'!E19</f>
        <v>1272162.2999999998</v>
      </c>
      <c r="F19" s="60">
        <f>+'01 2021'!F19+'02 2021'!F19+'03 2021'!F19</f>
        <v>853533.56</v>
      </c>
      <c r="G19" s="58">
        <f>+C19+D19+E19+F19</f>
        <v>4491676.3499999996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-23239874.299999997</v>
      </c>
      <c r="D20" s="61">
        <f>+D17-D18-D19</f>
        <v>-23559565.140000075</v>
      </c>
      <c r="E20" s="62">
        <f>+E17-E18-E19</f>
        <v>-642966.41000000667</v>
      </c>
      <c r="F20" s="63">
        <f>+F17-F18-F19</f>
        <v>-17876457.520000007</v>
      </c>
      <c r="G20" s="61">
        <f>+G17-G18-G19</f>
        <v>-65318863.370000102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f>+'01 2021'!C21+'02 2021'!C21+'03 2021'!C21</f>
        <v>78186884.579999998</v>
      </c>
      <c r="D21" s="51">
        <f>+'01 2021'!D21+'02 2021'!D21+'03 2021'!D21</f>
        <v>1852627.73</v>
      </c>
      <c r="E21" s="52">
        <f>+'01 2021'!E21+'02 2021'!E21+'03 2021'!E21</f>
        <v>0.02</v>
      </c>
      <c r="F21" s="53">
        <f>+'01 2021'!F21+'02 2021'!F21+'03 2021'!F21</f>
        <v>0</v>
      </c>
      <c r="G21" s="51">
        <f t="shared" ref="G21:G26" si="0">+C21+D21+E21+F21</f>
        <v>80039512.329999998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f>+'01 2021'!C22+'02 2021'!C22+'03 2021'!C22</f>
        <v>450194.12</v>
      </c>
      <c r="D22" s="54">
        <f>+'01 2021'!D22+'02 2021'!D22+'03 2021'!D22</f>
        <v>1003.77</v>
      </c>
      <c r="E22" s="55">
        <f>+'01 2021'!E22+'02 2021'!E22+'03 2021'!E22</f>
        <v>5964.39</v>
      </c>
      <c r="F22" s="56">
        <f>+'01 2021'!F22+'02 2021'!F22+'03 2021'!F22</f>
        <v>21.62</v>
      </c>
      <c r="G22" s="54">
        <f t="shared" si="0"/>
        <v>457183.9</v>
      </c>
      <c r="H22" s="31"/>
    </row>
    <row r="23" spans="1:12" s="27" customFormat="1" ht="30.75" customHeight="1" x14ac:dyDescent="0.35">
      <c r="A23" s="109"/>
      <c r="B23" s="87" t="s">
        <v>18</v>
      </c>
      <c r="C23" s="70">
        <f>+'01 2021'!C23+'02 2021'!C23+'03 2021'!C23</f>
        <v>0</v>
      </c>
      <c r="D23" s="70">
        <f>+'01 2021'!D23+'02 2021'!D23+'03 2021'!D23</f>
        <v>0</v>
      </c>
      <c r="E23" s="71">
        <f>+'01 2021'!E23+'02 2021'!E23+'03 2021'!E23</f>
        <v>0</v>
      </c>
      <c r="F23" s="72">
        <f>+'01 2021'!F23+'02 2021'!F23+'03 2021'!F23</f>
        <v>0</v>
      </c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>
        <f>+'01 2021'!C24+'02 2021'!C24+'03 2021'!C24</f>
        <v>0</v>
      </c>
      <c r="D24" s="70">
        <f>+'01 2021'!D24+'02 2021'!D24+'03 2021'!D24</f>
        <v>0</v>
      </c>
      <c r="E24" s="71">
        <f>+'01 2021'!E24+'02 2021'!E24+'03 2021'!E24</f>
        <v>0</v>
      </c>
      <c r="F24" s="72">
        <f>+'01 2021'!F24+'02 2021'!F24+'03 2021'!F24</f>
        <v>0</v>
      </c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f>+'01 2021'!C25+'02 2021'!C25+'03 2021'!C25</f>
        <v>3741170.3500000006</v>
      </c>
      <c r="D25" s="54">
        <f>+'01 2021'!D25+'02 2021'!D25+'03 2021'!D25</f>
        <v>17554702.120000001</v>
      </c>
      <c r="E25" s="55">
        <f>+'01 2021'!E25+'02 2021'!E25+'03 2021'!E25</f>
        <v>1609048.92</v>
      </c>
      <c r="F25" s="56">
        <f>+'01 2021'!F25+'02 2021'!F25+'03 2021'!F25</f>
        <v>1715962.0799999998</v>
      </c>
      <c r="G25" s="57">
        <f t="shared" si="0"/>
        <v>24620883.469999999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>
        <f>+'01 2021'!C26+'02 2021'!C26+'03 2021'!C26</f>
        <v>0</v>
      </c>
      <c r="D26" s="58">
        <f>+'01 2021'!D26+'02 2021'!D26+'03 2021'!D26</f>
        <v>0</v>
      </c>
      <c r="E26" s="59">
        <f>+'01 2021'!E26+'02 2021'!E26+'03 2021'!E26</f>
        <v>0</v>
      </c>
      <c r="F26" s="60">
        <f>+'01 2021'!F26+'02 2021'!F26+'03 2021'!F26</f>
        <v>0</v>
      </c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50755645.810000002</v>
      </c>
      <c r="D27" s="61">
        <f>+D20+D21-(D22+D23+D24+D25+D26)</f>
        <v>-39262643.300000072</v>
      </c>
      <c r="E27" s="62">
        <f>+E20+E21-(E22+E23+E24+E25+E26)</f>
        <v>-2257979.7000000067</v>
      </c>
      <c r="F27" s="63">
        <f>+F20+F21-(F22+F23+F24+F25+F26)</f>
        <v>-19592441.220000006</v>
      </c>
      <c r="G27" s="61">
        <f>+G20+G21-(G22+G23+G24+G25+G26)</f>
        <v>-10357418.410000101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>
        <f>+'01 2021'!C28+'02 2021'!C28+'03 2021'!C28</f>
        <v>4170000</v>
      </c>
      <c r="D28" s="51">
        <f>+'01 2021'!D28+'02 2021'!D28+'03 2021'!D28</f>
        <v>298253.25</v>
      </c>
      <c r="E28" s="52">
        <f>+'01 2021'!E28+'02 2021'!E28+'03 2021'!E28</f>
        <v>0</v>
      </c>
      <c r="F28" s="53">
        <f>+'01 2021'!F28+'02 2021'!F28+'03 2021'!F28</f>
        <v>0</v>
      </c>
      <c r="G28" s="51">
        <f>+C28+D28+E28+F28</f>
        <v>4468253.25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>
        <f>+'01 2021'!C29+'02 2021'!C29+'03 2021'!C29</f>
        <v>0</v>
      </c>
      <c r="D29" s="58">
        <f>+'01 2021'!D29+'02 2021'!D29+'03 2021'!D29</f>
        <v>1543380.78</v>
      </c>
      <c r="E29" s="59">
        <f>+'01 2021'!E29+'02 2021'!E29+'03 2021'!E29</f>
        <v>0</v>
      </c>
      <c r="F29" s="60">
        <f>+'01 2021'!F29+'02 2021'!F29+'03 2021'!F29</f>
        <v>0</v>
      </c>
      <c r="G29" s="58">
        <f>+C29+D29+E29+F29</f>
        <v>1543380.78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4170000</v>
      </c>
      <c r="D30" s="61">
        <f>+D28-D29</f>
        <v>-1245127.53</v>
      </c>
      <c r="E30" s="62">
        <f>+E28-E29</f>
        <v>0</v>
      </c>
      <c r="F30" s="63">
        <f>+F28-F29</f>
        <v>0</v>
      </c>
      <c r="G30" s="61">
        <f>+G28-G29</f>
        <v>2924872.4699999997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54925645.810000002</v>
      </c>
      <c r="D31" s="61">
        <f>+D27+D30</f>
        <v>-40507770.830000073</v>
      </c>
      <c r="E31" s="62">
        <f>+E27+E30</f>
        <v>-2257979.7000000067</v>
      </c>
      <c r="F31" s="63">
        <f>+F27+F30</f>
        <v>-19592441.220000006</v>
      </c>
      <c r="G31" s="61">
        <f>+G27+G30</f>
        <v>-7432545.940000101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>
        <f>+'01 2021'!C32+'02 2021'!C32+'03 2021'!C32</f>
        <v>0</v>
      </c>
      <c r="D32" s="51">
        <f>+'01 2021'!D32+'02 2021'!D32+'03 2021'!D32</f>
        <v>0</v>
      </c>
      <c r="E32" s="52">
        <f>+'01 2021'!E32+'02 2021'!E32+'03 2021'!E32</f>
        <v>0</v>
      </c>
      <c r="F32" s="53">
        <f>+'01 2021'!F32+'02 2021'!F32+'03 2021'!F32</f>
        <v>0</v>
      </c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>
        <f>+'01 2021'!C33+'02 2021'!C33+'03 2021'!C33</f>
        <v>0</v>
      </c>
      <c r="D33" s="54">
        <f>+'01 2021'!D33+'02 2021'!D33+'03 2021'!D33</f>
        <v>0</v>
      </c>
      <c r="E33" s="55">
        <f>+'01 2021'!E33+'02 2021'!E33+'03 2021'!E33</f>
        <v>0</v>
      </c>
      <c r="F33" s="56">
        <f>+'01 2021'!F33+'02 2021'!F33+'03 2021'!F33</f>
        <v>0</v>
      </c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101706884.58</v>
      </c>
      <c r="D34" s="74">
        <f>+D12+D21+D28+D26</f>
        <v>446041035.19</v>
      </c>
      <c r="E34" s="75">
        <f>+E12+E21+E28+E26</f>
        <v>96414324.569999993</v>
      </c>
      <c r="F34" s="76">
        <f>+F12+F21+F28+F26</f>
        <v>107107853.66999999</v>
      </c>
      <c r="G34" s="74">
        <f>+G12+G21+G28+G26</f>
        <v>751270098.00999999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46781238.769999996</v>
      </c>
      <c r="D35" s="73">
        <f t="shared" ref="D35:G35" si="1">+D16+D18+D19+D25+D22+D29+D33+D32</f>
        <v>486548806.02000004</v>
      </c>
      <c r="E35" s="77">
        <f t="shared" si="1"/>
        <v>98672304.269999996</v>
      </c>
      <c r="F35" s="78">
        <f t="shared" si="1"/>
        <v>126700294.89</v>
      </c>
      <c r="G35" s="73">
        <f t="shared" si="1"/>
        <v>758702643.95000005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54925645.810000002</v>
      </c>
      <c r="D36" s="61">
        <f>+D34-D35</f>
        <v>-40507770.830000043</v>
      </c>
      <c r="E36" s="62">
        <f>+E34-E35</f>
        <v>-2257979.700000003</v>
      </c>
      <c r="F36" s="63">
        <f>+F34-F35</f>
        <v>-19592441.220000014</v>
      </c>
      <c r="G36" s="61">
        <f>+G34-G35</f>
        <v>-7432545.9400000572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f>+'01 2021'!C37+'02 2021'!C37+'03 2021'!C37</f>
        <v>0</v>
      </c>
      <c r="D37" s="51">
        <f>+'01 2021'!D37+'02 2021'!D37+'03 2021'!D37</f>
        <v>0</v>
      </c>
      <c r="E37" s="52">
        <f>+'01 2021'!E37+'02 2021'!E37+'03 2021'!E37</f>
        <v>0</v>
      </c>
      <c r="F37" s="53">
        <f>+'01 2021'!F37+'02 2021'!F37+'03 2021'!F37</f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f>+'01 2021'!C38+'02 2021'!C38+'03 2021'!C38</f>
        <v>0</v>
      </c>
      <c r="D38" s="58">
        <f>+'01 2021'!D38+'02 2021'!D38+'03 2021'!D38</f>
        <v>0</v>
      </c>
      <c r="E38" s="59">
        <f>+'01 2021'!E38+'02 2021'!E38+'03 2021'!E38</f>
        <v>0</v>
      </c>
      <c r="F38" s="60">
        <f>+'01 2021'!F38+'02 2021'!F38+'03 2021'!F38</f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54925645.810000002</v>
      </c>
      <c r="D40" s="117">
        <f>+D36</f>
        <v>-40507770.830000043</v>
      </c>
      <c r="E40" s="118">
        <f>+E36</f>
        <v>-2257979.700000003</v>
      </c>
      <c r="F40" s="119">
        <f>+F36</f>
        <v>-19592441.220000014</v>
      </c>
      <c r="G40" s="117">
        <f>+G36</f>
        <v>-7432545.9400000572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2.598959932112705</v>
      </c>
      <c r="E43" s="95">
        <f>+E12/E7</f>
        <v>0.88589820487811355</v>
      </c>
      <c r="F43" s="95">
        <f>+F12/F7</f>
        <v>1.2707853695256264</v>
      </c>
      <c r="G43" s="95">
        <f>+G12/G7</f>
        <v>1.7397021029734971</v>
      </c>
      <c r="H43" s="38"/>
    </row>
    <row r="44" spans="1:8" s="37" customFormat="1" ht="18" x14ac:dyDescent="0.35">
      <c r="A44" s="92">
        <v>2</v>
      </c>
      <c r="B44" s="93" t="s">
        <v>53</v>
      </c>
      <c r="C44" s="94">
        <f>+C13/C7</f>
        <v>0.10539908217054263</v>
      </c>
      <c r="D44" s="95">
        <f>+D13/D7</f>
        <v>2.1154067263936924</v>
      </c>
      <c r="E44" s="95">
        <f>+E13/E7</f>
        <v>0.49767966790761298</v>
      </c>
      <c r="F44" s="95">
        <f>+F13/F7</f>
        <v>1.024364792112382</v>
      </c>
      <c r="G44" s="95">
        <f>+G13/G7</f>
        <v>1.3146163808429396</v>
      </c>
      <c r="H44" s="36"/>
    </row>
    <row r="45" spans="1:8" s="37" customFormat="1" ht="18" x14ac:dyDescent="0.35">
      <c r="A45" s="92">
        <v>3</v>
      </c>
      <c r="B45" s="93" t="s">
        <v>56</v>
      </c>
      <c r="C45" s="94">
        <f>+C13/C12</f>
        <v>0.10539908217054263</v>
      </c>
      <c r="D45" s="95">
        <f>+D13/D12</f>
        <v>0.8139435703705018</v>
      </c>
      <c r="E45" s="95">
        <f>+E13/E12</f>
        <v>0.56177974531067754</v>
      </c>
      <c r="F45" s="95">
        <f>+F13/F12</f>
        <v>0.80608796471647204</v>
      </c>
      <c r="G45" s="95">
        <f>+G13/G12</f>
        <v>0.75565602788891195</v>
      </c>
      <c r="H45" s="36"/>
    </row>
    <row r="46" spans="1:8" s="37" customFormat="1" ht="18" x14ac:dyDescent="0.35">
      <c r="A46" s="92">
        <v>4</v>
      </c>
      <c r="B46" s="93" t="s">
        <v>57</v>
      </c>
      <c r="C46" s="94">
        <f>+C16/C12</f>
        <v>0.46592592351421186</v>
      </c>
      <c r="D46" s="95">
        <f>+D16/D12</f>
        <v>0.85052437423829397</v>
      </c>
      <c r="E46" s="95">
        <f>+E16/E12</f>
        <v>0.63092152648389843</v>
      </c>
      <c r="F46" s="95">
        <f>+F16/F12</f>
        <v>0.86336697162199794</v>
      </c>
      <c r="G46" s="95">
        <f>+G16/G12</f>
        <v>0.80967129077687827</v>
      </c>
      <c r="H46" s="36"/>
    </row>
    <row r="47" spans="1:8" s="37" customFormat="1" ht="18" x14ac:dyDescent="0.35">
      <c r="A47" s="92">
        <v>5</v>
      </c>
      <c r="B47" s="93" t="s">
        <v>58</v>
      </c>
      <c r="C47" s="94">
        <f>+C18/C12</f>
        <v>1.7020922408268733</v>
      </c>
      <c r="D47" s="95">
        <f>+D18/D12</f>
        <v>0.19865965758339726</v>
      </c>
      <c r="E47" s="95">
        <f>+E18/E12</f>
        <v>0.36255251492087548</v>
      </c>
      <c r="F47" s="95">
        <f>+F18/F12</f>
        <v>0.29556557512147191</v>
      </c>
      <c r="G47" s="95">
        <f>+G18/G12</f>
        <v>0.28155639870329502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0.31377504912796966</v>
      </c>
      <c r="D48" s="95">
        <f>+D17/D18</f>
        <v>0.75242063527143754</v>
      </c>
      <c r="E48" s="95">
        <f>+E17/E18</f>
        <v>1.0180000367578483</v>
      </c>
      <c r="F48" s="95">
        <f>+F17/F18</f>
        <v>0.46227652974081435</v>
      </c>
      <c r="G48" s="95">
        <f>+G17/G18</f>
        <v>0.67598786637305563</v>
      </c>
      <c r="H48" s="36"/>
    </row>
    <row r="49" spans="1:8" s="37" customFormat="1" ht="18" x14ac:dyDescent="0.35">
      <c r="A49" s="92">
        <v>7</v>
      </c>
      <c r="B49" s="93" t="s">
        <v>55</v>
      </c>
      <c r="C49" s="94">
        <f>+C20/C12</f>
        <v>-1.2010270956072351</v>
      </c>
      <c r="D49" s="95">
        <f>+D20/D12</f>
        <v>-5.3075214479423399E-2</v>
      </c>
      <c r="E49" s="95">
        <f>+E20/E12</f>
        <v>-6.668785089777478E-3</v>
      </c>
      <c r="F49" s="95">
        <f>+F20/F12</f>
        <v>-0.16690146340787942</v>
      </c>
      <c r="G49" s="95">
        <f>+G20/G12</f>
        <v>-9.7964237319686329E-2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selectLockedCells="1" selectUnlockedCells="1"/>
  <mergeCells count="5">
    <mergeCell ref="A42:G42"/>
    <mergeCell ref="T1:U1"/>
    <mergeCell ref="T2:U2"/>
    <mergeCell ref="T3:U3"/>
    <mergeCell ref="A5:G5"/>
  </mergeCells>
  <conditionalFormatting sqref="D1:G4 C43:G1048576 D41:G41 D6:F40">
    <cfRule type="cellIs" dxfId="162" priority="4" operator="lessThan">
      <formula>-0.01</formula>
    </cfRule>
  </conditionalFormatting>
  <conditionalFormatting sqref="C1:C4 C6:C41">
    <cfRule type="cellIs" dxfId="161" priority="3" operator="lessThan">
      <formula>-0.01</formula>
    </cfRule>
  </conditionalFormatting>
  <conditionalFormatting sqref="G7:G40">
    <cfRule type="cellIs" dxfId="160" priority="2" operator="lessThan">
      <formula>-0.01</formula>
    </cfRule>
  </conditionalFormatting>
  <conditionalFormatting sqref="G6">
    <cfRule type="cellIs" dxfId="159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90" zoomScaleNormal="50" zoomScaleSheetLayoutView="90" workbookViewId="0">
      <pane xSplit="2" ySplit="6" topLeftCell="C37" activePane="bottomRight" state="frozen"/>
      <selection activeCell="C5" sqref="C5:D5"/>
      <selection pane="topRight" activeCell="C5" sqref="C5:D5"/>
      <selection pane="bottomLeft" activeCell="C5" sqref="C5:D5"/>
      <selection pane="bottomRight" activeCell="C26" sqref="C26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90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/>
      <c r="D7" s="51">
        <v>85694295.980000004</v>
      </c>
      <c r="E7" s="52">
        <v>40951519.619999997</v>
      </c>
      <c r="F7" s="53">
        <v>70935830.030000001</v>
      </c>
      <c r="G7" s="51">
        <f>+C7+D7+E7+F7</f>
        <v>197581645.63</v>
      </c>
      <c r="H7" s="28"/>
    </row>
    <row r="8" spans="1:31" s="29" customFormat="1" ht="30.75" customHeight="1" x14ac:dyDescent="0.35">
      <c r="A8" s="102"/>
      <c r="B8" s="80" t="s">
        <v>42</v>
      </c>
      <c r="C8" s="54"/>
      <c r="D8" s="54"/>
      <c r="E8" s="55"/>
      <c r="F8" s="56"/>
      <c r="G8" s="51">
        <f>+C8+D8+E8+F8</f>
        <v>0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/>
      <c r="D9" s="57">
        <v>27306783.649999999</v>
      </c>
      <c r="E9" s="55">
        <v>-17282702</v>
      </c>
      <c r="F9" s="56">
        <v>-22559717.940000001</v>
      </c>
      <c r="G9" s="51">
        <f>+C9+D9+E9+F9</f>
        <v>-12535636.290000003</v>
      </c>
      <c r="H9" s="26"/>
    </row>
    <row r="10" spans="1:31" s="27" customFormat="1" ht="30.75" customHeight="1" x14ac:dyDescent="0.35">
      <c r="A10" s="102"/>
      <c r="B10" s="81" t="s">
        <v>4</v>
      </c>
      <c r="C10" s="54"/>
      <c r="D10" s="54"/>
      <c r="E10" s="55"/>
      <c r="F10" s="56"/>
      <c r="G10" s="51">
        <f>+C10+D10+E10+F10</f>
        <v>0</v>
      </c>
      <c r="H10" s="26"/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0</v>
      </c>
      <c r="D12" s="61">
        <f>SUM(D7:D11)</f>
        <v>113001079.63</v>
      </c>
      <c r="E12" s="62">
        <f>SUM(E7:E11)</f>
        <v>23668817.619999997</v>
      </c>
      <c r="F12" s="63">
        <f>SUM(F7:F11)</f>
        <v>48376112.090000004</v>
      </c>
      <c r="G12" s="61">
        <f>SUM(G7:G11)</f>
        <v>185046009.34</v>
      </c>
      <c r="H12" s="26"/>
    </row>
    <row r="13" spans="1:31" s="32" customFormat="1" ht="30.75" customHeight="1" x14ac:dyDescent="0.35">
      <c r="A13" s="105">
        <v>60</v>
      </c>
      <c r="B13" s="84" t="s">
        <v>7</v>
      </c>
      <c r="C13" s="51">
        <v>940598.73</v>
      </c>
      <c r="D13" s="64">
        <v>84180428.849999994</v>
      </c>
      <c r="E13" s="65">
        <v>12375091.33</v>
      </c>
      <c r="F13" s="66">
        <v>31695351.829999998</v>
      </c>
      <c r="G13" s="51">
        <f>+C13+D13+E13+F13</f>
        <v>129191470.73999999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v>4597964.6500000004</v>
      </c>
      <c r="D14" s="58">
        <v>3732721.11</v>
      </c>
      <c r="E14" s="59">
        <v>535141.93999999994</v>
      </c>
      <c r="F14" s="60">
        <v>1616774.93</v>
      </c>
      <c r="G14" s="58">
        <f>+C14+D14+E14+F14</f>
        <v>10482602.629999999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112"/>
      <c r="D15" s="112"/>
      <c r="E15" s="231"/>
      <c r="F15" s="232"/>
      <c r="G15" s="112">
        <f>+C15+D15+E15+F15</f>
        <v>0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5538563.3800000008</v>
      </c>
      <c r="D16" s="61">
        <f>+D13+D14+D15</f>
        <v>87913149.959999993</v>
      </c>
      <c r="E16" s="62">
        <f>+E13+E14+E15</f>
        <v>12910233.27</v>
      </c>
      <c r="F16" s="63">
        <f>+F13+F14+F15</f>
        <v>33312126.759999998</v>
      </c>
      <c r="G16" s="61">
        <f>+G13+G14+G15</f>
        <v>139674073.37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-5538563.3800000008</v>
      </c>
      <c r="D17" s="67">
        <f>+D12-D16</f>
        <v>25087929.670000002</v>
      </c>
      <c r="E17" s="68">
        <f>+E12-E16</f>
        <v>10758584.349999998</v>
      </c>
      <c r="F17" s="69">
        <f>+F12-F16</f>
        <v>15063985.330000006</v>
      </c>
      <c r="G17" s="67">
        <f>+G12-G16</f>
        <v>45371935.969999999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v>13720481.92</v>
      </c>
      <c r="D18" s="64">
        <v>27445369.859999999</v>
      </c>
      <c r="E18" s="65">
        <v>11685859.289999999</v>
      </c>
      <c r="F18" s="66">
        <v>10923466.51</v>
      </c>
      <c r="G18" s="51">
        <f>+C18+D18+E18+F18</f>
        <v>63775177.579999998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v>5408.41</v>
      </c>
      <c r="D19" s="58">
        <v>856943</v>
      </c>
      <c r="E19" s="59">
        <v>417119</v>
      </c>
      <c r="F19" s="60">
        <v>716708.42</v>
      </c>
      <c r="G19" s="58">
        <f>+C19+D19+E19+F19</f>
        <v>1996178.83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-19264453.710000001</v>
      </c>
      <c r="D20" s="61">
        <f>+D17-D18-D19</f>
        <v>-3214383.1899999976</v>
      </c>
      <c r="E20" s="62">
        <f>+E17-E18-E19</f>
        <v>-1344393.9400000013</v>
      </c>
      <c r="F20" s="63">
        <f>+F17-F18-F19</f>
        <v>3423810.400000006</v>
      </c>
      <c r="G20" s="61">
        <f>+G17-G18-G19</f>
        <v>-20399420.439999998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v>0.03</v>
      </c>
      <c r="D21" s="51">
        <v>2877078.78</v>
      </c>
      <c r="E21" s="52"/>
      <c r="F21" s="53">
        <v>98820</v>
      </c>
      <c r="G21" s="51">
        <f t="shared" ref="G21:G26" si="0">+C21+D21+E21+F21</f>
        <v>2975898.8099999996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v>214000</v>
      </c>
      <c r="D22" s="54">
        <v>58374.99</v>
      </c>
      <c r="E22" s="55">
        <v>6381.05</v>
      </c>
      <c r="F22" s="56"/>
      <c r="G22" s="54">
        <f t="shared" si="0"/>
        <v>278756.03999999998</v>
      </c>
      <c r="H22" s="31"/>
    </row>
    <row r="23" spans="1:12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v>1249194.53</v>
      </c>
      <c r="D25" s="54">
        <v>5848695.3600000003</v>
      </c>
      <c r="E25" s="55">
        <v>554036.31000000006</v>
      </c>
      <c r="F25" s="56">
        <v>584705.02</v>
      </c>
      <c r="G25" s="57">
        <f t="shared" si="0"/>
        <v>8236631.2200000007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-20727648.210000001</v>
      </c>
      <c r="D27" s="61">
        <f>+D20+D21+D26-(D22+D23+D24+D25)</f>
        <v>-6244374.7599999979</v>
      </c>
      <c r="E27" s="62">
        <f>+E20+E21+E26-(E22+E23+E24+E25)</f>
        <v>-1904811.3000000014</v>
      </c>
      <c r="F27" s="63">
        <f>+F20+F21+F26-(F22+F23+F24+F25)</f>
        <v>2937925.3800000059</v>
      </c>
      <c r="G27" s="61">
        <f>+G20+G21+G26-(G22+G23+G24+G25)</f>
        <v>-25938908.890000001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/>
      <c r="D28" s="51"/>
      <c r="E28" s="52"/>
      <c r="F28" s="53"/>
      <c r="G28" s="51">
        <f>+C28+D28+E28+F28</f>
        <v>0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/>
      <c r="D29" s="58"/>
      <c r="E29" s="59"/>
      <c r="F29" s="60"/>
      <c r="G29" s="58">
        <f>+C29+D29+E29+F29</f>
        <v>0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0</v>
      </c>
      <c r="D30" s="61">
        <f>+D28-D29</f>
        <v>0</v>
      </c>
      <c r="E30" s="62">
        <f>+E28-E29</f>
        <v>0</v>
      </c>
      <c r="F30" s="63">
        <f>+F28-F29</f>
        <v>0</v>
      </c>
      <c r="G30" s="61">
        <f>+G28-G29</f>
        <v>0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-20727648.210000001</v>
      </c>
      <c r="D31" s="61">
        <f>+D27+D30</f>
        <v>-6244374.7599999979</v>
      </c>
      <c r="E31" s="62">
        <f>+E27+E30</f>
        <v>-1904811.3000000014</v>
      </c>
      <c r="F31" s="63">
        <f>+F27+F30</f>
        <v>2937925.3800000059</v>
      </c>
      <c r="G31" s="61">
        <f>+G27+G30</f>
        <v>-25938908.890000001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0.03</v>
      </c>
      <c r="D34" s="74">
        <f>+D12+D21+D28+D26</f>
        <v>115878158.41</v>
      </c>
      <c r="E34" s="75">
        <f>+E12+E21+E28+E26</f>
        <v>23668817.619999997</v>
      </c>
      <c r="F34" s="75">
        <f>+F12+F21+F28+F26</f>
        <v>48474932.090000004</v>
      </c>
      <c r="G34" s="74">
        <f>+G12+G21+G28+G26</f>
        <v>188021908.15000001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20727648.240000002</v>
      </c>
      <c r="D35" s="73">
        <f t="shared" ref="D35:G35" si="1">+D16+D18+D19+D25+D22+D29+D33+D32</f>
        <v>122122533.16999999</v>
      </c>
      <c r="E35" s="77">
        <f t="shared" si="1"/>
        <v>25573628.919999998</v>
      </c>
      <c r="F35" s="77">
        <f t="shared" si="1"/>
        <v>45537006.710000001</v>
      </c>
      <c r="G35" s="73">
        <f t="shared" si="1"/>
        <v>213960817.03999999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-20727648.210000001</v>
      </c>
      <c r="D36" s="61">
        <f>+D34-D35</f>
        <v>-6244374.7599999905</v>
      </c>
      <c r="E36" s="62">
        <f>+E34-E35</f>
        <v>-1904811.3000000007</v>
      </c>
      <c r="F36" s="63">
        <f>+F34-F35</f>
        <v>2937925.3800000027</v>
      </c>
      <c r="G36" s="61">
        <f>+G34-G35</f>
        <v>-25938908.889999986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-20727648.210000001</v>
      </c>
      <c r="D40" s="117">
        <f>+D36</f>
        <v>-6244374.7599999905</v>
      </c>
      <c r="E40" s="118">
        <f>+E36</f>
        <v>-1904811.3000000007</v>
      </c>
      <c r="F40" s="119">
        <f>+F36</f>
        <v>2937925.3800000027</v>
      </c>
      <c r="G40" s="117">
        <f>+G36</f>
        <v>-25938908.889999986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 t="e">
        <f>+C12/C7</f>
        <v>#DIV/0!</v>
      </c>
      <c r="D43" s="95">
        <f>+D12/D7</f>
        <v>1.3186534568925459</v>
      </c>
      <c r="E43" s="95">
        <f>+E12/E7</f>
        <v>0.57797165623227731</v>
      </c>
      <c r="F43" s="95">
        <f>+F12/F7</f>
        <v>0.68197005757937701</v>
      </c>
      <c r="G43" s="95">
        <f>+G12/G7</f>
        <v>0.93655465187553522</v>
      </c>
      <c r="H43" s="38"/>
    </row>
    <row r="44" spans="1:8" s="37" customFormat="1" ht="18" x14ac:dyDescent="0.35">
      <c r="A44" s="92">
        <v>2</v>
      </c>
      <c r="B44" s="93" t="s">
        <v>53</v>
      </c>
      <c r="C44" s="94" t="e">
        <f>+C13/C7</f>
        <v>#DIV/0!</v>
      </c>
      <c r="D44" s="95">
        <f>+D13/D7</f>
        <v>0.98233409688839346</v>
      </c>
      <c r="E44" s="95">
        <f>+E13/E7</f>
        <v>0.30218881850616902</v>
      </c>
      <c r="F44" s="95">
        <f>+F13/F7</f>
        <v>0.44681724054818955</v>
      </c>
      <c r="G44" s="95">
        <f>+G13/G7</f>
        <v>0.65386372467981957</v>
      </c>
      <c r="H44" s="36"/>
    </row>
    <row r="45" spans="1:8" s="37" customFormat="1" ht="18" x14ac:dyDescent="0.35">
      <c r="A45" s="92">
        <v>3</v>
      </c>
      <c r="B45" s="93" t="s">
        <v>56</v>
      </c>
      <c r="C45" s="94" t="e">
        <f>+C13/C12</f>
        <v>#DIV/0!</v>
      </c>
      <c r="D45" s="95">
        <f>+D13/D12</f>
        <v>0.74495242988502763</v>
      </c>
      <c r="E45" s="95">
        <f>+E13/E12</f>
        <v>0.52284366412723249</v>
      </c>
      <c r="F45" s="95">
        <f>+F13/F12</f>
        <v>0.65518600938895744</v>
      </c>
      <c r="G45" s="95">
        <f>+G13/G12</f>
        <v>0.69815864281961382</v>
      </c>
      <c r="H45" s="36"/>
    </row>
    <row r="46" spans="1:8" s="37" customFormat="1" ht="18" x14ac:dyDescent="0.35">
      <c r="A46" s="92">
        <v>4</v>
      </c>
      <c r="B46" s="93" t="s">
        <v>57</v>
      </c>
      <c r="C46" s="94" t="e">
        <f>+C16/C12</f>
        <v>#DIV/0!</v>
      </c>
      <c r="D46" s="95">
        <f>+D16/D12</f>
        <v>0.77798504446023409</v>
      </c>
      <c r="E46" s="95">
        <f>+E16/E12</f>
        <v>0.5454532405155269</v>
      </c>
      <c r="F46" s="95">
        <f>+F16/F12</f>
        <v>0.68860694505638176</v>
      </c>
      <c r="G46" s="95">
        <f>+G16/G12</f>
        <v>0.75480727127362979</v>
      </c>
      <c r="H46" s="36"/>
    </row>
    <row r="47" spans="1:8" s="37" customFormat="1" ht="18" x14ac:dyDescent="0.35">
      <c r="A47" s="92">
        <v>5</v>
      </c>
      <c r="B47" s="93" t="s">
        <v>58</v>
      </c>
      <c r="C47" s="94" t="e">
        <f>+C18/C12</f>
        <v>#DIV/0!</v>
      </c>
      <c r="D47" s="95">
        <f>+D18/D12</f>
        <v>0.24287705878443386</v>
      </c>
      <c r="E47" s="95">
        <f>+E18/E12</f>
        <v>0.49372383013021842</v>
      </c>
      <c r="F47" s="95">
        <f>+F18/F12</f>
        <v>0.22580290226047389</v>
      </c>
      <c r="G47" s="95">
        <f>+G18/G12</f>
        <v>0.34464497671398414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-0.40367119845306432</v>
      </c>
      <c r="D48" s="95">
        <f>+D17/D18</f>
        <v>0.91410426596451788</v>
      </c>
      <c r="E48" s="95">
        <f>+E17/E18</f>
        <v>0.92064982839614518</v>
      </c>
      <c r="F48" s="95">
        <f>+F17/F18</f>
        <v>1.3790480628296453</v>
      </c>
      <c r="G48" s="95">
        <f>+G17/G18</f>
        <v>0.71143566653476031</v>
      </c>
      <c r="H48" s="36"/>
    </row>
    <row r="49" spans="1:8" s="37" customFormat="1" ht="18" x14ac:dyDescent="0.35">
      <c r="A49" s="92">
        <v>7</v>
      </c>
      <c r="B49" s="93" t="s">
        <v>55</v>
      </c>
      <c r="C49" s="94" t="e">
        <f>+C20/C12</f>
        <v>#DIV/0!</v>
      </c>
      <c r="D49" s="95">
        <f>+D20/D12</f>
        <v>-2.8445597161769327E-2</v>
      </c>
      <c r="E49" s="95">
        <f>+E20/E12</f>
        <v>-5.6800215438898696E-2</v>
      </c>
      <c r="F49" s="95">
        <f>+F20/F12</f>
        <v>7.0774815339237518E-2</v>
      </c>
      <c r="G49" s="95">
        <f>+G20/G12</f>
        <v>-0.11023972099024569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T1:U1"/>
    <mergeCell ref="T2:U2"/>
    <mergeCell ref="T3:U3"/>
    <mergeCell ref="A5:G5"/>
  </mergeCells>
  <conditionalFormatting sqref="D1:G4 C43:G1048576 D41:G41">
    <cfRule type="cellIs" dxfId="158" priority="15" operator="lessThan">
      <formula>-0.01</formula>
    </cfRule>
  </conditionalFormatting>
  <conditionalFormatting sqref="C1:C4 C41">
    <cfRule type="cellIs" dxfId="157" priority="14" operator="lessThan">
      <formula>-0.01</formula>
    </cfRule>
  </conditionalFormatting>
  <conditionalFormatting sqref="G6">
    <cfRule type="cellIs" dxfId="156" priority="9" operator="lessThan">
      <formula>-0.01</formula>
    </cfRule>
  </conditionalFormatting>
  <conditionalFormatting sqref="D6:F6">
    <cfRule type="cellIs" dxfId="155" priority="11" operator="lessThan">
      <formula>-0.01</formula>
    </cfRule>
  </conditionalFormatting>
  <conditionalFormatting sqref="C6">
    <cfRule type="cellIs" dxfId="154" priority="10" operator="lessThan">
      <formula>-0.01</formula>
    </cfRule>
  </conditionalFormatting>
  <conditionalFormatting sqref="D7:F33 D36:F40 D34:E35">
    <cfRule type="cellIs" dxfId="153" priority="4" operator="lessThan">
      <formula>-0.01</formula>
    </cfRule>
  </conditionalFormatting>
  <conditionalFormatting sqref="C7:C40">
    <cfRule type="cellIs" dxfId="152" priority="3" operator="lessThan">
      <formula>-0.01</formula>
    </cfRule>
  </conditionalFormatting>
  <conditionalFormatting sqref="G7:G40">
    <cfRule type="cellIs" dxfId="151" priority="2" operator="lessThan">
      <formula>-0.01</formula>
    </cfRule>
  </conditionalFormatting>
  <conditionalFormatting sqref="F34:F35">
    <cfRule type="cellIs" dxfId="150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90" zoomScaleNormal="50" zoomScaleSheetLayoutView="90" workbookViewId="0">
      <pane xSplit="2" ySplit="6" topLeftCell="C37" activePane="bottomRight" state="frozen"/>
      <selection activeCell="C5" sqref="C5:D5"/>
      <selection pane="topRight" activeCell="C5" sqref="C5:D5"/>
      <selection pane="bottomLeft" activeCell="C5" sqref="C5:D5"/>
      <selection pane="bottomRight" activeCell="C19" sqref="C19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91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/>
      <c r="D7" s="51">
        <v>83862202.469999999</v>
      </c>
      <c r="E7" s="52">
        <v>111164383.15000001</v>
      </c>
      <c r="F7" s="53">
        <v>52998015.979999997</v>
      </c>
      <c r="G7" s="51">
        <f>+C7+D7+E7+F7</f>
        <v>248024601.59999999</v>
      </c>
      <c r="H7" s="28"/>
    </row>
    <row r="8" spans="1:31" s="29" customFormat="1" ht="30.75" customHeight="1" x14ac:dyDescent="0.35">
      <c r="A8" s="102"/>
      <c r="B8" s="80" t="s">
        <v>42</v>
      </c>
      <c r="C8" s="54"/>
      <c r="D8" s="54">
        <v>561932.63</v>
      </c>
      <c r="E8" s="55"/>
      <c r="F8" s="56"/>
      <c r="G8" s="51">
        <f>+C8+D8+E8+F8</f>
        <v>561932.63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/>
      <c r="D9" s="57">
        <v>26246443.149999999</v>
      </c>
      <c r="E9" s="55">
        <v>-63310883.289999999</v>
      </c>
      <c r="F9" s="56">
        <v>-7577695.5599999996</v>
      </c>
      <c r="G9" s="51">
        <f>+C9+D9+E9+F9</f>
        <v>-44642135.700000003</v>
      </c>
      <c r="H9" s="26"/>
    </row>
    <row r="10" spans="1:31" s="27" customFormat="1" ht="30.75" customHeight="1" x14ac:dyDescent="0.35">
      <c r="A10" s="102"/>
      <c r="B10" s="81" t="s">
        <v>4</v>
      </c>
      <c r="C10" s="54"/>
      <c r="D10" s="54">
        <v>590627.23</v>
      </c>
      <c r="E10" s="55"/>
      <c r="F10" s="56"/>
      <c r="G10" s="51">
        <f>+C10+D10+E10+F10</f>
        <v>590627.23</v>
      </c>
      <c r="H10" s="26"/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0</v>
      </c>
      <c r="D12" s="61">
        <f>SUM(D7:D11)</f>
        <v>111261205.48</v>
      </c>
      <c r="E12" s="62">
        <f>SUM(E7:E11)</f>
        <v>47853499.860000007</v>
      </c>
      <c r="F12" s="63">
        <f>SUM(F7:F11)</f>
        <v>45420320.419999994</v>
      </c>
      <c r="G12" s="61">
        <f>SUM(G7:G11)</f>
        <v>204535025.75999996</v>
      </c>
      <c r="H12" s="26"/>
    </row>
    <row r="13" spans="1:31" s="32" customFormat="1" ht="30.75" customHeight="1" x14ac:dyDescent="0.35">
      <c r="A13" s="105">
        <v>60</v>
      </c>
      <c r="B13" s="84" t="s">
        <v>7</v>
      </c>
      <c r="C13" s="51">
        <v>447779.95</v>
      </c>
      <c r="D13" s="64">
        <v>87676561.359999999</v>
      </c>
      <c r="E13" s="65">
        <v>13514240.59</v>
      </c>
      <c r="F13" s="66">
        <v>31998336.420000002</v>
      </c>
      <c r="G13" s="51">
        <f>+C13+D13+E13+F13</f>
        <v>133636918.32000001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v>2624675.35</v>
      </c>
      <c r="D14" s="58">
        <v>5448287.6600000001</v>
      </c>
      <c r="E14" s="59">
        <v>2709073.5</v>
      </c>
      <c r="F14" s="60">
        <v>2419862.6800000002</v>
      </c>
      <c r="G14" s="58">
        <f>+C14+D14+E14+F14</f>
        <v>13201899.189999999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112"/>
      <c r="D15" s="112"/>
      <c r="E15" s="231"/>
      <c r="F15" s="232"/>
      <c r="G15" s="112">
        <f>+C15+D15+E15+F15</f>
        <v>0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3072455.3000000003</v>
      </c>
      <c r="D16" s="61">
        <f>+D13+D14+D15</f>
        <v>93124849.019999996</v>
      </c>
      <c r="E16" s="62">
        <f>+E13+E14+E15</f>
        <v>16223314.09</v>
      </c>
      <c r="F16" s="63">
        <f>+F13+F14+F15</f>
        <v>34418199.100000001</v>
      </c>
      <c r="G16" s="61">
        <f>+G13+G14+G15</f>
        <v>146838817.51000002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-3072455.3000000003</v>
      </c>
      <c r="D17" s="67">
        <f>+D12-D16</f>
        <v>18136356.460000008</v>
      </c>
      <c r="E17" s="68">
        <f>+E12-E16</f>
        <v>31630185.770000007</v>
      </c>
      <c r="F17" s="69">
        <f>+F12-F16</f>
        <v>11002121.319999993</v>
      </c>
      <c r="G17" s="67">
        <f>+G12-G16</f>
        <v>57696208.24999994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v>14371871.880000001</v>
      </c>
      <c r="D18" s="64">
        <v>28285670.949999999</v>
      </c>
      <c r="E18" s="65">
        <v>11311545.810000001</v>
      </c>
      <c r="F18" s="66">
        <v>10666080.26</v>
      </c>
      <c r="G18" s="51">
        <f>+C18+D18+E18+F18</f>
        <v>64635168.899999999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v>26121.42</v>
      </c>
      <c r="D19" s="58">
        <v>813894.4</v>
      </c>
      <c r="E19" s="59">
        <v>1117578</v>
      </c>
      <c r="F19" s="60">
        <v>532990</v>
      </c>
      <c r="G19" s="58">
        <f>+C19+D19+E19+F19</f>
        <v>2490583.8200000003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-17470448.600000001</v>
      </c>
      <c r="D20" s="61">
        <f>+D17-D18-D19</f>
        <v>-10963208.889999991</v>
      </c>
      <c r="E20" s="62">
        <f>+E17-E18-E19</f>
        <v>19201061.960000008</v>
      </c>
      <c r="F20" s="63">
        <f>+F17-F18-F19</f>
        <v>-196948.94000000693</v>
      </c>
      <c r="G20" s="61">
        <f>+G17-G18-G19</f>
        <v>-9429544.4700000584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v>60000</v>
      </c>
      <c r="D21" s="51">
        <v>1142350.46</v>
      </c>
      <c r="E21" s="52"/>
      <c r="F21" s="53"/>
      <c r="G21" s="51">
        <f t="shared" ref="G21:G26" si="0">+C21+D21+E21+F21</f>
        <v>1202350.46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/>
      <c r="D22" s="54">
        <v>0.03</v>
      </c>
      <c r="E22" s="55"/>
      <c r="F22" s="56"/>
      <c r="G22" s="54">
        <f t="shared" si="0"/>
        <v>0.03</v>
      </c>
      <c r="H22" s="31"/>
    </row>
    <row r="23" spans="1:12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v>1247332.6200000001</v>
      </c>
      <c r="D25" s="54">
        <v>5846514.5599999996</v>
      </c>
      <c r="E25" s="55">
        <v>553984.31000000006</v>
      </c>
      <c r="F25" s="56">
        <v>585331.47</v>
      </c>
      <c r="G25" s="57">
        <f t="shared" si="0"/>
        <v>8233162.96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-18657781.220000003</v>
      </c>
      <c r="D27" s="61">
        <f>+D20+D21+D26-(D22+D23+D24+D25)</f>
        <v>-15667373.019999992</v>
      </c>
      <c r="E27" s="62">
        <f>+E20+E21+E26-(E22+E23+E24+E25)</f>
        <v>18647077.65000001</v>
      </c>
      <c r="F27" s="63">
        <f>+F20+F21+F26-(F22+F23+F24+F25)</f>
        <v>-782280.4100000069</v>
      </c>
      <c r="G27" s="61">
        <f>+G20+G21+G26-(G22+G23+G24+G25)</f>
        <v>-16460357.00000006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/>
      <c r="D28" s="51"/>
      <c r="E28" s="52"/>
      <c r="F28" s="53"/>
      <c r="G28" s="51">
        <f>+C28+D28+E28+F28</f>
        <v>0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/>
      <c r="D29" s="58">
        <v>-12799.57</v>
      </c>
      <c r="E29" s="59"/>
      <c r="F29" s="60"/>
      <c r="G29" s="58">
        <f>+C29+D29+E29+F29</f>
        <v>-12799.57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0</v>
      </c>
      <c r="D30" s="61">
        <f>+D28-D29</f>
        <v>12799.57</v>
      </c>
      <c r="E30" s="62">
        <f>+E28-E29</f>
        <v>0</v>
      </c>
      <c r="F30" s="63">
        <f>+F28-F29</f>
        <v>0</v>
      </c>
      <c r="G30" s="61">
        <f>+G28-G29</f>
        <v>12799.57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-18657781.220000003</v>
      </c>
      <c r="D31" s="61">
        <f>+D27+D30</f>
        <v>-15654573.449999992</v>
      </c>
      <c r="E31" s="62">
        <f>+E27+E30</f>
        <v>18647077.65000001</v>
      </c>
      <c r="F31" s="63">
        <f>+F27+F30</f>
        <v>-782280.4100000069</v>
      </c>
      <c r="G31" s="61">
        <f>+G27+G30</f>
        <v>-16447557.430000059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60000</v>
      </c>
      <c r="D34" s="74">
        <f>+D12+D21+D28+D26</f>
        <v>112403555.94</v>
      </c>
      <c r="E34" s="75">
        <f>+E12+E21+E28+E26</f>
        <v>47853499.860000007</v>
      </c>
      <c r="F34" s="75">
        <f>+F12+F21+F28+F26</f>
        <v>45420320.419999994</v>
      </c>
      <c r="G34" s="74">
        <f>+G12+G21+G28+G26</f>
        <v>205737376.21999997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18717781.220000003</v>
      </c>
      <c r="D35" s="73">
        <f t="shared" ref="D35:G35" si="1">+D16+D18+D19+D25+D22+D29+D33+D32</f>
        <v>128058129.39000002</v>
      </c>
      <c r="E35" s="77">
        <f t="shared" si="1"/>
        <v>29206422.209999997</v>
      </c>
      <c r="F35" s="77">
        <f t="shared" si="1"/>
        <v>46202600.829999998</v>
      </c>
      <c r="G35" s="73">
        <f t="shared" si="1"/>
        <v>222184933.65000004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-18657781.220000003</v>
      </c>
      <c r="D36" s="61">
        <f>+D34-D35</f>
        <v>-15654573.450000018</v>
      </c>
      <c r="E36" s="62">
        <f>+E34-E35</f>
        <v>18647077.65000001</v>
      </c>
      <c r="F36" s="63">
        <f>+F34-F35</f>
        <v>-782280.41000000387</v>
      </c>
      <c r="G36" s="61">
        <f>+G34-G35</f>
        <v>-16447557.430000067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-18657781.220000003</v>
      </c>
      <c r="D40" s="117">
        <f>+D36</f>
        <v>-15654573.450000018</v>
      </c>
      <c r="E40" s="118">
        <f>+E36</f>
        <v>18647077.65000001</v>
      </c>
      <c r="F40" s="119">
        <f>+F36</f>
        <v>-782280.41000000387</v>
      </c>
      <c r="G40" s="117">
        <f>+G36</f>
        <v>-16447557.430000067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 t="e">
        <f>+C12/C7</f>
        <v>#DIV/0!</v>
      </c>
      <c r="D43" s="95">
        <f>+D12/D7</f>
        <v>1.3267145651201022</v>
      </c>
      <c r="E43" s="95">
        <f>+E12/E7</f>
        <v>0.43047510815967682</v>
      </c>
      <c r="F43" s="95">
        <f>+F12/F7</f>
        <v>0.85701925968587922</v>
      </c>
      <c r="G43" s="95">
        <f>+G12/G7</f>
        <v>0.82465620120161487</v>
      </c>
      <c r="H43" s="38"/>
    </row>
    <row r="44" spans="1:8" s="37" customFormat="1" ht="18" x14ac:dyDescent="0.35">
      <c r="A44" s="92">
        <v>2</v>
      </c>
      <c r="B44" s="93" t="s">
        <v>53</v>
      </c>
      <c r="C44" s="94" t="e">
        <f>+C13/C7</f>
        <v>#DIV/0!</v>
      </c>
      <c r="D44" s="95">
        <f>+D13/D7</f>
        <v>1.0454836479087763</v>
      </c>
      <c r="E44" s="95">
        <f>+E13/E7</f>
        <v>0.1215698788321842</v>
      </c>
      <c r="F44" s="95">
        <f>+F13/F7</f>
        <v>0.60376479814027939</v>
      </c>
      <c r="G44" s="95">
        <f>+G13/G7</f>
        <v>0.53880509214776218</v>
      </c>
      <c r="H44" s="36"/>
    </row>
    <row r="45" spans="1:8" s="37" customFormat="1" ht="18" x14ac:dyDescent="0.35">
      <c r="A45" s="92">
        <v>3</v>
      </c>
      <c r="B45" s="93" t="s">
        <v>56</v>
      </c>
      <c r="C45" s="94" t="e">
        <f>+C13/C12</f>
        <v>#DIV/0!</v>
      </c>
      <c r="D45" s="95">
        <f>+D13/D12</f>
        <v>0.78802454981274217</v>
      </c>
      <c r="E45" s="95">
        <f>+E13/E12</f>
        <v>0.28240861440724718</v>
      </c>
      <c r="F45" s="95">
        <f>+F13/F12</f>
        <v>0.70449385042008927</v>
      </c>
      <c r="G45" s="95">
        <f>+G13/G12</f>
        <v>0.65336935726993128</v>
      </c>
      <c r="H45" s="36"/>
    </row>
    <row r="46" spans="1:8" s="37" customFormat="1" ht="18" x14ac:dyDescent="0.35">
      <c r="A46" s="92">
        <v>4</v>
      </c>
      <c r="B46" s="93" t="s">
        <v>57</v>
      </c>
      <c r="C46" s="94" t="e">
        <f>+C16/C12</f>
        <v>#DIV/0!</v>
      </c>
      <c r="D46" s="95">
        <f>+D16/D12</f>
        <v>0.83699298976892578</v>
      </c>
      <c r="E46" s="95">
        <f>+E16/E12</f>
        <v>0.33902042980059677</v>
      </c>
      <c r="F46" s="95">
        <f>+F16/F12</f>
        <v>0.75777094440849846</v>
      </c>
      <c r="G46" s="95">
        <f>+G16/G12</f>
        <v>0.71791526641651937</v>
      </c>
      <c r="H46" s="36"/>
    </row>
    <row r="47" spans="1:8" s="37" customFormat="1" ht="18" x14ac:dyDescent="0.35">
      <c r="A47" s="92">
        <v>5</v>
      </c>
      <c r="B47" s="93" t="s">
        <v>58</v>
      </c>
      <c r="C47" s="94" t="e">
        <f>+C18/C12</f>
        <v>#DIV/0!</v>
      </c>
      <c r="D47" s="95">
        <f>+D18/D12</f>
        <v>0.25422761534868099</v>
      </c>
      <c r="E47" s="95">
        <f>+E18/E12</f>
        <v>0.23637865240981351</v>
      </c>
      <c r="F47" s="95">
        <f>+F18/F12</f>
        <v>0.2348305815848756</v>
      </c>
      <c r="G47" s="95">
        <f>+G18/G12</f>
        <v>0.31601027090510392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-0.21378254173526628</v>
      </c>
      <c r="D48" s="95">
        <f>+D17/D18</f>
        <v>0.641185301634148</v>
      </c>
      <c r="E48" s="95">
        <f>+E17/E18</f>
        <v>2.7962743820599005</v>
      </c>
      <c r="F48" s="95">
        <f>+F17/F18</f>
        <v>1.0315055814140286</v>
      </c>
      <c r="G48" s="95">
        <f>+G17/G18</f>
        <v>0.89264419404959494</v>
      </c>
      <c r="H48" s="36"/>
    </row>
    <row r="49" spans="1:8" s="37" customFormat="1" ht="18" x14ac:dyDescent="0.35">
      <c r="A49" s="92">
        <v>7</v>
      </c>
      <c r="B49" s="93" t="s">
        <v>55</v>
      </c>
      <c r="C49" s="94" t="e">
        <f>+C20/C12</f>
        <v>#DIV/0!</v>
      </c>
      <c r="D49" s="95">
        <f>+D20/D12</f>
        <v>-9.8535773028009352E-2</v>
      </c>
      <c r="E49" s="95">
        <f>+E20/E12</f>
        <v>0.40124676389761571</v>
      </c>
      <c r="F49" s="95">
        <f>+F20/F12</f>
        <v>-4.3361415810991089E-3</v>
      </c>
      <c r="G49" s="95">
        <f>+G20/G12</f>
        <v>-4.6102345722754706E-2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T1:U1"/>
    <mergeCell ref="T2:U2"/>
    <mergeCell ref="T3:U3"/>
    <mergeCell ref="A5:G5"/>
  </mergeCells>
  <conditionalFormatting sqref="D1:G4 C43:G1048576 D41:G41">
    <cfRule type="cellIs" dxfId="149" priority="18" operator="lessThan">
      <formula>-0.01</formula>
    </cfRule>
  </conditionalFormatting>
  <conditionalFormatting sqref="C1:C4 C41">
    <cfRule type="cellIs" dxfId="148" priority="17" operator="lessThan">
      <formula>-0.01</formula>
    </cfRule>
  </conditionalFormatting>
  <conditionalFormatting sqref="G6">
    <cfRule type="cellIs" dxfId="147" priority="12" operator="lessThan">
      <formula>-0.01</formula>
    </cfRule>
  </conditionalFormatting>
  <conditionalFormatting sqref="D6:F6">
    <cfRule type="cellIs" dxfId="146" priority="14" operator="lessThan">
      <formula>-0.01</formula>
    </cfRule>
  </conditionalFormatting>
  <conditionalFormatting sqref="C6">
    <cfRule type="cellIs" dxfId="145" priority="13" operator="lessThan">
      <formula>-0.01</formula>
    </cfRule>
  </conditionalFormatting>
  <conditionalFormatting sqref="G7:G40">
    <cfRule type="cellIs" dxfId="144" priority="5" operator="lessThan">
      <formula>-0.01</formula>
    </cfRule>
  </conditionalFormatting>
  <conditionalFormatting sqref="D7:F33 D36:F40 D34:E35">
    <cfRule type="cellIs" dxfId="143" priority="3" operator="lessThan">
      <formula>-0.01</formula>
    </cfRule>
  </conditionalFormatting>
  <conditionalFormatting sqref="C7:C40">
    <cfRule type="cellIs" dxfId="142" priority="2" operator="lessThan">
      <formula>-0.01</formula>
    </cfRule>
  </conditionalFormatting>
  <conditionalFormatting sqref="F34:F35">
    <cfRule type="cellIs" dxfId="141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E50"/>
  <sheetViews>
    <sheetView view="pageBreakPreview" zoomScale="80" zoomScaleNormal="50" zoomScaleSheetLayoutView="80" workbookViewId="0">
      <pane xSplit="2" ySplit="6" topLeftCell="C35" activePane="bottomRight" state="frozen"/>
      <selection activeCell="C5" sqref="C5:D5"/>
      <selection pane="topRight" activeCell="C5" sqref="C5:D5"/>
      <selection pane="bottomLeft" activeCell="C5" sqref="C5:D5"/>
      <selection pane="bottomRight" activeCell="C29" sqref="C29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216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217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92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>
        <v>1350000</v>
      </c>
      <c r="D7" s="51">
        <v>159328855.41</v>
      </c>
      <c r="E7" s="52">
        <v>59212911.990000002</v>
      </c>
      <c r="F7" s="53">
        <v>125465468.86</v>
      </c>
      <c r="G7" s="51">
        <f>+C7+D7+E7+F7</f>
        <v>345357236.25999999</v>
      </c>
      <c r="H7" s="28"/>
    </row>
    <row r="8" spans="1:31" s="29" customFormat="1" ht="30.75" customHeight="1" x14ac:dyDescent="0.35">
      <c r="A8" s="102"/>
      <c r="B8" s="80" t="s">
        <v>42</v>
      </c>
      <c r="C8" s="54"/>
      <c r="D8" s="54"/>
      <c r="E8" s="55"/>
      <c r="F8" s="56"/>
      <c r="G8" s="51">
        <f>+C8+D8+E8+F8</f>
        <v>0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/>
      <c r="D9" s="57">
        <v>-26050776.57</v>
      </c>
      <c r="E9" s="55">
        <v>-31345724.079999998</v>
      </c>
      <c r="F9" s="56">
        <v>-59819887.82</v>
      </c>
      <c r="G9" s="51">
        <f>+C9+D9+E9+F9</f>
        <v>-117216388.47</v>
      </c>
      <c r="H9" s="26"/>
    </row>
    <row r="10" spans="1:31" s="27" customFormat="1" ht="30.75" customHeight="1" x14ac:dyDescent="0.35">
      <c r="A10" s="102"/>
      <c r="B10" s="81" t="s">
        <v>4</v>
      </c>
      <c r="C10" s="54"/>
      <c r="D10" s="54"/>
      <c r="E10" s="55"/>
      <c r="F10" s="56"/>
      <c r="G10" s="51">
        <f>+C10+D10+E10+F10</f>
        <v>0</v>
      </c>
      <c r="H10" s="26"/>
    </row>
    <row r="11" spans="1:31" s="27" customFormat="1" ht="30.75" customHeight="1" thickBot="1" x14ac:dyDescent="0.4">
      <c r="A11" s="103"/>
      <c r="B11" s="82" t="s">
        <v>5</v>
      </c>
      <c r="C11" s="58"/>
      <c r="D11" s="58"/>
      <c r="E11" s="59"/>
      <c r="F11" s="60"/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1350000</v>
      </c>
      <c r="D12" s="61">
        <f>SUM(D7:D11)</f>
        <v>133278078.84</v>
      </c>
      <c r="E12" s="62">
        <f>SUM(E7:E11)</f>
        <v>27867187.910000004</v>
      </c>
      <c r="F12" s="63">
        <f>SUM(F7:F11)</f>
        <v>65645581.039999999</v>
      </c>
      <c r="G12" s="61">
        <f>SUM(G7:G11)</f>
        <v>228140847.78999999</v>
      </c>
      <c r="H12" s="26"/>
    </row>
    <row r="13" spans="1:31" s="32" customFormat="1" ht="30.75" customHeight="1" x14ac:dyDescent="0.35">
      <c r="A13" s="105">
        <v>60</v>
      </c>
      <c r="B13" s="84" t="s">
        <v>7</v>
      </c>
      <c r="C13" s="51">
        <v>264802.74</v>
      </c>
      <c r="D13" s="64">
        <v>101376038.16</v>
      </c>
      <c r="E13" s="65">
        <v>10581666.6</v>
      </c>
      <c r="F13" s="66">
        <v>37956849.619999997</v>
      </c>
      <c r="G13" s="51">
        <f>+C13+D13+E13+F13</f>
        <v>150179357.11999997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v>2880296.16</v>
      </c>
      <c r="D14" s="58">
        <v>6043615.1399999997</v>
      </c>
      <c r="E14" s="59">
        <v>2895059.57</v>
      </c>
      <c r="F14" s="60">
        <v>1967905.41</v>
      </c>
      <c r="G14" s="58">
        <f>+C14+D14+E14+F14</f>
        <v>13786876.280000001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112">
        <v>561932.63</v>
      </c>
      <c r="D15" s="112"/>
      <c r="E15" s="231"/>
      <c r="F15" s="232"/>
      <c r="G15" s="112">
        <f>+C15+D15+E15+F15</f>
        <v>561932.63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3707031.5300000003</v>
      </c>
      <c r="D16" s="61">
        <f>+D13+D14+D15</f>
        <v>107419653.3</v>
      </c>
      <c r="E16" s="62">
        <f>+E13+E14+E15</f>
        <v>13476726.17</v>
      </c>
      <c r="F16" s="63">
        <f>+F13+F14+F15</f>
        <v>39924755.029999994</v>
      </c>
      <c r="G16" s="61">
        <f>+G13+G14+G15</f>
        <v>164528166.02999997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-2357031.5300000003</v>
      </c>
      <c r="D17" s="67">
        <f>+D12-D16</f>
        <v>25858425.540000007</v>
      </c>
      <c r="E17" s="68">
        <f>+E12-E16</f>
        <v>14390461.740000004</v>
      </c>
      <c r="F17" s="69">
        <f>+F12-F16</f>
        <v>25720826.010000005</v>
      </c>
      <c r="G17" s="67">
        <f>+G12-G16</f>
        <v>63612681.76000002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v>10587601.66</v>
      </c>
      <c r="D18" s="64">
        <v>26933209.579999998</v>
      </c>
      <c r="E18" s="65">
        <v>10983826.08</v>
      </c>
      <c r="F18" s="66">
        <v>9894393.8200000003</v>
      </c>
      <c r="G18" s="51">
        <f>+C18+D18+E18+F18</f>
        <v>58399031.139999993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v>36000</v>
      </c>
      <c r="D19" s="58">
        <v>1618481</v>
      </c>
      <c r="E19" s="59">
        <v>601708.42000000004</v>
      </c>
      <c r="F19" s="60">
        <v>1259627.9099999999</v>
      </c>
      <c r="G19" s="58">
        <f>+C19+D19+E19+F19</f>
        <v>3515817.33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-12980633.190000001</v>
      </c>
      <c r="D20" s="61">
        <f>+D17-D18-D19</f>
        <v>-2693265.0399999917</v>
      </c>
      <c r="E20" s="62">
        <f>+E17-E18-E19</f>
        <v>2804927.2400000039</v>
      </c>
      <c r="F20" s="63">
        <f>+F17-F18-F19</f>
        <v>14566804.280000005</v>
      </c>
      <c r="G20" s="61">
        <f>+G17-G18-G19</f>
        <v>1697833.290000027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v>1.02</v>
      </c>
      <c r="D21" s="51">
        <v>1294050.8799999999</v>
      </c>
      <c r="E21" s="52">
        <v>0.82</v>
      </c>
      <c r="F21" s="53">
        <v>0.3</v>
      </c>
      <c r="G21" s="51">
        <f t="shared" ref="G21:G26" si="0">+C21+D21+E21+F21</f>
        <v>1294053.02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v>348091.51</v>
      </c>
      <c r="D22" s="54">
        <v>8307.86</v>
      </c>
      <c r="E22" s="55">
        <v>276032.37</v>
      </c>
      <c r="F22" s="56">
        <v>12958.67</v>
      </c>
      <c r="G22" s="54">
        <f t="shared" si="0"/>
        <v>645390.41</v>
      </c>
      <c r="H22" s="31"/>
    </row>
    <row r="23" spans="1:12" s="27" customFormat="1" ht="30.75" customHeight="1" x14ac:dyDescent="0.35">
      <c r="A23" s="109"/>
      <c r="B23" s="87" t="s">
        <v>18</v>
      </c>
      <c r="C23" s="70"/>
      <c r="D23" s="70"/>
      <c r="E23" s="71"/>
      <c r="F23" s="72"/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/>
      <c r="D24" s="70"/>
      <c r="E24" s="71"/>
      <c r="F24" s="72"/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v>1251461.32</v>
      </c>
      <c r="D25" s="54">
        <v>5845575.5099999998</v>
      </c>
      <c r="E25" s="55">
        <v>555359.31999999995</v>
      </c>
      <c r="F25" s="56">
        <v>583463.13</v>
      </c>
      <c r="G25" s="57">
        <f t="shared" si="0"/>
        <v>8235859.2800000003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/>
      <c r="D26" s="58"/>
      <c r="E26" s="59"/>
      <c r="F26" s="60"/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-14580185.000000002</v>
      </c>
      <c r="D27" s="61">
        <f>+D20+D21+D26-(D22+D23+D24+D25)</f>
        <v>-7253097.5299999919</v>
      </c>
      <c r="E27" s="62">
        <f>+E20+E21+E26-(E22+E23+E24+E25)</f>
        <v>1973536.3700000038</v>
      </c>
      <c r="F27" s="63">
        <f>+F20+F21+F26-(F22+F23+F24+F25)</f>
        <v>13970382.780000005</v>
      </c>
      <c r="G27" s="61">
        <f>+G20+G21+G26-(G22+G23+G24+G25)</f>
        <v>-5889363.3799999729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>
        <v>147010271.78</v>
      </c>
      <c r="D28" s="51">
        <v>11175.17</v>
      </c>
      <c r="E28" s="52">
        <v>26477.87</v>
      </c>
      <c r="F28" s="53"/>
      <c r="G28" s="51">
        <f>+C28+D28+E28+F28</f>
        <v>147047924.81999999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/>
      <c r="D29" s="58">
        <v>413580.02</v>
      </c>
      <c r="E29" s="59"/>
      <c r="F29" s="60"/>
      <c r="G29" s="58">
        <f>+C29+D29+E29+F29</f>
        <v>413580.02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147010271.78</v>
      </c>
      <c r="D30" s="61">
        <f>+D28-D29</f>
        <v>-402404.85000000003</v>
      </c>
      <c r="E30" s="62">
        <f>+E28-E29</f>
        <v>26477.87</v>
      </c>
      <c r="F30" s="63">
        <f>+F28-F29</f>
        <v>0</v>
      </c>
      <c r="G30" s="61">
        <f>+G28-G29</f>
        <v>146634344.79999998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132430086.78</v>
      </c>
      <c r="D31" s="61">
        <f>+D27+D30</f>
        <v>-7655502.3799999915</v>
      </c>
      <c r="E31" s="62">
        <f>+E27+E30</f>
        <v>2000014.2400000039</v>
      </c>
      <c r="F31" s="63">
        <f>+F27+F30</f>
        <v>13970382.780000005</v>
      </c>
      <c r="G31" s="61">
        <f>+G27+G30</f>
        <v>140744981.42000002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/>
      <c r="D32" s="51"/>
      <c r="E32" s="52"/>
      <c r="F32" s="53"/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/>
      <c r="D33" s="54"/>
      <c r="E33" s="55"/>
      <c r="F33" s="56"/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148360272.80000001</v>
      </c>
      <c r="D34" s="74">
        <f>+D12+D21+D28+D26</f>
        <v>134583304.88999999</v>
      </c>
      <c r="E34" s="75">
        <f>+E12+E21+E28+E26</f>
        <v>27893666.600000005</v>
      </c>
      <c r="F34" s="75">
        <f>+F12+F21+F28+F26</f>
        <v>65645581.339999996</v>
      </c>
      <c r="G34" s="74">
        <f>+G12+G21+G28+G26</f>
        <v>376482825.63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15930186.020000001</v>
      </c>
      <c r="D35" s="73">
        <f t="shared" ref="D35:G35" si="1">+D16+D18+D19+D25+D22+D29+D33+D32</f>
        <v>142238807.27000001</v>
      </c>
      <c r="E35" s="77">
        <f t="shared" si="1"/>
        <v>25893652.360000003</v>
      </c>
      <c r="F35" s="77">
        <f t="shared" si="1"/>
        <v>51675198.559999995</v>
      </c>
      <c r="G35" s="73">
        <f t="shared" si="1"/>
        <v>235737844.20999998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132430086.78000002</v>
      </c>
      <c r="D36" s="61">
        <f>+D34-D35</f>
        <v>-7655502.380000025</v>
      </c>
      <c r="E36" s="62">
        <f>+E34-E35</f>
        <v>2000014.2400000021</v>
      </c>
      <c r="F36" s="63">
        <f>+F34-F35</f>
        <v>13970382.780000001</v>
      </c>
      <c r="G36" s="61">
        <f>+G34-G35</f>
        <v>140744981.42000002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v>0</v>
      </c>
      <c r="D37" s="51">
        <v>0</v>
      </c>
      <c r="E37" s="52">
        <v>0</v>
      </c>
      <c r="F37" s="53"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v>0</v>
      </c>
      <c r="D38" s="58">
        <v>0</v>
      </c>
      <c r="E38" s="59">
        <v>0</v>
      </c>
      <c r="F38" s="60"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132430086.78000002</v>
      </c>
      <c r="D40" s="117">
        <f>+D36</f>
        <v>-7655502.380000025</v>
      </c>
      <c r="E40" s="118">
        <f>+E36</f>
        <v>2000014.2400000021</v>
      </c>
      <c r="F40" s="119">
        <f>+F36</f>
        <v>13970382.780000001</v>
      </c>
      <c r="G40" s="117">
        <f>+G36</f>
        <v>140744981.42000002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0.83649680716676411</v>
      </c>
      <c r="E43" s="95">
        <f>+E12/E7</f>
        <v>0.47062687804825865</v>
      </c>
      <c r="F43" s="95">
        <f>+F12/F7</f>
        <v>0.52321632108393334</v>
      </c>
      <c r="G43" s="95">
        <f>+G12/G7</f>
        <v>0.6605937963270172</v>
      </c>
      <c r="H43" s="38"/>
    </row>
    <row r="44" spans="1:8" s="37" customFormat="1" ht="18" x14ac:dyDescent="0.35">
      <c r="A44" s="92">
        <v>2</v>
      </c>
      <c r="B44" s="93" t="s">
        <v>53</v>
      </c>
      <c r="C44" s="94">
        <f>+C13/C7</f>
        <v>0.19615017777777777</v>
      </c>
      <c r="D44" s="95">
        <f>+D13/D7</f>
        <v>0.63626916730889482</v>
      </c>
      <c r="E44" s="95">
        <f>+E13/E7</f>
        <v>0.17870539117865125</v>
      </c>
      <c r="F44" s="95">
        <f>+F13/F7</f>
        <v>0.30252825709641235</v>
      </c>
      <c r="G44" s="95">
        <f>+G13/G7</f>
        <v>0.43485220911062195</v>
      </c>
      <c r="H44" s="36"/>
    </row>
    <row r="45" spans="1:8" s="37" customFormat="1" ht="18" x14ac:dyDescent="0.35">
      <c r="A45" s="92">
        <v>3</v>
      </c>
      <c r="B45" s="93" t="s">
        <v>56</v>
      </c>
      <c r="C45" s="94">
        <f>+C13/C12</f>
        <v>0.19615017777777777</v>
      </c>
      <c r="D45" s="95">
        <f>+D13/D12</f>
        <v>0.76063550016879877</v>
      </c>
      <c r="E45" s="95">
        <f>+E13/E12</f>
        <v>0.37971777540577822</v>
      </c>
      <c r="F45" s="95">
        <f>+F13/F12</f>
        <v>0.57820875401912653</v>
      </c>
      <c r="G45" s="95">
        <f>+G13/G12</f>
        <v>0.65827473937607905</v>
      </c>
      <c r="H45" s="36"/>
    </row>
    <row r="46" spans="1:8" s="37" customFormat="1" ht="18" x14ac:dyDescent="0.35">
      <c r="A46" s="92">
        <v>4</v>
      </c>
      <c r="B46" s="93" t="s">
        <v>57</v>
      </c>
      <c r="C46" s="94">
        <f>+C16/C12</f>
        <v>2.7459492814814817</v>
      </c>
      <c r="D46" s="95">
        <f>+D16/D12</f>
        <v>0.80598140545645935</v>
      </c>
      <c r="E46" s="95">
        <f>+E16/E12</f>
        <v>0.48360552968331416</v>
      </c>
      <c r="F46" s="95">
        <f>+F16/F12</f>
        <v>0.60818648258551533</v>
      </c>
      <c r="G46" s="95">
        <f>+G16/G12</f>
        <v>0.72116925848125857</v>
      </c>
      <c r="H46" s="36"/>
    </row>
    <row r="47" spans="1:8" s="37" customFormat="1" ht="18" x14ac:dyDescent="0.35">
      <c r="A47" s="92">
        <v>5</v>
      </c>
      <c r="B47" s="93" t="s">
        <v>58</v>
      </c>
      <c r="C47" s="94">
        <f>+C18/C12</f>
        <v>7.8426678962962963</v>
      </c>
      <c r="D47" s="95">
        <f>+D18/D12</f>
        <v>0.2020828167273723</v>
      </c>
      <c r="E47" s="95">
        <f>+E18/E12</f>
        <v>0.39414906575695452</v>
      </c>
      <c r="F47" s="95">
        <f>+F18/F12</f>
        <v>0.15072444577756153</v>
      </c>
      <c r="G47" s="95">
        <f>+G18/G12</f>
        <v>0.25597797021318763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-0.22262185579807695</v>
      </c>
      <c r="D48" s="95">
        <f>+D17/D18</f>
        <v>0.96009446862218373</v>
      </c>
      <c r="E48" s="95">
        <f>+E17/E18</f>
        <v>1.3101501822031767</v>
      </c>
      <c r="F48" s="95">
        <f>+F17/F18</f>
        <v>2.5995353002838133</v>
      </c>
      <c r="G48" s="95">
        <f>+G17/G18</f>
        <v>1.0892763204838338</v>
      </c>
      <c r="H48" s="36"/>
    </row>
    <row r="49" spans="1:8" s="37" customFormat="1" ht="18" x14ac:dyDescent="0.35">
      <c r="A49" s="92">
        <v>7</v>
      </c>
      <c r="B49" s="93" t="s">
        <v>55</v>
      </c>
      <c r="C49" s="94">
        <f>+C20/C12</f>
        <v>-9.6152838444444448</v>
      </c>
      <c r="D49" s="95">
        <f>+D20/D12</f>
        <v>-2.0207862113868325E-2</v>
      </c>
      <c r="E49" s="95">
        <f>+E20/E12</f>
        <v>0.10065340101982337</v>
      </c>
      <c r="F49" s="95">
        <f>+F20/F12</f>
        <v>0.22190075933860612</v>
      </c>
      <c r="G49" s="95">
        <f>+G20/G12</f>
        <v>7.4420398909135965E-3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42:G42"/>
    <mergeCell ref="T1:U1"/>
    <mergeCell ref="T2:U2"/>
    <mergeCell ref="T3:U3"/>
    <mergeCell ref="A5:G5"/>
  </mergeCells>
  <conditionalFormatting sqref="D1:G4 C43:G1048576 D41:G41">
    <cfRule type="cellIs" dxfId="140" priority="15" operator="lessThan">
      <formula>-0.01</formula>
    </cfRule>
  </conditionalFormatting>
  <conditionalFormatting sqref="C1:C4 C41">
    <cfRule type="cellIs" dxfId="139" priority="14" operator="lessThan">
      <formula>-0.01</formula>
    </cfRule>
  </conditionalFormatting>
  <conditionalFormatting sqref="G6">
    <cfRule type="cellIs" dxfId="138" priority="9" operator="lessThan">
      <formula>-0.01</formula>
    </cfRule>
  </conditionalFormatting>
  <conditionalFormatting sqref="D6:F6">
    <cfRule type="cellIs" dxfId="137" priority="11" operator="lessThan">
      <formula>-0.01</formula>
    </cfRule>
  </conditionalFormatting>
  <conditionalFormatting sqref="C6">
    <cfRule type="cellIs" dxfId="136" priority="10" operator="lessThan">
      <formula>-0.01</formula>
    </cfRule>
  </conditionalFormatting>
  <conditionalFormatting sqref="D7:F33 D36:F40 D34:E35">
    <cfRule type="cellIs" dxfId="135" priority="4" operator="lessThan">
      <formula>-0.01</formula>
    </cfRule>
  </conditionalFormatting>
  <conditionalFormatting sqref="C7:C40">
    <cfRule type="cellIs" dxfId="134" priority="3" operator="lessThan">
      <formula>-0.01</formula>
    </cfRule>
  </conditionalFormatting>
  <conditionalFormatting sqref="G7:G40">
    <cfRule type="cellIs" dxfId="133" priority="2" operator="lessThan">
      <formula>-0.01</formula>
    </cfRule>
  </conditionalFormatting>
  <conditionalFormatting sqref="F34:F35">
    <cfRule type="cellIs" dxfId="132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AE50"/>
  <sheetViews>
    <sheetView view="pageBreakPreview" zoomScale="90" zoomScaleNormal="50" zoomScaleSheetLayoutView="90" workbookViewId="0">
      <pane xSplit="2" ySplit="6" topLeftCell="C31" activePane="bottomRight" state="frozen"/>
      <selection activeCell="C5" sqref="C5:D5"/>
      <selection pane="topRight" activeCell="C5" sqref="C5:D5"/>
      <selection pane="bottomLeft" activeCell="C5" sqref="C5:D5"/>
      <selection pane="bottomRight" activeCell="C35" sqref="C35"/>
    </sheetView>
  </sheetViews>
  <sheetFormatPr baseColWidth="10" defaultColWidth="11.44140625" defaultRowHeight="28.8" x14ac:dyDescent="0.55000000000000004"/>
  <cols>
    <col min="1" max="1" width="7.6640625" style="2" customWidth="1"/>
    <col min="2" max="2" width="76.5546875" style="2" customWidth="1"/>
    <col min="3" max="6" width="19.77734375" style="3" customWidth="1"/>
    <col min="7" max="7" width="19.77734375" style="96" customWidth="1"/>
    <col min="8" max="8" width="23.5546875" style="4" bestFit="1" customWidth="1"/>
    <col min="9" max="16384" width="11.44140625" style="1"/>
  </cols>
  <sheetData>
    <row r="1" spans="1:31" s="42" customFormat="1" ht="13.8" customHeight="1" x14ac:dyDescent="0.45">
      <c r="A1" s="25"/>
      <c r="B1" s="39"/>
      <c r="C1" s="40"/>
      <c r="D1" s="40"/>
      <c r="E1" s="40"/>
      <c r="F1" s="40"/>
      <c r="G1" s="97"/>
      <c r="H1" s="41"/>
      <c r="I1" s="39"/>
      <c r="J1" s="39"/>
      <c r="K1" s="39"/>
      <c r="L1" s="39"/>
      <c r="M1" s="39"/>
      <c r="N1" s="39"/>
      <c r="R1" s="39"/>
      <c r="S1" s="39"/>
      <c r="T1" s="344"/>
      <c r="U1" s="344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s="42" customFormat="1" ht="13.8" customHeight="1" x14ac:dyDescent="0.45">
      <c r="A2" s="25"/>
      <c r="B2" s="43"/>
      <c r="C2" s="44"/>
      <c r="D2" s="44"/>
      <c r="E2" s="44"/>
      <c r="F2" s="44"/>
      <c r="G2" s="98"/>
      <c r="H2" s="41"/>
      <c r="I2" s="39"/>
      <c r="J2" s="39"/>
      <c r="K2" s="39"/>
      <c r="L2" s="39"/>
      <c r="M2" s="39"/>
      <c r="N2" s="39"/>
      <c r="R2" s="43"/>
      <c r="S2" s="45"/>
      <c r="T2" s="345"/>
      <c r="U2" s="345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31" s="42" customFormat="1" ht="13.8" customHeight="1" x14ac:dyDescent="0.5">
      <c r="A3" s="46"/>
      <c r="B3" s="47"/>
      <c r="C3" s="48"/>
      <c r="D3" s="48"/>
      <c r="E3" s="48"/>
      <c r="F3" s="48"/>
      <c r="G3" s="99"/>
      <c r="H3" s="49"/>
      <c r="I3" s="46"/>
      <c r="J3" s="46"/>
      <c r="K3" s="46"/>
      <c r="L3" s="46"/>
      <c r="M3" s="46"/>
      <c r="N3" s="46"/>
      <c r="R3" s="46"/>
      <c r="S3" s="46"/>
      <c r="T3" s="346"/>
      <c r="U3" s="3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s="42" customFormat="1" ht="13.8" customHeight="1" x14ac:dyDescent="0.55000000000000004">
      <c r="A4" s="46"/>
      <c r="B4" s="46"/>
      <c r="C4" s="50"/>
      <c r="D4" s="50"/>
      <c r="E4" s="50"/>
      <c r="F4" s="50"/>
      <c r="G4" s="100"/>
      <c r="H4" s="5"/>
    </row>
    <row r="5" spans="1:31" ht="29.4" thickBot="1" x14ac:dyDescent="0.6">
      <c r="A5" s="347" t="s">
        <v>93</v>
      </c>
      <c r="B5" s="347"/>
      <c r="C5" s="347"/>
      <c r="D5" s="347"/>
      <c r="E5" s="347"/>
      <c r="F5" s="347"/>
      <c r="G5" s="347"/>
    </row>
    <row r="6" spans="1:31" s="27" customFormat="1" ht="52.2" customHeight="1" x14ac:dyDescent="0.35">
      <c r="A6" s="238" t="s">
        <v>0</v>
      </c>
      <c r="B6" s="239" t="s">
        <v>1</v>
      </c>
      <c r="C6" s="240" t="s">
        <v>50</v>
      </c>
      <c r="D6" s="240" t="s">
        <v>47</v>
      </c>
      <c r="E6" s="241" t="s">
        <v>48</v>
      </c>
      <c r="F6" s="242" t="s">
        <v>49</v>
      </c>
      <c r="G6" s="240" t="s">
        <v>75</v>
      </c>
      <c r="H6" s="26"/>
    </row>
    <row r="7" spans="1:31" s="29" customFormat="1" ht="30.75" customHeight="1" x14ac:dyDescent="0.35">
      <c r="A7" s="101"/>
      <c r="B7" s="79" t="s">
        <v>2</v>
      </c>
      <c r="C7" s="51">
        <f>+'04 2021'!C7+'05 2021'!C7+'06 2021'!C7</f>
        <v>1350000</v>
      </c>
      <c r="D7" s="51">
        <f>+'04 2021'!D7+'05 2021'!D7+'06 2021'!D7</f>
        <v>328885353.86000001</v>
      </c>
      <c r="E7" s="52">
        <f>+'04 2021'!E7+'05 2021'!E7+'06 2021'!E7</f>
        <v>211328814.76000002</v>
      </c>
      <c r="F7" s="53">
        <f>+'04 2021'!F7+'05 2021'!F7+'06 2021'!F7</f>
        <v>249399314.87</v>
      </c>
      <c r="G7" s="51">
        <f>+C7+D7+E7+F7</f>
        <v>790963483.49000001</v>
      </c>
      <c r="H7" s="28"/>
    </row>
    <row r="8" spans="1:31" s="29" customFormat="1" ht="30.75" customHeight="1" x14ac:dyDescent="0.35">
      <c r="A8" s="102"/>
      <c r="B8" s="80" t="s">
        <v>42</v>
      </c>
      <c r="C8" s="54">
        <f>+'04 2021'!C8+'05 2021'!C8+'06 2021'!C8</f>
        <v>0</v>
      </c>
      <c r="D8" s="54">
        <f>+'04 2021'!D8+'05 2021'!D8+'06 2021'!D8</f>
        <v>561932.63</v>
      </c>
      <c r="E8" s="55">
        <f>+'04 2021'!E8+'05 2021'!E8+'06 2021'!E8</f>
        <v>0</v>
      </c>
      <c r="F8" s="56">
        <f>+'04 2021'!F8+'05 2021'!F8+'06 2021'!F8</f>
        <v>0</v>
      </c>
      <c r="G8" s="51">
        <f>+C8+D8+E8+F8</f>
        <v>561932.63</v>
      </c>
      <c r="H8" s="28"/>
      <c r="N8" s="30"/>
    </row>
    <row r="9" spans="1:31" s="27" customFormat="1" ht="30.75" customHeight="1" x14ac:dyDescent="0.35">
      <c r="A9" s="102"/>
      <c r="B9" s="81" t="s">
        <v>3</v>
      </c>
      <c r="C9" s="54">
        <f>+'04 2021'!C9+'05 2021'!C9+'06 2021'!C9</f>
        <v>0</v>
      </c>
      <c r="D9" s="57">
        <f>+'04 2021'!D9+'05 2021'!D9+'06 2021'!D9</f>
        <v>27502450.229999997</v>
      </c>
      <c r="E9" s="55">
        <f>+'04 2021'!E9+'05 2021'!E9+'06 2021'!E9</f>
        <v>-111939309.36999999</v>
      </c>
      <c r="F9" s="56">
        <f>+'04 2021'!F9+'05 2021'!F9+'06 2021'!F9</f>
        <v>-89957301.319999993</v>
      </c>
      <c r="G9" s="51">
        <f>+C9+D9+E9+F9</f>
        <v>-174394160.45999998</v>
      </c>
      <c r="H9" s="26"/>
    </row>
    <row r="10" spans="1:31" s="27" customFormat="1" ht="30.75" customHeight="1" x14ac:dyDescent="0.35">
      <c r="A10" s="102"/>
      <c r="B10" s="81" t="s">
        <v>4</v>
      </c>
      <c r="C10" s="54">
        <f>+'04 2021'!C10+'05 2021'!C10+'06 2021'!C10</f>
        <v>0</v>
      </c>
      <c r="D10" s="54">
        <f>+'04 2021'!D10+'05 2021'!D10+'06 2021'!D10</f>
        <v>590627.23</v>
      </c>
      <c r="E10" s="55">
        <f>+'04 2021'!E10+'05 2021'!E10+'06 2021'!E10</f>
        <v>0</v>
      </c>
      <c r="F10" s="56">
        <f>+'04 2021'!F10+'05 2021'!F10+'06 2021'!F10</f>
        <v>0</v>
      </c>
      <c r="G10" s="51">
        <f>+C10+D10+E10+F10</f>
        <v>590627.23</v>
      </c>
      <c r="H10" s="26"/>
    </row>
    <row r="11" spans="1:31" s="27" customFormat="1" ht="30.75" customHeight="1" thickBot="1" x14ac:dyDescent="0.4">
      <c r="A11" s="103"/>
      <c r="B11" s="82" t="s">
        <v>5</v>
      </c>
      <c r="C11" s="58">
        <f>+'04 2021'!C11+'05 2021'!C11+'06 2021'!C11</f>
        <v>0</v>
      </c>
      <c r="D11" s="58">
        <f>+'04 2021'!D11+'05 2021'!D11+'06 2021'!D11</f>
        <v>0</v>
      </c>
      <c r="E11" s="59">
        <f>+'04 2021'!E11+'05 2021'!E11+'06 2021'!E11</f>
        <v>0</v>
      </c>
      <c r="F11" s="60">
        <f>+'04 2021'!F11+'05 2021'!F11+'06 2021'!F11</f>
        <v>0</v>
      </c>
      <c r="G11" s="112">
        <f>+C11+D11+E11+F11</f>
        <v>0</v>
      </c>
      <c r="H11" s="26"/>
    </row>
    <row r="12" spans="1:31" s="27" customFormat="1" ht="30.75" customHeight="1" thickBot="1" x14ac:dyDescent="0.4">
      <c r="A12" s="104"/>
      <c r="B12" s="83" t="s">
        <v>6</v>
      </c>
      <c r="C12" s="61">
        <f>SUM(C7:C11)</f>
        <v>1350000</v>
      </c>
      <c r="D12" s="61">
        <f>SUM(D7:D11)</f>
        <v>357540363.95000005</v>
      </c>
      <c r="E12" s="62">
        <f>SUM(E7:E11)</f>
        <v>99389505.39000003</v>
      </c>
      <c r="F12" s="63">
        <f>SUM(F7:F11)</f>
        <v>159442013.55000001</v>
      </c>
      <c r="G12" s="61">
        <f>SUM(G7:G11)</f>
        <v>617721882.8900001</v>
      </c>
      <c r="H12" s="26"/>
    </row>
    <row r="13" spans="1:31" s="32" customFormat="1" ht="30.75" customHeight="1" x14ac:dyDescent="0.35">
      <c r="A13" s="105">
        <v>60</v>
      </c>
      <c r="B13" s="84" t="s">
        <v>7</v>
      </c>
      <c r="C13" s="51">
        <f>+'04 2021'!C13+'05 2021'!C13+'06 2021'!C13</f>
        <v>1653181.42</v>
      </c>
      <c r="D13" s="64">
        <f>+'04 2021'!D13+'05 2021'!D13+'06 2021'!D13</f>
        <v>273233028.37</v>
      </c>
      <c r="E13" s="65">
        <f>+'04 2021'!E13+'05 2021'!E13+'06 2021'!E13</f>
        <v>36470998.520000003</v>
      </c>
      <c r="F13" s="66">
        <f>+'04 2021'!F13+'05 2021'!F13+'06 2021'!F13</f>
        <v>101650537.87</v>
      </c>
      <c r="G13" s="51">
        <f>+C13+D13+E13+F13</f>
        <v>413007746.18000001</v>
      </c>
      <c r="H13" s="31"/>
    </row>
    <row r="14" spans="1:31" s="32" customFormat="1" ht="30.75" customHeight="1" x14ac:dyDescent="0.35">
      <c r="A14" s="106" t="s">
        <v>8</v>
      </c>
      <c r="B14" s="82" t="s">
        <v>43</v>
      </c>
      <c r="C14" s="58">
        <f>+'04 2021'!C14+'05 2021'!C14+'06 2021'!C14</f>
        <v>10102936.16</v>
      </c>
      <c r="D14" s="58">
        <f>+'04 2021'!D14+'05 2021'!D14+'06 2021'!D14</f>
        <v>15224623.91</v>
      </c>
      <c r="E14" s="59">
        <f>+'04 2021'!E14+'05 2021'!E14+'06 2021'!E14</f>
        <v>6139275.0099999998</v>
      </c>
      <c r="F14" s="60">
        <f>+'04 2021'!F14+'05 2021'!F14+'06 2021'!F14</f>
        <v>6004543.0200000005</v>
      </c>
      <c r="G14" s="58">
        <f>+C14+D14+E14+F14</f>
        <v>37471378.100000001</v>
      </c>
      <c r="H14" s="33"/>
      <c r="I14" s="34"/>
    </row>
    <row r="15" spans="1:31" s="32" customFormat="1" ht="30.75" customHeight="1" thickBot="1" x14ac:dyDescent="0.4">
      <c r="A15" s="229"/>
      <c r="B15" s="230" t="s">
        <v>124</v>
      </c>
      <c r="C15" s="58">
        <f>+'04 2021'!C15+'05 2021'!C15+'06 2021'!C15</f>
        <v>561932.63</v>
      </c>
      <c r="D15" s="58">
        <f>+'04 2021'!D15+'05 2021'!D15+'06 2021'!D15</f>
        <v>0</v>
      </c>
      <c r="E15" s="59">
        <f>+'04 2021'!E15+'05 2021'!E15+'06 2021'!E15</f>
        <v>0</v>
      </c>
      <c r="F15" s="60">
        <f>+'04 2021'!F15+'05 2021'!F15+'06 2021'!F15</f>
        <v>0</v>
      </c>
      <c r="G15" s="58">
        <f>+C15+D15+E15+F15</f>
        <v>561932.63</v>
      </c>
      <c r="H15" s="33"/>
      <c r="I15" s="34"/>
    </row>
    <row r="16" spans="1:31" s="27" customFormat="1" ht="30.75" customHeight="1" thickBot="1" x14ac:dyDescent="0.4">
      <c r="A16" s="107" t="s">
        <v>9</v>
      </c>
      <c r="B16" s="85" t="s">
        <v>10</v>
      </c>
      <c r="C16" s="61">
        <f>+C13+C14+C15</f>
        <v>12318050.210000001</v>
      </c>
      <c r="D16" s="61">
        <f>+D13+D14+D15</f>
        <v>288457652.28000003</v>
      </c>
      <c r="E16" s="62">
        <f>+E13+E14+E15</f>
        <v>42610273.530000001</v>
      </c>
      <c r="F16" s="63">
        <f>+F13+F14+F15</f>
        <v>107655080.89</v>
      </c>
      <c r="G16" s="61">
        <f>+G13+G14+G15</f>
        <v>451041056.91000003</v>
      </c>
      <c r="H16" s="26"/>
      <c r="I16" s="34"/>
    </row>
    <row r="17" spans="1:12" s="27" customFormat="1" ht="30.75" customHeight="1" thickBot="1" x14ac:dyDescent="0.4">
      <c r="A17" s="108" t="s">
        <v>11</v>
      </c>
      <c r="B17" s="86" t="s">
        <v>12</v>
      </c>
      <c r="C17" s="67">
        <f>+C12-C16</f>
        <v>-10968050.210000001</v>
      </c>
      <c r="D17" s="67">
        <f>+D12-D16</f>
        <v>69082711.670000017</v>
      </c>
      <c r="E17" s="68">
        <f>+E12-E16</f>
        <v>56779231.860000029</v>
      </c>
      <c r="F17" s="69">
        <f>+F12-F16</f>
        <v>51786932.660000011</v>
      </c>
      <c r="G17" s="67">
        <f>+G12-G16</f>
        <v>166680825.98000008</v>
      </c>
      <c r="H17" s="26"/>
      <c r="I17" s="34"/>
    </row>
    <row r="18" spans="1:12" s="32" customFormat="1" ht="30.75" customHeight="1" x14ac:dyDescent="0.35">
      <c r="A18" s="105">
        <v>63</v>
      </c>
      <c r="B18" s="84" t="s">
        <v>44</v>
      </c>
      <c r="C18" s="64">
        <f>+'04 2021'!C18+'05 2021'!C18+'06 2021'!C18</f>
        <v>38679955.460000001</v>
      </c>
      <c r="D18" s="64">
        <f>+'04 2021'!D18+'05 2021'!D18+'06 2021'!D18</f>
        <v>82664250.390000001</v>
      </c>
      <c r="E18" s="65">
        <f>+'04 2021'!E18+'05 2021'!E18+'06 2021'!E18</f>
        <v>33981231.18</v>
      </c>
      <c r="F18" s="66">
        <f>+'04 2021'!F18+'05 2021'!F18+'06 2021'!F18</f>
        <v>31483940.59</v>
      </c>
      <c r="G18" s="51">
        <f>+C18+D18+E18+F18</f>
        <v>186809377.62</v>
      </c>
      <c r="H18" s="31"/>
      <c r="I18" s="34"/>
    </row>
    <row r="19" spans="1:12" s="32" customFormat="1" ht="30.75" customHeight="1" thickBot="1" x14ac:dyDescent="0.4">
      <c r="A19" s="106">
        <v>64</v>
      </c>
      <c r="B19" s="82" t="s">
        <v>13</v>
      </c>
      <c r="C19" s="58">
        <f>+'04 2021'!C19+'05 2021'!C19+'06 2021'!C19</f>
        <v>67529.83</v>
      </c>
      <c r="D19" s="58">
        <f>+'04 2021'!D19+'05 2021'!D19+'06 2021'!D19</f>
        <v>3289318.4</v>
      </c>
      <c r="E19" s="59">
        <f>+'04 2021'!E19+'05 2021'!E19+'06 2021'!E19</f>
        <v>2136405.42</v>
      </c>
      <c r="F19" s="60">
        <f>+'04 2021'!F19+'05 2021'!F19+'06 2021'!F19</f>
        <v>2509326.33</v>
      </c>
      <c r="G19" s="58">
        <f>+C19+D19+E19+F19</f>
        <v>8002579.9800000004</v>
      </c>
      <c r="H19" s="31"/>
      <c r="I19" s="34"/>
    </row>
    <row r="20" spans="1:12" s="27" customFormat="1" ht="30.75" customHeight="1" thickBot="1" x14ac:dyDescent="0.4">
      <c r="A20" s="107" t="s">
        <v>14</v>
      </c>
      <c r="B20" s="85" t="s">
        <v>15</v>
      </c>
      <c r="C20" s="61">
        <f>+C17-C18-C19</f>
        <v>-49715535.5</v>
      </c>
      <c r="D20" s="61">
        <f>+D17-D18-D19</f>
        <v>-16870857.119999982</v>
      </c>
      <c r="E20" s="62">
        <f>+E17-E18-E19</f>
        <v>20661595.260000028</v>
      </c>
      <c r="F20" s="63">
        <f>+F17-F18-F19</f>
        <v>17793665.74000001</v>
      </c>
      <c r="G20" s="61">
        <f>+G17-G18-G19</f>
        <v>-28131131.619999927</v>
      </c>
      <c r="H20" s="26"/>
      <c r="I20" s="34"/>
    </row>
    <row r="21" spans="1:12" s="32" customFormat="1" ht="30.75" customHeight="1" x14ac:dyDescent="0.35">
      <c r="A21" s="105">
        <v>75</v>
      </c>
      <c r="B21" s="84" t="s">
        <v>16</v>
      </c>
      <c r="C21" s="51">
        <f>+'04 2021'!C21+'05 2021'!C21+'06 2021'!C21</f>
        <v>60001.049999999996</v>
      </c>
      <c r="D21" s="51">
        <f>+'04 2021'!D21+'05 2021'!D21+'06 2021'!D21</f>
        <v>5313480.1199999992</v>
      </c>
      <c r="E21" s="52">
        <f>+'04 2021'!E21+'05 2021'!E21+'06 2021'!E21</f>
        <v>0.82</v>
      </c>
      <c r="F21" s="53">
        <f>+'04 2021'!F21+'05 2021'!F21+'06 2021'!F21</f>
        <v>98820.3</v>
      </c>
      <c r="G21" s="51">
        <f t="shared" ref="G21:G26" si="0">+C21+D21+E21+F21</f>
        <v>5472302.2899999991</v>
      </c>
      <c r="H21" s="31"/>
      <c r="L21" s="35"/>
    </row>
    <row r="22" spans="1:12" s="32" customFormat="1" ht="30.75" customHeight="1" x14ac:dyDescent="0.35">
      <c r="A22" s="109">
        <v>65</v>
      </c>
      <c r="B22" s="81" t="s">
        <v>17</v>
      </c>
      <c r="C22" s="54">
        <f>+'04 2021'!C22+'05 2021'!C22+'06 2021'!C22</f>
        <v>562091.51</v>
      </c>
      <c r="D22" s="54">
        <f>+'04 2021'!D22+'05 2021'!D22+'06 2021'!D22</f>
        <v>66682.880000000005</v>
      </c>
      <c r="E22" s="55">
        <f>+'04 2021'!E22+'05 2021'!E22+'06 2021'!E22</f>
        <v>282413.42</v>
      </c>
      <c r="F22" s="56">
        <f>+'04 2021'!F22+'05 2021'!F22+'06 2021'!F22</f>
        <v>12958.67</v>
      </c>
      <c r="G22" s="54">
        <f t="shared" si="0"/>
        <v>924146.4800000001</v>
      </c>
      <c r="H22" s="31"/>
    </row>
    <row r="23" spans="1:12" s="27" customFormat="1" ht="30.75" customHeight="1" x14ac:dyDescent="0.35">
      <c r="A23" s="109"/>
      <c r="B23" s="87" t="s">
        <v>18</v>
      </c>
      <c r="C23" s="70">
        <f>+'04 2021'!C23+'05 2021'!C23+'06 2021'!C23</f>
        <v>0</v>
      </c>
      <c r="D23" s="70">
        <f>+'04 2021'!D23+'05 2021'!D23+'06 2021'!D23</f>
        <v>0</v>
      </c>
      <c r="E23" s="71">
        <f>+'04 2021'!E23+'05 2021'!E23+'06 2021'!E23</f>
        <v>0</v>
      </c>
      <c r="F23" s="72">
        <f>+'04 2021'!F23+'05 2021'!F23+'06 2021'!F23</f>
        <v>0</v>
      </c>
      <c r="G23" s="70">
        <f t="shared" si="0"/>
        <v>0</v>
      </c>
      <c r="H23" s="26"/>
    </row>
    <row r="24" spans="1:12" s="27" customFormat="1" ht="30.75" customHeight="1" x14ac:dyDescent="0.35">
      <c r="A24" s="109"/>
      <c r="B24" s="87" t="s">
        <v>19</v>
      </c>
      <c r="C24" s="70">
        <f>+'04 2021'!C24+'05 2021'!C24+'06 2021'!C24</f>
        <v>0</v>
      </c>
      <c r="D24" s="70">
        <f>+'04 2021'!D24+'05 2021'!D24+'06 2021'!D24</f>
        <v>0</v>
      </c>
      <c r="E24" s="71">
        <f>+'04 2021'!E24+'05 2021'!E24+'06 2021'!E24</f>
        <v>0</v>
      </c>
      <c r="F24" s="72">
        <f>+'04 2021'!F24+'05 2021'!F24+'06 2021'!F24</f>
        <v>0</v>
      </c>
      <c r="G24" s="70">
        <f t="shared" si="0"/>
        <v>0</v>
      </c>
      <c r="H24" s="26"/>
    </row>
    <row r="25" spans="1:12" s="32" customFormat="1" ht="30.75" customHeight="1" x14ac:dyDescent="0.35">
      <c r="A25" s="109">
        <v>68</v>
      </c>
      <c r="B25" s="81" t="s">
        <v>20</v>
      </c>
      <c r="C25" s="54">
        <f>+'04 2021'!C25+'05 2021'!C25+'06 2021'!C25</f>
        <v>3747988.4700000007</v>
      </c>
      <c r="D25" s="54">
        <f>+'04 2021'!D25+'05 2021'!D25+'06 2021'!D25</f>
        <v>17540785.43</v>
      </c>
      <c r="E25" s="55">
        <f>+'04 2021'!E25+'05 2021'!E25+'06 2021'!E25</f>
        <v>1663379.94</v>
      </c>
      <c r="F25" s="56">
        <f>+'04 2021'!F25+'05 2021'!F25+'06 2021'!F25</f>
        <v>1753499.62</v>
      </c>
      <c r="G25" s="57">
        <f t="shared" si="0"/>
        <v>24705653.460000001</v>
      </c>
      <c r="H25" s="31"/>
    </row>
    <row r="26" spans="1:12" s="32" customFormat="1" ht="30.75" customHeight="1" thickBot="1" x14ac:dyDescent="0.4">
      <c r="A26" s="106">
        <v>78</v>
      </c>
      <c r="B26" s="82" t="s">
        <v>21</v>
      </c>
      <c r="C26" s="58">
        <f>+'04 2021'!C26+'05 2021'!C26+'06 2021'!C26</f>
        <v>0</v>
      </c>
      <c r="D26" s="58">
        <f>+'04 2021'!D26+'05 2021'!D26+'06 2021'!D26</f>
        <v>0</v>
      </c>
      <c r="E26" s="59">
        <f>+'04 2021'!E26+'05 2021'!E26+'06 2021'!E26</f>
        <v>0</v>
      </c>
      <c r="F26" s="60">
        <f>+'04 2021'!F26+'05 2021'!F26+'06 2021'!F26</f>
        <v>0</v>
      </c>
      <c r="G26" s="58">
        <f t="shared" si="0"/>
        <v>0</v>
      </c>
      <c r="H26" s="31"/>
    </row>
    <row r="27" spans="1:12" s="27" customFormat="1" ht="30.75" customHeight="1" thickBot="1" x14ac:dyDescent="0.4">
      <c r="A27" s="107" t="s">
        <v>22</v>
      </c>
      <c r="B27" s="85" t="s">
        <v>23</v>
      </c>
      <c r="C27" s="61">
        <f>+C20+C21+C26-(C22+C23+C24+C25)</f>
        <v>-53965614.430000007</v>
      </c>
      <c r="D27" s="61">
        <f>+D20+D21+D26-(D22+D23+D24+D25)</f>
        <v>-29164845.30999998</v>
      </c>
      <c r="E27" s="62">
        <f>+E20+E21+E26-(E22+E23+E24+E25)</f>
        <v>18715802.720000029</v>
      </c>
      <c r="F27" s="63">
        <f>+F20+F21+F26-(F22+F23+F24+F25)</f>
        <v>16126027.750000011</v>
      </c>
      <c r="G27" s="61">
        <f>+G20+G21+G26-(G22+G23+G24+G25)</f>
        <v>-48288629.269999929</v>
      </c>
      <c r="H27" s="26"/>
    </row>
    <row r="28" spans="1:12" s="32" customFormat="1" ht="30.75" customHeight="1" x14ac:dyDescent="0.35">
      <c r="A28" s="105">
        <v>76</v>
      </c>
      <c r="B28" s="84" t="s">
        <v>24</v>
      </c>
      <c r="C28" s="51">
        <f>+'04 2021'!C28+'05 2021'!C28+'06 2021'!C28</f>
        <v>147010271.78</v>
      </c>
      <c r="D28" s="51">
        <f>+'04 2021'!D28+'05 2021'!D28+'06 2021'!D28</f>
        <v>11175.17</v>
      </c>
      <c r="E28" s="52">
        <f>+'04 2021'!E28+'05 2021'!E28+'06 2021'!E28</f>
        <v>26477.87</v>
      </c>
      <c r="F28" s="53">
        <f>+'04 2021'!F28+'05 2021'!F28+'06 2021'!F28</f>
        <v>0</v>
      </c>
      <c r="G28" s="51">
        <f>+C28+D28+E28+F28</f>
        <v>147047924.81999999</v>
      </c>
      <c r="H28" s="31"/>
    </row>
    <row r="29" spans="1:12" s="32" customFormat="1" ht="30.75" customHeight="1" thickBot="1" x14ac:dyDescent="0.4">
      <c r="A29" s="106">
        <v>66</v>
      </c>
      <c r="B29" s="82" t="s">
        <v>25</v>
      </c>
      <c r="C29" s="73">
        <f>+'04 2021'!C29+'05 2021'!C29+'06 2021'!C29</f>
        <v>0</v>
      </c>
      <c r="D29" s="58">
        <f>+'04 2021'!D29+'05 2021'!D29+'06 2021'!D29</f>
        <v>400780.45</v>
      </c>
      <c r="E29" s="59">
        <f>+'04 2021'!E29+'05 2021'!E29+'06 2021'!E29</f>
        <v>0</v>
      </c>
      <c r="F29" s="60">
        <f>+'04 2021'!F29+'05 2021'!F29+'06 2021'!F29</f>
        <v>0</v>
      </c>
      <c r="G29" s="58">
        <f>+C29+D29+E29+F29</f>
        <v>400780.45</v>
      </c>
      <c r="H29" s="31"/>
    </row>
    <row r="30" spans="1:12" s="27" customFormat="1" ht="30.75" customHeight="1" thickBot="1" x14ac:dyDescent="0.4">
      <c r="A30" s="107" t="s">
        <v>26</v>
      </c>
      <c r="B30" s="85" t="s">
        <v>27</v>
      </c>
      <c r="C30" s="61">
        <f>+C28-C29</f>
        <v>147010271.78</v>
      </c>
      <c r="D30" s="61">
        <f>+D28-D29</f>
        <v>-389605.28</v>
      </c>
      <c r="E30" s="62">
        <f>+E28-E29</f>
        <v>26477.87</v>
      </c>
      <c r="F30" s="63">
        <f>+F28-F29</f>
        <v>0</v>
      </c>
      <c r="G30" s="61">
        <f>+G28-G29</f>
        <v>146647144.37</v>
      </c>
      <c r="H30" s="26"/>
    </row>
    <row r="31" spans="1:12" s="27" customFormat="1" ht="30.75" customHeight="1" thickBot="1" x14ac:dyDescent="0.4">
      <c r="A31" s="107" t="s">
        <v>28</v>
      </c>
      <c r="B31" s="85" t="s">
        <v>29</v>
      </c>
      <c r="C31" s="61">
        <f>+C27+C30</f>
        <v>93044657.349999994</v>
      </c>
      <c r="D31" s="61">
        <f>+D27+D30</f>
        <v>-29554450.589999981</v>
      </c>
      <c r="E31" s="62">
        <f>+E27+E30</f>
        <v>18742280.59000003</v>
      </c>
      <c r="F31" s="63">
        <f>+F27+F30</f>
        <v>16126027.750000011</v>
      </c>
      <c r="G31" s="61">
        <f>+G27+G30</f>
        <v>98358515.100000083</v>
      </c>
      <c r="H31" s="26"/>
    </row>
    <row r="32" spans="1:12" s="32" customFormat="1" ht="30.75" customHeight="1" x14ac:dyDescent="0.35">
      <c r="A32" s="105" t="s">
        <v>30</v>
      </c>
      <c r="B32" s="84" t="s">
        <v>31</v>
      </c>
      <c r="C32" s="51">
        <f>+'04 2021'!C32+'05 2021'!C32+'06 2021'!C32</f>
        <v>0</v>
      </c>
      <c r="D32" s="51">
        <f>+'04 2021'!D32+'05 2021'!D32+'06 2021'!D32</f>
        <v>0</v>
      </c>
      <c r="E32" s="52">
        <f>+'04 2021'!E32+'05 2021'!E32+'06 2021'!E32</f>
        <v>0</v>
      </c>
      <c r="F32" s="53">
        <f>+'04 2021'!F32+'05 2021'!F32+'06 2021'!F32</f>
        <v>0</v>
      </c>
      <c r="G32" s="51">
        <f>+C32+D32+E32+F32</f>
        <v>0</v>
      </c>
      <c r="H32" s="31"/>
    </row>
    <row r="33" spans="1:8" s="32" customFormat="1" ht="30.75" customHeight="1" x14ac:dyDescent="0.35">
      <c r="A33" s="109" t="s">
        <v>32</v>
      </c>
      <c r="B33" s="81" t="s">
        <v>33</v>
      </c>
      <c r="C33" s="54">
        <f>+'04 2021'!C33+'05 2021'!C33+'06 2021'!C33</f>
        <v>0</v>
      </c>
      <c r="D33" s="54">
        <f>+'04 2021'!D33+'05 2021'!D33+'06 2021'!D33</f>
        <v>0</v>
      </c>
      <c r="E33" s="55">
        <f>+'04 2021'!E33+'05 2021'!E33+'06 2021'!E33</f>
        <v>0</v>
      </c>
      <c r="F33" s="56">
        <f>+'04 2021'!F33+'05 2021'!F33+'06 2021'!F33</f>
        <v>0</v>
      </c>
      <c r="G33" s="54">
        <f>+C33+D33+E33+F33</f>
        <v>0</v>
      </c>
      <c r="H33" s="31"/>
    </row>
    <row r="34" spans="1:8" s="37" customFormat="1" ht="30.75" customHeight="1" x14ac:dyDescent="0.35">
      <c r="A34" s="110"/>
      <c r="B34" s="88" t="s">
        <v>45</v>
      </c>
      <c r="C34" s="74">
        <f>+C12+C21+C28+C26</f>
        <v>148420272.83000001</v>
      </c>
      <c r="D34" s="74">
        <f>+D12+D21+D28+D26</f>
        <v>362865019.24000007</v>
      </c>
      <c r="E34" s="75">
        <f>+E12+E21+E28+E26</f>
        <v>99415984.080000028</v>
      </c>
      <c r="F34" s="76">
        <f>+F12+F21+F28+F26</f>
        <v>159540833.85000002</v>
      </c>
      <c r="G34" s="74">
        <f>+G12+G21+G28+G26</f>
        <v>770242110</v>
      </c>
      <c r="H34" s="36"/>
    </row>
    <row r="35" spans="1:8" s="37" customFormat="1" ht="30.75" customHeight="1" thickBot="1" x14ac:dyDescent="0.4">
      <c r="A35" s="111"/>
      <c r="B35" s="89" t="s">
        <v>46</v>
      </c>
      <c r="C35" s="73">
        <f>+C16+C18+C19+C25+C22+C29+C33+C32</f>
        <v>55375615.479999997</v>
      </c>
      <c r="D35" s="73">
        <f t="shared" ref="D35:G35" si="1">+D16+D18+D19+D25+D22+D29+D33+D32</f>
        <v>392419469.82999998</v>
      </c>
      <c r="E35" s="77">
        <f t="shared" si="1"/>
        <v>80673703.49000001</v>
      </c>
      <c r="F35" s="78">
        <f t="shared" si="1"/>
        <v>143414806.09999999</v>
      </c>
      <c r="G35" s="73">
        <f t="shared" si="1"/>
        <v>671883594.9000001</v>
      </c>
      <c r="H35" s="36"/>
    </row>
    <row r="36" spans="1:8" s="27" customFormat="1" ht="30.75" customHeight="1" thickBot="1" x14ac:dyDescent="0.4">
      <c r="A36" s="107" t="s">
        <v>34</v>
      </c>
      <c r="B36" s="85" t="s">
        <v>35</v>
      </c>
      <c r="C36" s="61">
        <f>+C34-C35</f>
        <v>93044657.350000024</v>
      </c>
      <c r="D36" s="61">
        <f>+D34-D35</f>
        <v>-29554450.589999914</v>
      </c>
      <c r="E36" s="62">
        <f>+E34-E35</f>
        <v>18742280.590000018</v>
      </c>
      <c r="F36" s="63">
        <f>+F34-F35</f>
        <v>16126027.75000003</v>
      </c>
      <c r="G36" s="61">
        <f>+G34-G35</f>
        <v>98358515.099999905</v>
      </c>
      <c r="H36" s="26"/>
    </row>
    <row r="37" spans="1:8" s="32" customFormat="1" ht="30.75" customHeight="1" x14ac:dyDescent="0.35">
      <c r="A37" s="105">
        <v>77</v>
      </c>
      <c r="B37" s="84" t="s">
        <v>36</v>
      </c>
      <c r="C37" s="51">
        <f>+'04 2021'!C37+'05 2021'!C37+'06 2021'!C37</f>
        <v>0</v>
      </c>
      <c r="D37" s="51">
        <f>+'04 2021'!D37+'05 2021'!D37+'06 2021'!D37</f>
        <v>0</v>
      </c>
      <c r="E37" s="52">
        <f>+'04 2021'!E37+'05 2021'!E37+'06 2021'!E37</f>
        <v>0</v>
      </c>
      <c r="F37" s="53">
        <f>+'04 2021'!F37+'05 2021'!F37+'06 2021'!F37</f>
        <v>0</v>
      </c>
      <c r="G37" s="51">
        <f>+C37+D37+E37+F37</f>
        <v>0</v>
      </c>
      <c r="H37" s="31"/>
    </row>
    <row r="38" spans="1:8" s="32" customFormat="1" ht="30.75" customHeight="1" thickBot="1" x14ac:dyDescent="0.4">
      <c r="A38" s="106">
        <v>67</v>
      </c>
      <c r="B38" s="82" t="s">
        <v>37</v>
      </c>
      <c r="C38" s="58">
        <f>+'04 2021'!C38+'05 2021'!C38+'06 2021'!C38</f>
        <v>0</v>
      </c>
      <c r="D38" s="58">
        <f>+'04 2021'!D38+'05 2021'!D38+'06 2021'!D38</f>
        <v>0</v>
      </c>
      <c r="E38" s="59">
        <f>+'04 2021'!E38+'05 2021'!E38+'06 2021'!E38</f>
        <v>0</v>
      </c>
      <c r="F38" s="60">
        <f>+'04 2021'!F38+'05 2021'!F38+'06 2021'!F38</f>
        <v>0</v>
      </c>
      <c r="G38" s="58">
        <f>+C38+D38+E38+F38</f>
        <v>0</v>
      </c>
      <c r="H38" s="31"/>
    </row>
    <row r="39" spans="1:8" s="27" customFormat="1" ht="30.75" customHeight="1" thickBot="1" x14ac:dyDescent="0.4">
      <c r="A39" s="107" t="s">
        <v>38</v>
      </c>
      <c r="B39" s="85" t="s">
        <v>39</v>
      </c>
      <c r="C39" s="61"/>
      <c r="D39" s="61"/>
      <c r="E39" s="62"/>
      <c r="F39" s="63"/>
      <c r="G39" s="61"/>
      <c r="H39" s="26"/>
    </row>
    <row r="40" spans="1:8" s="27" customFormat="1" ht="30.6" customHeight="1" x14ac:dyDescent="0.35">
      <c r="A40" s="115" t="s">
        <v>40</v>
      </c>
      <c r="B40" s="116" t="s">
        <v>41</v>
      </c>
      <c r="C40" s="117">
        <f>+C36</f>
        <v>93044657.350000024</v>
      </c>
      <c r="D40" s="117">
        <f>+D36</f>
        <v>-29554450.589999914</v>
      </c>
      <c r="E40" s="118">
        <f>+E36</f>
        <v>18742280.590000018</v>
      </c>
      <c r="F40" s="119">
        <f>+F36</f>
        <v>16126027.75000003</v>
      </c>
      <c r="G40" s="117">
        <f>+G36</f>
        <v>98358515.099999905</v>
      </c>
      <c r="H40" s="26"/>
    </row>
    <row r="41" spans="1:8" s="27" customFormat="1" ht="11.4" customHeight="1" x14ac:dyDescent="0.35">
      <c r="A41" s="90"/>
      <c r="B41" s="90"/>
      <c r="C41" s="91"/>
      <c r="D41" s="91"/>
      <c r="E41" s="91"/>
      <c r="F41" s="91"/>
      <c r="G41" s="91"/>
      <c r="H41" s="26"/>
    </row>
    <row r="42" spans="1:8" s="27" customFormat="1" ht="18" x14ac:dyDescent="0.35">
      <c r="A42" s="341" t="s">
        <v>51</v>
      </c>
      <c r="B42" s="342"/>
      <c r="C42" s="342"/>
      <c r="D42" s="342"/>
      <c r="E42" s="342"/>
      <c r="F42" s="342"/>
      <c r="G42" s="343"/>
      <c r="H42" s="26"/>
    </row>
    <row r="43" spans="1:8" s="37" customFormat="1" ht="18" x14ac:dyDescent="0.35">
      <c r="A43" s="92">
        <v>1</v>
      </c>
      <c r="B43" s="93" t="s">
        <v>52</v>
      </c>
      <c r="C43" s="94">
        <f>+C12/C7</f>
        <v>1</v>
      </c>
      <c r="D43" s="95">
        <f>+D12/D7</f>
        <v>1.087127656351027</v>
      </c>
      <c r="E43" s="95">
        <f>+E12/E7</f>
        <v>0.47030739988237663</v>
      </c>
      <c r="F43" s="95">
        <f>+F12/F7</f>
        <v>0.63930413615253734</v>
      </c>
      <c r="G43" s="95">
        <f>+G12/G7</f>
        <v>0.78097395870211472</v>
      </c>
      <c r="H43" s="38"/>
    </row>
    <row r="44" spans="1:8" s="37" customFormat="1" ht="18" x14ac:dyDescent="0.35">
      <c r="A44" s="92">
        <v>2</v>
      </c>
      <c r="B44" s="93" t="s">
        <v>53</v>
      </c>
      <c r="C44" s="94">
        <f>+C13/C7</f>
        <v>1.2245788296296296</v>
      </c>
      <c r="D44" s="95">
        <f>+D13/D7</f>
        <v>0.83078502938233578</v>
      </c>
      <c r="E44" s="95">
        <f>+E13/E7</f>
        <v>0.17257939274120784</v>
      </c>
      <c r="F44" s="95">
        <f>+F13/F7</f>
        <v>0.40758146397870254</v>
      </c>
      <c r="G44" s="95">
        <f>+G13/G7</f>
        <v>0.52215779211155144</v>
      </c>
      <c r="H44" s="36"/>
    </row>
    <row r="45" spans="1:8" s="37" customFormat="1" ht="18" x14ac:dyDescent="0.35">
      <c r="A45" s="92">
        <v>3</v>
      </c>
      <c r="B45" s="93" t="s">
        <v>56</v>
      </c>
      <c r="C45" s="94">
        <f>+C13/C12</f>
        <v>1.2245788296296296</v>
      </c>
      <c r="D45" s="95">
        <f>+D13/D12</f>
        <v>0.76420190814654443</v>
      </c>
      <c r="E45" s="95">
        <f>+E13/E12</f>
        <v>0.36695019637022458</v>
      </c>
      <c r="F45" s="95">
        <f>+F13/F12</f>
        <v>0.63753922574568489</v>
      </c>
      <c r="G45" s="95">
        <f>+G13/G12</f>
        <v>0.66859821162195376</v>
      </c>
      <c r="H45" s="36"/>
    </row>
    <row r="46" spans="1:8" s="37" customFormat="1" ht="18" x14ac:dyDescent="0.35">
      <c r="A46" s="92">
        <v>4</v>
      </c>
      <c r="B46" s="93" t="s">
        <v>57</v>
      </c>
      <c r="C46" s="94">
        <f>+C16/C12</f>
        <v>9.1244816370370376</v>
      </c>
      <c r="D46" s="95">
        <f>+D16/D12</f>
        <v>0.80678346101459797</v>
      </c>
      <c r="E46" s="95">
        <f>+E16/E12</f>
        <v>0.42872004808555159</v>
      </c>
      <c r="F46" s="95">
        <f>+F16/F12</f>
        <v>0.67519895473623104</v>
      </c>
      <c r="G46" s="95">
        <f>+G16/G12</f>
        <v>0.73016849395040528</v>
      </c>
      <c r="H46" s="36"/>
    </row>
    <row r="47" spans="1:8" s="37" customFormat="1" ht="18" x14ac:dyDescent="0.35">
      <c r="A47" s="92">
        <v>5</v>
      </c>
      <c r="B47" s="93" t="s">
        <v>58</v>
      </c>
      <c r="C47" s="94">
        <f>+C18/C12</f>
        <v>28.651818859259262</v>
      </c>
      <c r="D47" s="95">
        <f>+D18/D12</f>
        <v>0.23120256822684254</v>
      </c>
      <c r="E47" s="95">
        <f>+E18/E12</f>
        <v>0.34189959037082585</v>
      </c>
      <c r="F47" s="95">
        <f>+F18/F12</f>
        <v>0.19746326510187251</v>
      </c>
      <c r="G47" s="95">
        <f>+G18/G12</f>
        <v>0.30241664217238973</v>
      </c>
      <c r="H47" s="36"/>
    </row>
    <row r="48" spans="1:8" s="37" customFormat="1" ht="18" x14ac:dyDescent="0.35">
      <c r="A48" s="92">
        <v>6</v>
      </c>
      <c r="B48" s="93" t="s">
        <v>54</v>
      </c>
      <c r="C48" s="94">
        <f>+C17/C18</f>
        <v>-0.28355901860699817</v>
      </c>
      <c r="D48" s="95">
        <f>+D17/D18</f>
        <v>0.83570239062322693</v>
      </c>
      <c r="E48" s="95">
        <f>+E17/E18</f>
        <v>1.6708997846263447</v>
      </c>
      <c r="F48" s="95">
        <f>+F17/F18</f>
        <v>1.6448681991366956</v>
      </c>
      <c r="G48" s="95">
        <f>+G17/G18</f>
        <v>0.89225085005665716</v>
      </c>
      <c r="H48" s="36"/>
    </row>
    <row r="49" spans="1:8" s="37" customFormat="1" ht="18" x14ac:dyDescent="0.35">
      <c r="A49" s="92">
        <v>7</v>
      </c>
      <c r="B49" s="93" t="s">
        <v>55</v>
      </c>
      <c r="C49" s="94">
        <f>+C20/C12</f>
        <v>-36.826322592592589</v>
      </c>
      <c r="D49" s="95">
        <f>+D20/D12</f>
        <v>-4.7185881150916077E-2</v>
      </c>
      <c r="E49" s="95">
        <f>+E20/E12</f>
        <v>0.20788507980721749</v>
      </c>
      <c r="F49" s="95">
        <f>+F20/F12</f>
        <v>0.11159960504650819</v>
      </c>
      <c r="G49" s="95">
        <f>+G20/G12</f>
        <v>-4.5540124770048554E-2</v>
      </c>
      <c r="H49" s="36"/>
    </row>
    <row r="50" spans="1:8" x14ac:dyDescent="0.55000000000000004">
      <c r="A50" s="90"/>
      <c r="B50" s="90"/>
      <c r="C50" s="96"/>
      <c r="D50" s="96"/>
      <c r="E50" s="96"/>
      <c r="F50" s="96"/>
    </row>
  </sheetData>
  <sheetProtection selectLockedCells="1" selectUnlockedCells="1"/>
  <mergeCells count="5">
    <mergeCell ref="A42:G42"/>
    <mergeCell ref="T1:U1"/>
    <mergeCell ref="T2:U2"/>
    <mergeCell ref="T3:U3"/>
    <mergeCell ref="A5:G5"/>
  </mergeCells>
  <conditionalFormatting sqref="D1:G4 C43:G1048576 D41:G41 D6:F40">
    <cfRule type="cellIs" dxfId="131" priority="4" operator="lessThan">
      <formula>-0.01</formula>
    </cfRule>
  </conditionalFormatting>
  <conditionalFormatting sqref="C1:C4 C6:C41">
    <cfRule type="cellIs" dxfId="130" priority="3" operator="lessThan">
      <formula>-0.01</formula>
    </cfRule>
  </conditionalFormatting>
  <conditionalFormatting sqref="G7:G40">
    <cfRule type="cellIs" dxfId="129" priority="2" operator="lessThan">
      <formula>-0.01</formula>
    </cfRule>
  </conditionalFormatting>
  <conditionalFormatting sqref="G6">
    <cfRule type="cellIs" dxfId="128" priority="1" operator="lessThan">
      <formula>-0.01</formula>
    </cfRule>
  </conditionalFormatting>
  <pageMargins left="0.14000000000000001" right="0.11" top="0.16" bottom="0.16" header="0.16" footer="0"/>
  <pageSetup paperSize="9" scale="54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24</vt:i4>
      </vt:variant>
    </vt:vector>
  </HeadingPairs>
  <TitlesOfParts>
    <vt:vector size="49" baseType="lpstr">
      <vt:lpstr>contrôler la prod </vt:lpstr>
      <vt:lpstr>01 2021</vt:lpstr>
      <vt:lpstr>02 2021</vt:lpstr>
      <vt:lpstr>03 2021</vt:lpstr>
      <vt:lpstr>T01 2021</vt:lpstr>
      <vt:lpstr>04 2021</vt:lpstr>
      <vt:lpstr>05 2021</vt:lpstr>
      <vt:lpstr>06 2021</vt:lpstr>
      <vt:lpstr>T02 2021</vt:lpstr>
      <vt:lpstr>07 2021</vt:lpstr>
      <vt:lpstr>08 2021</vt:lpstr>
      <vt:lpstr>09 2021</vt:lpstr>
      <vt:lpstr>T03 2021</vt:lpstr>
      <vt:lpstr>10 2021</vt:lpstr>
      <vt:lpstr>11 2021</vt:lpstr>
      <vt:lpstr>12 2021</vt:lpstr>
      <vt:lpstr>T04 2021</vt:lpstr>
      <vt:lpstr>EX 2021</vt:lpstr>
      <vt:lpstr>CONSOLIDE</vt:lpstr>
      <vt:lpstr>SIEGE 2021</vt:lpstr>
      <vt:lpstr>KDU 2021</vt:lpstr>
      <vt:lpstr>SKDU 2021</vt:lpstr>
      <vt:lpstr>AZDU 2021</vt:lpstr>
      <vt:lpstr>GRAPHYQUES</vt:lpstr>
      <vt:lpstr>TCR 12 2020 Consolidé</vt:lpstr>
      <vt:lpstr>'01 2021'!Zone_d_impression</vt:lpstr>
      <vt:lpstr>'02 2021'!Zone_d_impression</vt:lpstr>
      <vt:lpstr>'03 2021'!Zone_d_impression</vt:lpstr>
      <vt:lpstr>'04 2021'!Zone_d_impression</vt:lpstr>
      <vt:lpstr>'05 2021'!Zone_d_impression</vt:lpstr>
      <vt:lpstr>'06 2021'!Zone_d_impression</vt:lpstr>
      <vt:lpstr>'07 2021'!Zone_d_impression</vt:lpstr>
      <vt:lpstr>'08 2021'!Zone_d_impression</vt:lpstr>
      <vt:lpstr>'09 2021'!Zone_d_impression</vt:lpstr>
      <vt:lpstr>'10 2021'!Zone_d_impression</vt:lpstr>
      <vt:lpstr>'11 2021'!Zone_d_impression</vt:lpstr>
      <vt:lpstr>'12 2021'!Zone_d_impression</vt:lpstr>
      <vt:lpstr>'AZDU 2021'!Zone_d_impression</vt:lpstr>
      <vt:lpstr>CONSOLIDE!Zone_d_impression</vt:lpstr>
      <vt:lpstr>'EX 2021'!Zone_d_impression</vt:lpstr>
      <vt:lpstr>GRAPHYQUES!Zone_d_impression</vt:lpstr>
      <vt:lpstr>'KDU 2021'!Zone_d_impression</vt:lpstr>
      <vt:lpstr>'SIEGE 2021'!Zone_d_impression</vt:lpstr>
      <vt:lpstr>'SKDU 2021'!Zone_d_impression</vt:lpstr>
      <vt:lpstr>'T01 2021'!Zone_d_impression</vt:lpstr>
      <vt:lpstr>'T02 2021'!Zone_d_impression</vt:lpstr>
      <vt:lpstr>'T03 2021'!Zone_d_impression</vt:lpstr>
      <vt:lpstr>'T04 2021'!Zone_d_impression</vt:lpstr>
      <vt:lpstr>'TCR 12 2020 Consolidé'!Zone_d_impression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boussebah rabah</cp:lastModifiedBy>
  <cp:lastPrinted>2022-01-16T09:23:57Z</cp:lastPrinted>
  <dcterms:created xsi:type="dcterms:W3CDTF">2020-10-07T07:25:24Z</dcterms:created>
  <dcterms:modified xsi:type="dcterms:W3CDTF">2022-01-17T12:39:52Z</dcterms:modified>
</cp:coreProperties>
</file>