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 tabRatio="693" firstSheet="1" activeTab="4"/>
  </bookViews>
  <sheets>
    <sheet name="01 Prod Physique Boites" sheetId="1" r:id="rId1"/>
    <sheet name="02 Prod Valorisée Boites" sheetId="13" r:id="rId2"/>
    <sheet name="03 Prod Accessoires" sheetId="17" r:id="rId3"/>
    <sheet name="04 Ventes" sheetId="16" r:id="rId4"/>
    <sheet name="05 Activité Consolidée" sheetId="15" r:id="rId5"/>
    <sheet name="06 TRS" sheetId="14" r:id="rId6"/>
    <sheet name="07 Graphique" sheetId="19" r:id="rId7"/>
    <sheet name="REFERENCE PU" sheetId="2" state="hidden" r:id="rId8"/>
  </sheets>
  <definedNames>
    <definedName name="_xlnm.Print_Area" localSheetId="0">'01 Prod Physique Boites'!$A$1:$O$716</definedName>
    <definedName name="_xlnm.Print_Area" localSheetId="1">'02 Prod Valorisée Boites'!$A$1:$J$717</definedName>
    <definedName name="_xlnm.Print_Area" localSheetId="2">'03 Prod Accessoires'!$A$1:$Q$403</definedName>
    <definedName name="_xlnm.Print_Area" localSheetId="3">'04 Ventes'!$A$1:$I$665</definedName>
    <definedName name="_xlnm.Print_Area" localSheetId="4">'05 Activité Consolidée'!$A$1:$J$105</definedName>
    <definedName name="_xlnm.Print_Area" localSheetId="5">'06 TRS'!$A$1:$T$147</definedName>
    <definedName name="_xlnm.Print_Area" localSheetId="6">'07 Graphique'!$A$1:$T$42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4" l="1"/>
  <c r="D22" i="14"/>
  <c r="I99" i="15"/>
  <c r="G670" i="1"/>
  <c r="L30" i="14"/>
  <c r="K30" i="14"/>
  <c r="O30" i="14" s="1"/>
  <c r="L29" i="14"/>
  <c r="K29" i="14"/>
  <c r="O29" i="14" s="1"/>
  <c r="N29" i="14" s="1"/>
  <c r="G29" i="14"/>
  <c r="C29" i="14"/>
  <c r="L28" i="14"/>
  <c r="K28" i="14"/>
  <c r="O28" i="14" s="1"/>
  <c r="N28" i="14" s="1"/>
  <c r="G28" i="14"/>
  <c r="C28" i="14"/>
  <c r="L27" i="14"/>
  <c r="K27" i="14"/>
  <c r="O27" i="14" s="1"/>
  <c r="N27" i="14" s="1"/>
  <c r="G27" i="14"/>
  <c r="C27" i="14"/>
  <c r="O26" i="14"/>
  <c r="N26" i="14" s="1"/>
  <c r="L26" i="14"/>
  <c r="K26" i="14"/>
  <c r="M26" i="14" s="1"/>
  <c r="G26" i="14"/>
  <c r="C26" i="14"/>
  <c r="L25" i="14"/>
  <c r="K25" i="14"/>
  <c r="M25" i="14" s="1"/>
  <c r="G25" i="14"/>
  <c r="C25" i="14"/>
  <c r="L24" i="14"/>
  <c r="K24" i="14" s="1"/>
  <c r="G24" i="14"/>
  <c r="C24" i="14"/>
  <c r="L23" i="14"/>
  <c r="K23" i="14" s="1"/>
  <c r="M23" i="14" s="1"/>
  <c r="G23" i="14"/>
  <c r="C23" i="14"/>
  <c r="G22" i="14"/>
  <c r="L21" i="14"/>
  <c r="K21" i="14" s="1"/>
  <c r="G21" i="14"/>
  <c r="C21" i="14"/>
  <c r="L20" i="14"/>
  <c r="K20" i="14" s="1"/>
  <c r="O20" i="14" s="1"/>
  <c r="G20" i="14"/>
  <c r="C20" i="14"/>
  <c r="L19" i="14"/>
  <c r="K19" i="14" s="1"/>
  <c r="O19" i="14" s="1"/>
  <c r="G19" i="14"/>
  <c r="C19" i="14"/>
  <c r="L18" i="14"/>
  <c r="K18" i="14" s="1"/>
  <c r="O18" i="14" s="1"/>
  <c r="G18" i="14"/>
  <c r="C18" i="14"/>
  <c r="L17" i="14"/>
  <c r="K17" i="14" s="1"/>
  <c r="O17" i="14" s="1"/>
  <c r="N17" i="14" s="1"/>
  <c r="G17" i="14"/>
  <c r="L16" i="14"/>
  <c r="K16" i="14" s="1"/>
  <c r="G16" i="14"/>
  <c r="C16" i="14"/>
  <c r="L15" i="14"/>
  <c r="K15" i="14" s="1"/>
  <c r="G15" i="14"/>
  <c r="C15" i="14"/>
  <c r="L14" i="14"/>
  <c r="K14" i="14" s="1"/>
  <c r="G14" i="14"/>
  <c r="C14" i="14"/>
  <c r="I102" i="15"/>
  <c r="F662" i="16"/>
  <c r="E641" i="16"/>
  <c r="J96" i="15"/>
  <c r="J95" i="15"/>
  <c r="H102" i="15"/>
  <c r="G102" i="15"/>
  <c r="H99" i="15"/>
  <c r="G99" i="15"/>
  <c r="F102" i="15"/>
  <c r="D102" i="15"/>
  <c r="C102" i="15"/>
  <c r="C99" i="15"/>
  <c r="C96" i="15"/>
  <c r="C95" i="15"/>
  <c r="I104" i="15"/>
  <c r="G104" i="15"/>
  <c r="C104" i="15"/>
  <c r="E103" i="15"/>
  <c r="H104" i="15"/>
  <c r="F104" i="15"/>
  <c r="D104" i="15"/>
  <c r="E104" i="15" s="1"/>
  <c r="H101" i="15"/>
  <c r="E100" i="15"/>
  <c r="I101" i="15"/>
  <c r="G101" i="15"/>
  <c r="C101" i="15"/>
  <c r="E97" i="15"/>
  <c r="C98" i="15"/>
  <c r="C105" i="15" s="1"/>
  <c r="F565" i="16"/>
  <c r="F564" i="16"/>
  <c r="F563" i="16"/>
  <c r="F562" i="16"/>
  <c r="F561" i="16"/>
  <c r="H663" i="16"/>
  <c r="F663" i="16"/>
  <c r="I663" i="16" s="1"/>
  <c r="I664" i="16" s="1"/>
  <c r="E662" i="16"/>
  <c r="H661" i="16"/>
  <c r="H660" i="16"/>
  <c r="H659" i="16"/>
  <c r="I659" i="16" s="1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H662" i="16" s="1"/>
  <c r="E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I602" i="16"/>
  <c r="E601" i="16"/>
  <c r="H600" i="16"/>
  <c r="H599" i="16"/>
  <c r="H598" i="16"/>
  <c r="H597" i="16"/>
  <c r="H596" i="16"/>
  <c r="H595" i="16"/>
  <c r="H594" i="16"/>
  <c r="E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E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I564" i="16"/>
  <c r="H563" i="16"/>
  <c r="I563" i="16"/>
  <c r="H562" i="16"/>
  <c r="H561" i="16"/>
  <c r="E403" i="17"/>
  <c r="H402" i="17"/>
  <c r="E402" i="17"/>
  <c r="D402" i="17"/>
  <c r="H401" i="17"/>
  <c r="G401" i="17"/>
  <c r="G402" i="17" s="1"/>
  <c r="D401" i="17"/>
  <c r="P400" i="17"/>
  <c r="L400" i="17"/>
  <c r="K400" i="17"/>
  <c r="I400" i="17"/>
  <c r="F400" i="17"/>
  <c r="Q399" i="17"/>
  <c r="P399" i="17"/>
  <c r="N399" i="17"/>
  <c r="L399" i="17"/>
  <c r="K399" i="17"/>
  <c r="J399" i="17"/>
  <c r="M399" i="17" s="1"/>
  <c r="F399" i="17"/>
  <c r="I399" i="17" s="1"/>
  <c r="P398" i="17"/>
  <c r="L398" i="17"/>
  <c r="K398" i="17"/>
  <c r="I398" i="17"/>
  <c r="F398" i="17"/>
  <c r="Q397" i="17"/>
  <c r="P397" i="17"/>
  <c r="L397" i="17"/>
  <c r="N397" i="17" s="1"/>
  <c r="K397" i="17"/>
  <c r="J397" i="17"/>
  <c r="M397" i="17" s="1"/>
  <c r="F397" i="17"/>
  <c r="I397" i="17" s="1"/>
  <c r="P396" i="17"/>
  <c r="L396" i="17"/>
  <c r="K396" i="17"/>
  <c r="I396" i="17"/>
  <c r="F396" i="17"/>
  <c r="Q395" i="17"/>
  <c r="P395" i="17"/>
  <c r="N395" i="17"/>
  <c r="L395" i="17"/>
  <c r="K395" i="17"/>
  <c r="J395" i="17"/>
  <c r="M395" i="17" s="1"/>
  <c r="F395" i="17"/>
  <c r="I395" i="17" s="1"/>
  <c r="P394" i="17"/>
  <c r="L394" i="17"/>
  <c r="K394" i="17"/>
  <c r="I394" i="17"/>
  <c r="F394" i="17"/>
  <c r="Q393" i="17"/>
  <c r="P393" i="17"/>
  <c r="L393" i="17"/>
  <c r="N393" i="17" s="1"/>
  <c r="K393" i="17"/>
  <c r="J393" i="17"/>
  <c r="M393" i="17" s="1"/>
  <c r="F393" i="17"/>
  <c r="I393" i="17" s="1"/>
  <c r="P392" i="17"/>
  <c r="L392" i="17"/>
  <c r="K392" i="17"/>
  <c r="I392" i="17"/>
  <c r="F392" i="17"/>
  <c r="P391" i="17"/>
  <c r="L391" i="17"/>
  <c r="K391" i="17"/>
  <c r="Q391" i="17" s="1"/>
  <c r="J391" i="17"/>
  <c r="M391" i="17" s="1"/>
  <c r="F391" i="17"/>
  <c r="I391" i="17" s="1"/>
  <c r="P390" i="17"/>
  <c r="L390" i="17"/>
  <c r="K390" i="17"/>
  <c r="F390" i="17"/>
  <c r="I390" i="17" s="1"/>
  <c r="P389" i="17"/>
  <c r="L389" i="17"/>
  <c r="K389" i="17"/>
  <c r="Q389" i="17" s="1"/>
  <c r="F389" i="17"/>
  <c r="I389" i="17" s="1"/>
  <c r="P388" i="17"/>
  <c r="L388" i="17"/>
  <c r="K388" i="17"/>
  <c r="I388" i="17"/>
  <c r="F388" i="17"/>
  <c r="P387" i="17"/>
  <c r="L387" i="17"/>
  <c r="K387" i="17"/>
  <c r="F387" i="17"/>
  <c r="I387" i="17" s="1"/>
  <c r="P386" i="17"/>
  <c r="L386" i="17"/>
  <c r="K386" i="17"/>
  <c r="I386" i="17"/>
  <c r="F386" i="17"/>
  <c r="Q385" i="17"/>
  <c r="P385" i="17"/>
  <c r="L385" i="17"/>
  <c r="K385" i="17"/>
  <c r="J385" i="17"/>
  <c r="M385" i="17" s="1"/>
  <c r="F385" i="17"/>
  <c r="I385" i="17" s="1"/>
  <c r="P384" i="17"/>
  <c r="L384" i="17"/>
  <c r="K384" i="17"/>
  <c r="F384" i="17"/>
  <c r="I384" i="17" s="1"/>
  <c r="P383" i="17"/>
  <c r="L383" i="17"/>
  <c r="N383" i="17" s="1"/>
  <c r="K383" i="17"/>
  <c r="Q383" i="17" s="1"/>
  <c r="J383" i="17"/>
  <c r="M383" i="17" s="1"/>
  <c r="F383" i="17"/>
  <c r="I383" i="17" s="1"/>
  <c r="P382" i="17"/>
  <c r="L382" i="17"/>
  <c r="K382" i="17"/>
  <c r="F382" i="17"/>
  <c r="I382" i="17" s="1"/>
  <c r="P381" i="17"/>
  <c r="L381" i="17"/>
  <c r="K381" i="17"/>
  <c r="Q381" i="17" s="1"/>
  <c r="F381" i="17"/>
  <c r="I381" i="17" s="1"/>
  <c r="P380" i="17"/>
  <c r="L380" i="17"/>
  <c r="K380" i="17"/>
  <c r="I380" i="17"/>
  <c r="F380" i="17"/>
  <c r="P379" i="17"/>
  <c r="L379" i="17"/>
  <c r="K379" i="17"/>
  <c r="J379" i="17" s="1"/>
  <c r="F379" i="17"/>
  <c r="I379" i="17" s="1"/>
  <c r="P378" i="17"/>
  <c r="L378" i="17"/>
  <c r="K378" i="17"/>
  <c r="I378" i="17"/>
  <c r="F378" i="17"/>
  <c r="Q377" i="17"/>
  <c r="P377" i="17"/>
  <c r="L377" i="17"/>
  <c r="K377" i="17"/>
  <c r="J377" i="17"/>
  <c r="M377" i="17" s="1"/>
  <c r="F377" i="17"/>
  <c r="I377" i="17" s="1"/>
  <c r="P376" i="17"/>
  <c r="L376" i="17"/>
  <c r="K376" i="17"/>
  <c r="F376" i="17"/>
  <c r="I376" i="17" s="1"/>
  <c r="Q375" i="17"/>
  <c r="P375" i="17"/>
  <c r="N375" i="17"/>
  <c r="L375" i="17"/>
  <c r="K375" i="17"/>
  <c r="J375" i="17"/>
  <c r="M375" i="17" s="1"/>
  <c r="F375" i="17"/>
  <c r="I375" i="17" s="1"/>
  <c r="P374" i="17"/>
  <c r="L374" i="17"/>
  <c r="K374" i="17"/>
  <c r="F374" i="17"/>
  <c r="I374" i="17" s="1"/>
  <c r="P373" i="17"/>
  <c r="L373" i="17"/>
  <c r="N373" i="17" s="1"/>
  <c r="K373" i="17"/>
  <c r="Q373" i="17" s="1"/>
  <c r="J373" i="17"/>
  <c r="F373" i="17"/>
  <c r="Q372" i="17"/>
  <c r="P372" i="17"/>
  <c r="L372" i="17"/>
  <c r="N372" i="17" s="1"/>
  <c r="K372" i="17"/>
  <c r="J372" i="17"/>
  <c r="M372" i="17" s="1"/>
  <c r="F372" i="17"/>
  <c r="I372" i="17" s="1"/>
  <c r="P371" i="17"/>
  <c r="L371" i="17"/>
  <c r="K371" i="17"/>
  <c r="Q371" i="17" s="1"/>
  <c r="I371" i="17"/>
  <c r="F371" i="17"/>
  <c r="Q370" i="17"/>
  <c r="P370" i="17"/>
  <c r="L370" i="17"/>
  <c r="N370" i="17" s="1"/>
  <c r="K370" i="17"/>
  <c r="J370" i="17"/>
  <c r="M370" i="17" s="1"/>
  <c r="F370" i="17"/>
  <c r="I370" i="17" s="1"/>
  <c r="P369" i="17"/>
  <c r="L369" i="17"/>
  <c r="K369" i="17"/>
  <c r="Q369" i="17" s="1"/>
  <c r="I369" i="17"/>
  <c r="F369" i="17"/>
  <c r="Q368" i="17"/>
  <c r="P368" i="17"/>
  <c r="L368" i="17"/>
  <c r="N368" i="17" s="1"/>
  <c r="K368" i="17"/>
  <c r="J368" i="17"/>
  <c r="M368" i="17" s="1"/>
  <c r="F368" i="17"/>
  <c r="I368" i="17" s="1"/>
  <c r="P367" i="17"/>
  <c r="L367" i="17"/>
  <c r="K367" i="17"/>
  <c r="I367" i="17"/>
  <c r="F367" i="17"/>
  <c r="H366" i="17"/>
  <c r="E366" i="17"/>
  <c r="D366" i="17"/>
  <c r="H365" i="17"/>
  <c r="G365" i="17"/>
  <c r="G366" i="17" s="1"/>
  <c r="Q364" i="17"/>
  <c r="P364" i="17"/>
  <c r="L364" i="17"/>
  <c r="N364" i="17" s="1"/>
  <c r="K364" i="17"/>
  <c r="J364" i="17"/>
  <c r="M364" i="17" s="1"/>
  <c r="F364" i="17"/>
  <c r="I364" i="17" s="1"/>
  <c r="P363" i="17"/>
  <c r="L363" i="17"/>
  <c r="K363" i="17"/>
  <c r="Q363" i="17" s="1"/>
  <c r="I363" i="17"/>
  <c r="F363" i="17"/>
  <c r="P362" i="17"/>
  <c r="L362" i="17"/>
  <c r="K362" i="17"/>
  <c r="J362" i="17" s="1"/>
  <c r="I362" i="17"/>
  <c r="F362" i="17"/>
  <c r="P361" i="17"/>
  <c r="L361" i="17"/>
  <c r="K361" i="17"/>
  <c r="Q361" i="17" s="1"/>
  <c r="F361" i="17"/>
  <c r="I361" i="17" s="1"/>
  <c r="P360" i="17"/>
  <c r="L360" i="17"/>
  <c r="K360" i="17"/>
  <c r="Q360" i="17" s="1"/>
  <c r="I360" i="17"/>
  <c r="F360" i="17"/>
  <c r="Q359" i="17"/>
  <c r="P359" i="17"/>
  <c r="L359" i="17"/>
  <c r="N359" i="17" s="1"/>
  <c r="K359" i="17"/>
  <c r="J359" i="17"/>
  <c r="M359" i="17" s="1"/>
  <c r="F359" i="17"/>
  <c r="I359" i="17" s="1"/>
  <c r="P358" i="17"/>
  <c r="P365" i="17" s="1"/>
  <c r="P366" i="17" s="1"/>
  <c r="L358" i="17"/>
  <c r="L365" i="17" s="1"/>
  <c r="K358" i="17"/>
  <c r="Q358" i="17" s="1"/>
  <c r="I358" i="17"/>
  <c r="F358" i="17"/>
  <c r="F365" i="17" s="1"/>
  <c r="E357" i="17"/>
  <c r="D357" i="17"/>
  <c r="H356" i="17"/>
  <c r="G356" i="17"/>
  <c r="D356" i="17"/>
  <c r="P355" i="17"/>
  <c r="L355" i="17"/>
  <c r="K355" i="17"/>
  <c r="I355" i="17"/>
  <c r="F355" i="17"/>
  <c r="Q354" i="17"/>
  <c r="P354" i="17"/>
  <c r="N354" i="17"/>
  <c r="L354" i="17"/>
  <c r="K354" i="17"/>
  <c r="J354" i="17"/>
  <c r="M354" i="17" s="1"/>
  <c r="F354" i="17"/>
  <c r="I354" i="17" s="1"/>
  <c r="P353" i="17"/>
  <c r="L353" i="17"/>
  <c r="K353" i="17"/>
  <c r="I353" i="17"/>
  <c r="F353" i="17"/>
  <c r="Q352" i="17"/>
  <c r="P352" i="17"/>
  <c r="L352" i="17"/>
  <c r="N352" i="17" s="1"/>
  <c r="K352" i="17"/>
  <c r="J352" i="17"/>
  <c r="M352" i="17" s="1"/>
  <c r="F352" i="17"/>
  <c r="I352" i="17" s="1"/>
  <c r="P351" i="17"/>
  <c r="L351" i="17"/>
  <c r="K351" i="17"/>
  <c r="I351" i="17"/>
  <c r="F351" i="17"/>
  <c r="P350" i="17"/>
  <c r="L350" i="17"/>
  <c r="K350" i="17"/>
  <c r="J350" i="17" s="1"/>
  <c r="F350" i="17"/>
  <c r="I350" i="17" s="1"/>
  <c r="P349" i="17"/>
  <c r="P356" i="17" s="1"/>
  <c r="L349" i="17"/>
  <c r="K349" i="17"/>
  <c r="I349" i="17"/>
  <c r="F349" i="17"/>
  <c r="H348" i="17"/>
  <c r="H357" i="17" s="1"/>
  <c r="G348" i="17"/>
  <c r="D348" i="17"/>
  <c r="P347" i="17"/>
  <c r="L347" i="17"/>
  <c r="K347" i="17"/>
  <c r="Q347" i="17" s="1"/>
  <c r="F347" i="17"/>
  <c r="I347" i="17" s="1"/>
  <c r="P346" i="17"/>
  <c r="L346" i="17"/>
  <c r="K346" i="17"/>
  <c r="I346" i="17"/>
  <c r="F346" i="17"/>
  <c r="P345" i="17"/>
  <c r="L345" i="17"/>
  <c r="K345" i="17"/>
  <c r="J345" i="17" s="1"/>
  <c r="F345" i="17"/>
  <c r="I345" i="17" s="1"/>
  <c r="P344" i="17"/>
  <c r="L344" i="17"/>
  <c r="K344" i="17"/>
  <c r="F344" i="17"/>
  <c r="I344" i="17" s="1"/>
  <c r="Q343" i="17"/>
  <c r="P343" i="17"/>
  <c r="L343" i="17"/>
  <c r="K343" i="17"/>
  <c r="J343" i="17"/>
  <c r="M343" i="17" s="1"/>
  <c r="F343" i="17"/>
  <c r="I343" i="17" s="1"/>
  <c r="P342" i="17"/>
  <c r="L342" i="17"/>
  <c r="K342" i="17"/>
  <c r="F342" i="17"/>
  <c r="I342" i="17" s="1"/>
  <c r="G713" i="13"/>
  <c r="J713" i="13" s="1"/>
  <c r="F713" i="13"/>
  <c r="I713" i="13" s="1"/>
  <c r="G712" i="13"/>
  <c r="G714" i="13" s="1"/>
  <c r="F712" i="13"/>
  <c r="F714" i="13" s="1"/>
  <c r="G710" i="13"/>
  <c r="J710" i="13" s="1"/>
  <c r="F710" i="13"/>
  <c r="I710" i="13" s="1"/>
  <c r="G709" i="13"/>
  <c r="J709" i="13" s="1"/>
  <c r="F709" i="13"/>
  <c r="F711" i="13" s="1"/>
  <c r="G708" i="13"/>
  <c r="G711" i="13" s="1"/>
  <c r="F708" i="13"/>
  <c r="I708" i="13" s="1"/>
  <c r="G706" i="13"/>
  <c r="J706" i="13" s="1"/>
  <c r="F706" i="13"/>
  <c r="I706" i="13" s="1"/>
  <c r="G705" i="13"/>
  <c r="J705" i="13" s="1"/>
  <c r="F705" i="13"/>
  <c r="I705" i="13" s="1"/>
  <c r="G704" i="13"/>
  <c r="J704" i="13" s="1"/>
  <c r="F704" i="13"/>
  <c r="I704" i="13" s="1"/>
  <c r="F703" i="13"/>
  <c r="F707" i="13" s="1"/>
  <c r="G701" i="13"/>
  <c r="J701" i="13" s="1"/>
  <c r="F701" i="13"/>
  <c r="I701" i="13" s="1"/>
  <c r="G700" i="13"/>
  <c r="G702" i="13" s="1"/>
  <c r="F700" i="13"/>
  <c r="F702" i="13" s="1"/>
  <c r="G698" i="13"/>
  <c r="J698" i="13" s="1"/>
  <c r="F698" i="13"/>
  <c r="I698" i="13" s="1"/>
  <c r="G697" i="13"/>
  <c r="J697" i="13" s="1"/>
  <c r="F697" i="13"/>
  <c r="I697" i="13" s="1"/>
  <c r="G696" i="13"/>
  <c r="J696" i="13" s="1"/>
  <c r="F696" i="13"/>
  <c r="I696" i="13" s="1"/>
  <c r="G695" i="13"/>
  <c r="G699" i="13" s="1"/>
  <c r="F695" i="13"/>
  <c r="F699" i="13" s="1"/>
  <c r="G693" i="13"/>
  <c r="J693" i="13" s="1"/>
  <c r="F693" i="13"/>
  <c r="I693" i="13" s="1"/>
  <c r="G692" i="13"/>
  <c r="J692" i="13" s="1"/>
  <c r="F692" i="13"/>
  <c r="I692" i="13" s="1"/>
  <c r="G691" i="13"/>
  <c r="G694" i="13" s="1"/>
  <c r="F691" i="13"/>
  <c r="F694" i="13" s="1"/>
  <c r="F715" i="13" s="1"/>
  <c r="F716" i="13" s="1"/>
  <c r="G688" i="13"/>
  <c r="J688" i="13" s="1"/>
  <c r="F688" i="13"/>
  <c r="I688" i="13" s="1"/>
  <c r="G685" i="13"/>
  <c r="J685" i="13" s="1"/>
  <c r="F685" i="13"/>
  <c r="I685" i="13" s="1"/>
  <c r="G684" i="13"/>
  <c r="J684" i="13" s="1"/>
  <c r="F684" i="13"/>
  <c r="I684" i="13" s="1"/>
  <c r="G683" i="13"/>
  <c r="J683" i="13" s="1"/>
  <c r="F683" i="13"/>
  <c r="I683" i="13" s="1"/>
  <c r="G682" i="13"/>
  <c r="J682" i="13" s="1"/>
  <c r="F682" i="13"/>
  <c r="I682" i="13" s="1"/>
  <c r="G681" i="13"/>
  <c r="J681" i="13" s="1"/>
  <c r="F681" i="13"/>
  <c r="I681" i="13" s="1"/>
  <c r="G680" i="13"/>
  <c r="G686" i="13" s="1"/>
  <c r="F680" i="13"/>
  <c r="F686" i="13" s="1"/>
  <c r="G678" i="13"/>
  <c r="J678" i="13" s="1"/>
  <c r="F678" i="13"/>
  <c r="I678" i="13" s="1"/>
  <c r="G677" i="13"/>
  <c r="J677" i="13" s="1"/>
  <c r="F677" i="13"/>
  <c r="I677" i="13" s="1"/>
  <c r="G676" i="13"/>
  <c r="G679" i="13" s="1"/>
  <c r="F676" i="13"/>
  <c r="F679" i="13" s="1"/>
  <c r="F687" i="13" s="1"/>
  <c r="G673" i="13"/>
  <c r="J673" i="13" s="1"/>
  <c r="F673" i="13"/>
  <c r="I673" i="13" s="1"/>
  <c r="F672" i="13"/>
  <c r="I672" i="13" s="1"/>
  <c r="G671" i="13"/>
  <c r="J671" i="13" s="1"/>
  <c r="F671" i="13"/>
  <c r="I671" i="13" s="1"/>
  <c r="G670" i="13"/>
  <c r="J670" i="13" s="1"/>
  <c r="F670" i="13"/>
  <c r="I670" i="13" s="1"/>
  <c r="G669" i="13"/>
  <c r="J669" i="13" s="1"/>
  <c r="F669" i="13"/>
  <c r="I669" i="13" s="1"/>
  <c r="G668" i="13"/>
  <c r="J668" i="13" s="1"/>
  <c r="F668" i="13"/>
  <c r="F674" i="13" s="1"/>
  <c r="G667" i="13"/>
  <c r="F667" i="13"/>
  <c r="I667" i="13" s="1"/>
  <c r="G665" i="13"/>
  <c r="J665" i="13" s="1"/>
  <c r="F665" i="13"/>
  <c r="I665" i="13" s="1"/>
  <c r="G664" i="13"/>
  <c r="J664" i="13" s="1"/>
  <c r="F664" i="13"/>
  <c r="I664" i="13" s="1"/>
  <c r="G663" i="13"/>
  <c r="J663" i="13" s="1"/>
  <c r="F663" i="13"/>
  <c r="I663" i="13" s="1"/>
  <c r="F662" i="13"/>
  <c r="I662" i="13" s="1"/>
  <c r="G661" i="13"/>
  <c r="J661" i="13" s="1"/>
  <c r="F661" i="13"/>
  <c r="I661" i="13" s="1"/>
  <c r="G660" i="13"/>
  <c r="J660" i="13" s="1"/>
  <c r="F660" i="13"/>
  <c r="I660" i="13" s="1"/>
  <c r="G659" i="13"/>
  <c r="J659" i="13" s="1"/>
  <c r="F659" i="13"/>
  <c r="I659" i="13" s="1"/>
  <c r="G658" i="13"/>
  <c r="J658" i="13" s="1"/>
  <c r="F658" i="13"/>
  <c r="I658" i="13" s="1"/>
  <c r="G657" i="13"/>
  <c r="J657" i="13" s="1"/>
  <c r="F657" i="13"/>
  <c r="I657" i="13" s="1"/>
  <c r="G656" i="13"/>
  <c r="F656" i="13"/>
  <c r="F666" i="13" s="1"/>
  <c r="G652" i="13"/>
  <c r="J652" i="13" s="1"/>
  <c r="F652" i="13"/>
  <c r="I652" i="13" s="1"/>
  <c r="G651" i="13"/>
  <c r="J651" i="13" s="1"/>
  <c r="F651" i="13"/>
  <c r="I651" i="13" s="1"/>
  <c r="G650" i="13"/>
  <c r="J650" i="13" s="1"/>
  <c r="F650" i="13"/>
  <c r="I650" i="13" s="1"/>
  <c r="G649" i="13"/>
  <c r="J649" i="13" s="1"/>
  <c r="F649" i="13"/>
  <c r="I649" i="13" s="1"/>
  <c r="G648" i="13"/>
  <c r="J648" i="13" s="1"/>
  <c r="F648" i="13"/>
  <c r="I648" i="13" s="1"/>
  <c r="G647" i="13"/>
  <c r="J647" i="13" s="1"/>
  <c r="F647" i="13"/>
  <c r="I647" i="13" s="1"/>
  <c r="G646" i="13"/>
  <c r="J646" i="13" s="1"/>
  <c r="F646" i="13"/>
  <c r="I646" i="13" s="1"/>
  <c r="F645" i="13"/>
  <c r="I645" i="13" s="1"/>
  <c r="G644" i="13"/>
  <c r="F644" i="13"/>
  <c r="F653" i="13" s="1"/>
  <c r="G642" i="13"/>
  <c r="J642" i="13" s="1"/>
  <c r="F642" i="13"/>
  <c r="I642" i="13" s="1"/>
  <c r="G641" i="13"/>
  <c r="J641" i="13" s="1"/>
  <c r="F641" i="13"/>
  <c r="I641" i="13" s="1"/>
  <c r="G640" i="13"/>
  <c r="J640" i="13" s="1"/>
  <c r="F640" i="13"/>
  <c r="I640" i="13" s="1"/>
  <c r="G639" i="13"/>
  <c r="G643" i="13" s="1"/>
  <c r="F639" i="13"/>
  <c r="F643" i="13" s="1"/>
  <c r="F654" i="13" s="1"/>
  <c r="G636" i="13"/>
  <c r="J636" i="13" s="1"/>
  <c r="F636" i="13"/>
  <c r="I636" i="13" s="1"/>
  <c r="G635" i="13"/>
  <c r="J635" i="13" s="1"/>
  <c r="F635" i="13"/>
  <c r="I635" i="13" s="1"/>
  <c r="G634" i="13"/>
  <c r="G637" i="13" s="1"/>
  <c r="F634" i="13"/>
  <c r="F637" i="13" s="1"/>
  <c r="G632" i="13"/>
  <c r="J632" i="13" s="1"/>
  <c r="F632" i="13"/>
  <c r="I632" i="13" s="1"/>
  <c r="G631" i="13"/>
  <c r="J631" i="13" s="1"/>
  <c r="F631" i="13"/>
  <c r="I631" i="13" s="1"/>
  <c r="F630" i="13"/>
  <c r="I630" i="13" s="1"/>
  <c r="G629" i="13"/>
  <c r="J629" i="13" s="1"/>
  <c r="F629" i="13"/>
  <c r="I629" i="13" s="1"/>
  <c r="F628" i="13"/>
  <c r="I628" i="13" s="1"/>
  <c r="G627" i="13"/>
  <c r="J627" i="13" s="1"/>
  <c r="F627" i="13"/>
  <c r="I627" i="13" s="1"/>
  <c r="J626" i="13"/>
  <c r="G626" i="13"/>
  <c r="F626" i="13"/>
  <c r="F633" i="13" s="1"/>
  <c r="F624" i="13"/>
  <c r="I624" i="13" s="1"/>
  <c r="J623" i="13"/>
  <c r="G623" i="13"/>
  <c r="F623" i="13"/>
  <c r="I623" i="13" s="1"/>
  <c r="G622" i="13"/>
  <c r="J622" i="13" s="1"/>
  <c r="F622" i="13"/>
  <c r="I622" i="13" s="1"/>
  <c r="J621" i="13"/>
  <c r="G621" i="13"/>
  <c r="F621" i="13"/>
  <c r="I621" i="13" s="1"/>
  <c r="G620" i="13"/>
  <c r="J620" i="13" s="1"/>
  <c r="F620" i="13"/>
  <c r="I620" i="13" s="1"/>
  <c r="J619" i="13"/>
  <c r="G619" i="13"/>
  <c r="F619" i="13"/>
  <c r="I619" i="13" s="1"/>
  <c r="G618" i="13"/>
  <c r="J618" i="13" s="1"/>
  <c r="F618" i="13"/>
  <c r="J616" i="13"/>
  <c r="G616" i="13"/>
  <c r="F616" i="13"/>
  <c r="I616" i="13" s="1"/>
  <c r="G615" i="13"/>
  <c r="J615" i="13" s="1"/>
  <c r="F615" i="13"/>
  <c r="I615" i="13" s="1"/>
  <c r="J614" i="13"/>
  <c r="G614" i="13"/>
  <c r="F614" i="13"/>
  <c r="I614" i="13" s="1"/>
  <c r="G613" i="13"/>
  <c r="J613" i="13" s="1"/>
  <c r="F613" i="13"/>
  <c r="I613" i="13" s="1"/>
  <c r="J612" i="13"/>
  <c r="G612" i="13"/>
  <c r="F612" i="13"/>
  <c r="I612" i="13" s="1"/>
  <c r="G611" i="13"/>
  <c r="J611" i="13" s="1"/>
  <c r="F611" i="13"/>
  <c r="I611" i="13" s="1"/>
  <c r="J610" i="13"/>
  <c r="G610" i="13"/>
  <c r="G617" i="13" s="1"/>
  <c r="F610" i="13"/>
  <c r="F617" i="13" s="1"/>
  <c r="G608" i="13"/>
  <c r="J608" i="13" s="1"/>
  <c r="F608" i="13"/>
  <c r="I608" i="13" s="1"/>
  <c r="J607" i="13"/>
  <c r="G607" i="13"/>
  <c r="F607" i="13"/>
  <c r="I607" i="13" s="1"/>
  <c r="F606" i="13"/>
  <c r="I606" i="13" s="1"/>
  <c r="J605" i="13"/>
  <c r="G605" i="13"/>
  <c r="F605" i="13"/>
  <c r="F714" i="1"/>
  <c r="F715" i="1" s="1"/>
  <c r="M713" i="1"/>
  <c r="I713" i="1"/>
  <c r="H713" i="1"/>
  <c r="E713" i="1"/>
  <c r="O712" i="1"/>
  <c r="M712" i="1"/>
  <c r="L712" i="1"/>
  <c r="K712" i="1"/>
  <c r="N712" i="1" s="1"/>
  <c r="G712" i="1"/>
  <c r="J712" i="1" s="1"/>
  <c r="M711" i="1"/>
  <c r="L711" i="1"/>
  <c r="J711" i="1"/>
  <c r="G711" i="1"/>
  <c r="I710" i="1"/>
  <c r="H710" i="1"/>
  <c r="E710" i="1"/>
  <c r="M709" i="1"/>
  <c r="L709" i="1"/>
  <c r="K709" i="1"/>
  <c r="N709" i="1" s="1"/>
  <c r="G709" i="1"/>
  <c r="J709" i="1" s="1"/>
  <c r="M708" i="1"/>
  <c r="L708" i="1"/>
  <c r="K708" i="1" s="1"/>
  <c r="K710" i="1" s="1"/>
  <c r="N710" i="1" s="1"/>
  <c r="J708" i="1"/>
  <c r="G708" i="1"/>
  <c r="M707" i="1"/>
  <c r="L707" i="1"/>
  <c r="K707" i="1"/>
  <c r="N707" i="1" s="1"/>
  <c r="G707" i="1"/>
  <c r="J707" i="1" s="1"/>
  <c r="I706" i="1"/>
  <c r="H706" i="1"/>
  <c r="H714" i="1" s="1"/>
  <c r="H715" i="1" s="1"/>
  <c r="E706" i="1"/>
  <c r="M705" i="1"/>
  <c r="L705" i="1"/>
  <c r="K705" i="1" s="1"/>
  <c r="N705" i="1" s="1"/>
  <c r="J705" i="1"/>
  <c r="G705" i="1"/>
  <c r="M704" i="1"/>
  <c r="L704" i="1"/>
  <c r="K704" i="1"/>
  <c r="N704" i="1" s="1"/>
  <c r="G704" i="1"/>
  <c r="J704" i="1" s="1"/>
  <c r="M703" i="1"/>
  <c r="L703" i="1"/>
  <c r="K703" i="1" s="1"/>
  <c r="N703" i="1" s="1"/>
  <c r="J703" i="1"/>
  <c r="G703" i="1"/>
  <c r="M702" i="1"/>
  <c r="L702" i="1"/>
  <c r="K702" i="1"/>
  <c r="N702" i="1" s="1"/>
  <c r="G702" i="1"/>
  <c r="J702" i="1" s="1"/>
  <c r="M701" i="1"/>
  <c r="L701" i="1"/>
  <c r="G703" i="13" s="1"/>
  <c r="G707" i="13" s="1"/>
  <c r="G701" i="1"/>
  <c r="G706" i="1" s="1"/>
  <c r="J706" i="1" s="1"/>
  <c r="M700" i="1"/>
  <c r="I700" i="1"/>
  <c r="H700" i="1"/>
  <c r="E700" i="1"/>
  <c r="O699" i="1"/>
  <c r="M699" i="1"/>
  <c r="L699" i="1"/>
  <c r="K699" i="1"/>
  <c r="N699" i="1" s="1"/>
  <c r="G699" i="1"/>
  <c r="J699" i="1" s="1"/>
  <c r="M698" i="1"/>
  <c r="L698" i="1"/>
  <c r="J698" i="1"/>
  <c r="G698" i="1"/>
  <c r="I697" i="1"/>
  <c r="H697" i="1"/>
  <c r="E697" i="1"/>
  <c r="M696" i="1"/>
  <c r="L696" i="1"/>
  <c r="K696" i="1"/>
  <c r="N696" i="1" s="1"/>
  <c r="G696" i="1"/>
  <c r="J696" i="1" s="1"/>
  <c r="M695" i="1"/>
  <c r="L695" i="1"/>
  <c r="K695" i="1" s="1"/>
  <c r="N695" i="1" s="1"/>
  <c r="J695" i="1"/>
  <c r="G695" i="1"/>
  <c r="M694" i="1"/>
  <c r="L694" i="1"/>
  <c r="K694" i="1"/>
  <c r="N694" i="1" s="1"/>
  <c r="G694" i="1"/>
  <c r="J694" i="1" s="1"/>
  <c r="M693" i="1"/>
  <c r="L693" i="1"/>
  <c r="J693" i="1"/>
  <c r="G693" i="1"/>
  <c r="M692" i="1"/>
  <c r="I692" i="1"/>
  <c r="H692" i="1"/>
  <c r="E692" i="1"/>
  <c r="E714" i="1" s="1"/>
  <c r="E715" i="1" s="1"/>
  <c r="O691" i="1"/>
  <c r="M691" i="1"/>
  <c r="L691" i="1"/>
  <c r="K691" i="1"/>
  <c r="N691" i="1" s="1"/>
  <c r="G691" i="1"/>
  <c r="J691" i="1" s="1"/>
  <c r="M690" i="1"/>
  <c r="O690" i="1" s="1"/>
  <c r="L690" i="1"/>
  <c r="K690" i="1" s="1"/>
  <c r="N690" i="1" s="1"/>
  <c r="J690" i="1"/>
  <c r="G690" i="1"/>
  <c r="O689" i="1"/>
  <c r="M689" i="1"/>
  <c r="L689" i="1"/>
  <c r="L692" i="1" s="1"/>
  <c r="K689" i="1"/>
  <c r="N689" i="1" s="1"/>
  <c r="G689" i="1"/>
  <c r="J689" i="1" s="1"/>
  <c r="O686" i="1"/>
  <c r="M686" i="1"/>
  <c r="L686" i="1"/>
  <c r="K686" i="1"/>
  <c r="N686" i="1" s="1"/>
  <c r="G686" i="1"/>
  <c r="J686" i="1" s="1"/>
  <c r="I684" i="1"/>
  <c r="H684" i="1"/>
  <c r="E684" i="1"/>
  <c r="E685" i="1" s="1"/>
  <c r="M683" i="1"/>
  <c r="L683" i="1"/>
  <c r="K683" i="1" s="1"/>
  <c r="N683" i="1" s="1"/>
  <c r="J683" i="1"/>
  <c r="G683" i="1"/>
  <c r="M682" i="1"/>
  <c r="O682" i="1" s="1"/>
  <c r="L682" i="1"/>
  <c r="K682" i="1"/>
  <c r="N682" i="1" s="1"/>
  <c r="G682" i="1"/>
  <c r="J682" i="1" s="1"/>
  <c r="M681" i="1"/>
  <c r="L681" i="1"/>
  <c r="K681" i="1" s="1"/>
  <c r="N681" i="1" s="1"/>
  <c r="J681" i="1"/>
  <c r="G681" i="1"/>
  <c r="M680" i="1"/>
  <c r="O680" i="1" s="1"/>
  <c r="L680" i="1"/>
  <c r="K680" i="1"/>
  <c r="N680" i="1" s="1"/>
  <c r="G680" i="1"/>
  <c r="J680" i="1" s="1"/>
  <c r="M679" i="1"/>
  <c r="L679" i="1"/>
  <c r="K679" i="1" s="1"/>
  <c r="N679" i="1" s="1"/>
  <c r="J679" i="1"/>
  <c r="G679" i="1"/>
  <c r="M678" i="1"/>
  <c r="M684" i="1" s="1"/>
  <c r="L678" i="1"/>
  <c r="K678" i="1"/>
  <c r="G678" i="1"/>
  <c r="I677" i="1"/>
  <c r="I685" i="1" s="1"/>
  <c r="H677" i="1"/>
  <c r="H685" i="1" s="1"/>
  <c r="E677" i="1"/>
  <c r="M676" i="1"/>
  <c r="L676" i="1"/>
  <c r="K676" i="1" s="1"/>
  <c r="N676" i="1" s="1"/>
  <c r="J676" i="1"/>
  <c r="G676" i="1"/>
  <c r="M675" i="1"/>
  <c r="O675" i="1" s="1"/>
  <c r="L675" i="1"/>
  <c r="K675" i="1"/>
  <c r="N675" i="1" s="1"/>
  <c r="G675" i="1"/>
  <c r="J675" i="1" s="1"/>
  <c r="M674" i="1"/>
  <c r="L674" i="1"/>
  <c r="K674" i="1" s="1"/>
  <c r="K677" i="1" s="1"/>
  <c r="J674" i="1"/>
  <c r="G674" i="1"/>
  <c r="G677" i="1" s="1"/>
  <c r="F673" i="1"/>
  <c r="F687" i="1" s="1"/>
  <c r="F688" i="1" s="1"/>
  <c r="I672" i="1"/>
  <c r="H672" i="1"/>
  <c r="E672" i="1"/>
  <c r="E673" i="1" s="1"/>
  <c r="E687" i="1" s="1"/>
  <c r="E688" i="1" s="1"/>
  <c r="M671" i="1"/>
  <c r="L671" i="1"/>
  <c r="K671" i="1" s="1"/>
  <c r="N671" i="1" s="1"/>
  <c r="G671" i="1"/>
  <c r="J671" i="1" s="1"/>
  <c r="M670" i="1"/>
  <c r="L670" i="1"/>
  <c r="J670" i="1"/>
  <c r="O669" i="1"/>
  <c r="M669" i="1"/>
  <c r="L669" i="1"/>
  <c r="K669" i="1"/>
  <c r="N669" i="1" s="1"/>
  <c r="G669" i="1"/>
  <c r="J669" i="1" s="1"/>
  <c r="M668" i="1"/>
  <c r="O668" i="1" s="1"/>
  <c r="L668" i="1"/>
  <c r="K668" i="1" s="1"/>
  <c r="N668" i="1" s="1"/>
  <c r="J668" i="1"/>
  <c r="G668" i="1"/>
  <c r="O667" i="1"/>
  <c r="M667" i="1"/>
  <c r="L667" i="1"/>
  <c r="K667" i="1"/>
  <c r="N667" i="1" s="1"/>
  <c r="G667" i="1"/>
  <c r="J667" i="1" s="1"/>
  <c r="M666" i="1"/>
  <c r="O666" i="1" s="1"/>
  <c r="L666" i="1"/>
  <c r="K666" i="1" s="1"/>
  <c r="N666" i="1" s="1"/>
  <c r="J666" i="1"/>
  <c r="G666" i="1"/>
  <c r="O665" i="1"/>
  <c r="M665" i="1"/>
  <c r="L665" i="1"/>
  <c r="K665" i="1"/>
  <c r="G665" i="1"/>
  <c r="I664" i="1"/>
  <c r="H664" i="1"/>
  <c r="E664" i="1"/>
  <c r="M663" i="1"/>
  <c r="O663" i="1" s="1"/>
  <c r="L663" i="1"/>
  <c r="K663" i="1" s="1"/>
  <c r="N663" i="1" s="1"/>
  <c r="J663" i="1"/>
  <c r="G663" i="1"/>
  <c r="O662" i="1"/>
  <c r="M662" i="1"/>
  <c r="L662" i="1"/>
  <c r="K662" i="1"/>
  <c r="N662" i="1" s="1"/>
  <c r="G662" i="1"/>
  <c r="J662" i="1" s="1"/>
  <c r="M661" i="1"/>
  <c r="O661" i="1" s="1"/>
  <c r="L661" i="1"/>
  <c r="K661" i="1" s="1"/>
  <c r="N661" i="1" s="1"/>
  <c r="J661" i="1"/>
  <c r="G661" i="1"/>
  <c r="M660" i="1"/>
  <c r="L660" i="1"/>
  <c r="G662" i="13" s="1"/>
  <c r="J662" i="13" s="1"/>
  <c r="G660" i="1"/>
  <c r="J660" i="1" s="1"/>
  <c r="M659" i="1"/>
  <c r="O659" i="1" s="1"/>
  <c r="L659" i="1"/>
  <c r="K659" i="1" s="1"/>
  <c r="N659" i="1" s="1"/>
  <c r="J659" i="1"/>
  <c r="G659" i="1"/>
  <c r="O658" i="1"/>
  <c r="M658" i="1"/>
  <c r="L658" i="1"/>
  <c r="K658" i="1"/>
  <c r="N658" i="1" s="1"/>
  <c r="G658" i="1"/>
  <c r="J658" i="1" s="1"/>
  <c r="M657" i="1"/>
  <c r="O657" i="1" s="1"/>
  <c r="L657" i="1"/>
  <c r="K657" i="1" s="1"/>
  <c r="N657" i="1" s="1"/>
  <c r="J657" i="1"/>
  <c r="G657" i="1"/>
  <c r="O656" i="1"/>
  <c r="M656" i="1"/>
  <c r="L656" i="1"/>
  <c r="K656" i="1"/>
  <c r="N656" i="1" s="1"/>
  <c r="G656" i="1"/>
  <c r="J656" i="1" s="1"/>
  <c r="M655" i="1"/>
  <c r="O655" i="1" s="1"/>
  <c r="L655" i="1"/>
  <c r="K655" i="1" s="1"/>
  <c r="N655" i="1" s="1"/>
  <c r="J655" i="1"/>
  <c r="G655" i="1"/>
  <c r="O654" i="1"/>
  <c r="M654" i="1"/>
  <c r="L654" i="1"/>
  <c r="K654" i="1"/>
  <c r="G654" i="1"/>
  <c r="F652" i="1"/>
  <c r="I651" i="1"/>
  <c r="H651" i="1"/>
  <c r="E651" i="1"/>
  <c r="E652" i="1" s="1"/>
  <c r="M650" i="1"/>
  <c r="O650" i="1" s="1"/>
  <c r="L650" i="1"/>
  <c r="K650" i="1" s="1"/>
  <c r="N650" i="1" s="1"/>
  <c r="J650" i="1"/>
  <c r="G650" i="1"/>
  <c r="O649" i="1"/>
  <c r="M649" i="1"/>
  <c r="L649" i="1"/>
  <c r="K649" i="1"/>
  <c r="N649" i="1" s="1"/>
  <c r="G649" i="1"/>
  <c r="J649" i="1" s="1"/>
  <c r="M648" i="1"/>
  <c r="O648" i="1" s="1"/>
  <c r="L648" i="1"/>
  <c r="K648" i="1" s="1"/>
  <c r="N648" i="1" s="1"/>
  <c r="J648" i="1"/>
  <c r="G648" i="1"/>
  <c r="O647" i="1"/>
  <c r="M647" i="1"/>
  <c r="L647" i="1"/>
  <c r="K647" i="1"/>
  <c r="N647" i="1" s="1"/>
  <c r="G647" i="1"/>
  <c r="J647" i="1" s="1"/>
  <c r="M646" i="1"/>
  <c r="O646" i="1" s="1"/>
  <c r="L646" i="1"/>
  <c r="K646" i="1" s="1"/>
  <c r="N646" i="1" s="1"/>
  <c r="J646" i="1"/>
  <c r="G646" i="1"/>
  <c r="O645" i="1"/>
  <c r="M645" i="1"/>
  <c r="L645" i="1"/>
  <c r="K645" i="1"/>
  <c r="N645" i="1" s="1"/>
  <c r="G645" i="1"/>
  <c r="J645" i="1" s="1"/>
  <c r="M644" i="1"/>
  <c r="O644" i="1" s="1"/>
  <c r="L644" i="1"/>
  <c r="K644" i="1" s="1"/>
  <c r="N644" i="1" s="1"/>
  <c r="J644" i="1"/>
  <c r="G644" i="1"/>
  <c r="M643" i="1"/>
  <c r="L643" i="1"/>
  <c r="K643" i="1" s="1"/>
  <c r="N643" i="1" s="1"/>
  <c r="G643" i="1"/>
  <c r="J643" i="1" s="1"/>
  <c r="M642" i="1"/>
  <c r="M651" i="1" s="1"/>
  <c r="L642" i="1"/>
  <c r="K642" i="1" s="1"/>
  <c r="J642" i="1"/>
  <c r="G642" i="1"/>
  <c r="I641" i="1"/>
  <c r="I652" i="1" s="1"/>
  <c r="H641" i="1"/>
  <c r="E641" i="1"/>
  <c r="M640" i="1"/>
  <c r="L640" i="1"/>
  <c r="G640" i="1"/>
  <c r="J640" i="1" s="1"/>
  <c r="M639" i="1"/>
  <c r="L639" i="1"/>
  <c r="K639" i="1" s="1"/>
  <c r="N639" i="1" s="1"/>
  <c r="J639" i="1"/>
  <c r="G639" i="1"/>
  <c r="M638" i="1"/>
  <c r="L638" i="1"/>
  <c r="K638" i="1"/>
  <c r="N638" i="1" s="1"/>
  <c r="G638" i="1"/>
  <c r="J638" i="1" s="1"/>
  <c r="M637" i="1"/>
  <c r="L637" i="1"/>
  <c r="J637" i="1"/>
  <c r="G637" i="1"/>
  <c r="I635" i="1"/>
  <c r="H635" i="1"/>
  <c r="E635" i="1"/>
  <c r="M634" i="1"/>
  <c r="O634" i="1" s="1"/>
  <c r="L634" i="1"/>
  <c r="K634" i="1"/>
  <c r="N634" i="1" s="1"/>
  <c r="G634" i="1"/>
  <c r="J634" i="1" s="1"/>
  <c r="M633" i="1"/>
  <c r="O633" i="1" s="1"/>
  <c r="L633" i="1"/>
  <c r="K633" i="1" s="1"/>
  <c r="N633" i="1" s="1"/>
  <c r="J633" i="1"/>
  <c r="G633" i="1"/>
  <c r="M632" i="1"/>
  <c r="M635" i="1" s="1"/>
  <c r="L632" i="1"/>
  <c r="K632" i="1"/>
  <c r="G632" i="1"/>
  <c r="J632" i="1" s="1"/>
  <c r="I631" i="1"/>
  <c r="H631" i="1"/>
  <c r="F631" i="1"/>
  <c r="F636" i="1" s="1"/>
  <c r="F653" i="1" s="1"/>
  <c r="F716" i="1" s="1"/>
  <c r="E631" i="1"/>
  <c r="M630" i="1"/>
  <c r="O630" i="1" s="1"/>
  <c r="L630" i="1"/>
  <c r="K630" i="1"/>
  <c r="N630" i="1" s="1"/>
  <c r="G630" i="1"/>
  <c r="J630" i="1" s="1"/>
  <c r="M629" i="1"/>
  <c r="O629" i="1" s="1"/>
  <c r="L629" i="1"/>
  <c r="K629" i="1" s="1"/>
  <c r="N629" i="1" s="1"/>
  <c r="J629" i="1"/>
  <c r="G629" i="1"/>
  <c r="M628" i="1"/>
  <c r="L628" i="1"/>
  <c r="G628" i="1"/>
  <c r="J628" i="1" s="1"/>
  <c r="M627" i="1"/>
  <c r="O627" i="1" s="1"/>
  <c r="L627" i="1"/>
  <c r="K627" i="1" s="1"/>
  <c r="N627" i="1" s="1"/>
  <c r="J627" i="1"/>
  <c r="G627" i="1"/>
  <c r="M626" i="1"/>
  <c r="L626" i="1"/>
  <c r="K626" i="1" s="1"/>
  <c r="N626" i="1" s="1"/>
  <c r="G626" i="1"/>
  <c r="J626" i="1" s="1"/>
  <c r="M625" i="1"/>
  <c r="O625" i="1" s="1"/>
  <c r="L625" i="1"/>
  <c r="K625" i="1" s="1"/>
  <c r="N625" i="1" s="1"/>
  <c r="J625" i="1"/>
  <c r="G625" i="1"/>
  <c r="M624" i="1"/>
  <c r="L624" i="1"/>
  <c r="K624" i="1"/>
  <c r="G624" i="1"/>
  <c r="G631" i="1" s="1"/>
  <c r="J631" i="1" s="1"/>
  <c r="I623" i="1"/>
  <c r="H623" i="1"/>
  <c r="E623" i="1"/>
  <c r="M622" i="1"/>
  <c r="L622" i="1"/>
  <c r="K622" i="1" s="1"/>
  <c r="N622" i="1" s="1"/>
  <c r="G622" i="1"/>
  <c r="J622" i="1" s="1"/>
  <c r="M621" i="1"/>
  <c r="O621" i="1" s="1"/>
  <c r="L621" i="1"/>
  <c r="K621" i="1"/>
  <c r="N621" i="1" s="1"/>
  <c r="G621" i="1"/>
  <c r="J621" i="1" s="1"/>
  <c r="M620" i="1"/>
  <c r="L620" i="1"/>
  <c r="K620" i="1" s="1"/>
  <c r="N620" i="1" s="1"/>
  <c r="J620" i="1"/>
  <c r="G620" i="1"/>
  <c r="M619" i="1"/>
  <c r="O619" i="1" s="1"/>
  <c r="L619" i="1"/>
  <c r="K619" i="1"/>
  <c r="N619" i="1" s="1"/>
  <c r="G619" i="1"/>
  <c r="J619" i="1" s="1"/>
  <c r="M618" i="1"/>
  <c r="L618" i="1"/>
  <c r="K618" i="1" s="1"/>
  <c r="N618" i="1" s="1"/>
  <c r="J618" i="1"/>
  <c r="G618" i="1"/>
  <c r="M617" i="1"/>
  <c r="O617" i="1" s="1"/>
  <c r="L617" i="1"/>
  <c r="K617" i="1"/>
  <c r="N617" i="1" s="1"/>
  <c r="G617" i="1"/>
  <c r="J617" i="1" s="1"/>
  <c r="M616" i="1"/>
  <c r="M623" i="1" s="1"/>
  <c r="L616" i="1"/>
  <c r="K616" i="1" s="1"/>
  <c r="J616" i="1"/>
  <c r="G616" i="1"/>
  <c r="G623" i="1" s="1"/>
  <c r="J623" i="1" s="1"/>
  <c r="I615" i="1"/>
  <c r="H615" i="1"/>
  <c r="E615" i="1"/>
  <c r="M614" i="1"/>
  <c r="O614" i="1" s="1"/>
  <c r="L614" i="1"/>
  <c r="K614" i="1"/>
  <c r="N614" i="1" s="1"/>
  <c r="G614" i="1"/>
  <c r="J614" i="1" s="1"/>
  <c r="M613" i="1"/>
  <c r="O613" i="1" s="1"/>
  <c r="L613" i="1"/>
  <c r="K613" i="1" s="1"/>
  <c r="N613" i="1" s="1"/>
  <c r="J613" i="1"/>
  <c r="G613" i="1"/>
  <c r="M612" i="1"/>
  <c r="O612" i="1" s="1"/>
  <c r="L612" i="1"/>
  <c r="K612" i="1"/>
  <c r="N612" i="1" s="1"/>
  <c r="G612" i="1"/>
  <c r="J612" i="1" s="1"/>
  <c r="M611" i="1"/>
  <c r="O611" i="1" s="1"/>
  <c r="L611" i="1"/>
  <c r="K611" i="1" s="1"/>
  <c r="N611" i="1" s="1"/>
  <c r="J611" i="1"/>
  <c r="G611" i="1"/>
  <c r="M610" i="1"/>
  <c r="O610" i="1" s="1"/>
  <c r="L610" i="1"/>
  <c r="K610" i="1"/>
  <c r="N610" i="1" s="1"/>
  <c r="G610" i="1"/>
  <c r="J610" i="1" s="1"/>
  <c r="M609" i="1"/>
  <c r="O609" i="1" s="1"/>
  <c r="L609" i="1"/>
  <c r="K609" i="1" s="1"/>
  <c r="N609" i="1" s="1"/>
  <c r="J609" i="1"/>
  <c r="G609" i="1"/>
  <c r="M608" i="1"/>
  <c r="M615" i="1" s="1"/>
  <c r="L608" i="1"/>
  <c r="L615" i="1" s="1"/>
  <c r="K608" i="1"/>
  <c r="N608" i="1" s="1"/>
  <c r="G608" i="1"/>
  <c r="J608" i="1" s="1"/>
  <c r="I607" i="1"/>
  <c r="H607" i="1"/>
  <c r="H636" i="1" s="1"/>
  <c r="E607" i="1"/>
  <c r="E636" i="1" s="1"/>
  <c r="E653" i="1" s="1"/>
  <c r="E716" i="1" s="1"/>
  <c r="M606" i="1"/>
  <c r="L606" i="1"/>
  <c r="K606" i="1" s="1"/>
  <c r="N606" i="1" s="1"/>
  <c r="J606" i="1"/>
  <c r="G606" i="1"/>
  <c r="M605" i="1"/>
  <c r="L605" i="1"/>
  <c r="K605" i="1" s="1"/>
  <c r="N605" i="1" s="1"/>
  <c r="G605" i="1"/>
  <c r="J605" i="1" s="1"/>
  <c r="M604" i="1"/>
  <c r="L604" i="1"/>
  <c r="K604" i="1" s="1"/>
  <c r="N604" i="1" s="1"/>
  <c r="G604" i="1"/>
  <c r="J604" i="1" s="1"/>
  <c r="M603" i="1"/>
  <c r="M607" i="1" s="1"/>
  <c r="L603" i="1"/>
  <c r="K603" i="1"/>
  <c r="G603" i="1"/>
  <c r="G607" i="1" s="1"/>
  <c r="H601" i="16" l="1"/>
  <c r="M350" i="17"/>
  <c r="N350" i="17"/>
  <c r="Q350" i="17"/>
  <c r="F356" i="17"/>
  <c r="I356" i="17" s="1"/>
  <c r="P348" i="17"/>
  <c r="L348" i="17"/>
  <c r="L651" i="1"/>
  <c r="G645" i="13"/>
  <c r="J645" i="13" s="1"/>
  <c r="O643" i="1"/>
  <c r="M641" i="1"/>
  <c r="K640" i="1"/>
  <c r="N640" i="1" s="1"/>
  <c r="F625" i="13"/>
  <c r="G624" i="13"/>
  <c r="J624" i="13" s="1"/>
  <c r="J625" i="13" s="1"/>
  <c r="F609" i="13"/>
  <c r="G606" i="13"/>
  <c r="J606" i="13" s="1"/>
  <c r="G628" i="13"/>
  <c r="J628" i="13" s="1"/>
  <c r="O626" i="1"/>
  <c r="F638" i="13"/>
  <c r="F655" i="13" s="1"/>
  <c r="M631" i="1"/>
  <c r="M636" i="1" s="1"/>
  <c r="K628" i="1"/>
  <c r="N628" i="1" s="1"/>
  <c r="G630" i="13"/>
  <c r="J630" i="13" s="1"/>
  <c r="K631" i="1"/>
  <c r="N631" i="1" s="1"/>
  <c r="K670" i="1"/>
  <c r="N670" i="1" s="1"/>
  <c r="F675" i="13"/>
  <c r="F689" i="13" s="1"/>
  <c r="F690" i="13" s="1"/>
  <c r="G674" i="13"/>
  <c r="G672" i="13"/>
  <c r="J672" i="13" s="1"/>
  <c r="I673" i="1"/>
  <c r="I687" i="1" s="1"/>
  <c r="I688" i="1" s="1"/>
  <c r="K660" i="1"/>
  <c r="N660" i="1" s="1"/>
  <c r="L664" i="1"/>
  <c r="G666" i="13"/>
  <c r="O25" i="14"/>
  <c r="N25" i="14" s="1"/>
  <c r="M24" i="14"/>
  <c r="O24" i="14"/>
  <c r="N24" i="14" s="1"/>
  <c r="R24" i="14" s="1"/>
  <c r="N18" i="14"/>
  <c r="R18" i="14" s="1"/>
  <c r="N19" i="14"/>
  <c r="R19" i="14" s="1"/>
  <c r="N20" i="14"/>
  <c r="R20" i="14" s="1"/>
  <c r="O23" i="14"/>
  <c r="N23" i="14" s="1"/>
  <c r="R23" i="14" s="1"/>
  <c r="R17" i="14"/>
  <c r="P17" i="14"/>
  <c r="Q17" i="14"/>
  <c r="S17" i="14" s="1"/>
  <c r="P19" i="14"/>
  <c r="P20" i="14"/>
  <c r="O14" i="14"/>
  <c r="N14" i="14" s="1"/>
  <c r="M14" i="14"/>
  <c r="O16" i="14"/>
  <c r="N16" i="14" s="1"/>
  <c r="M16" i="14"/>
  <c r="M17" i="14"/>
  <c r="M18" i="14"/>
  <c r="M19" i="14"/>
  <c r="M20" i="14"/>
  <c r="L22" i="14"/>
  <c r="K22" i="14" s="1"/>
  <c r="C22" i="14"/>
  <c r="P23" i="14"/>
  <c r="P24" i="14"/>
  <c r="R25" i="14"/>
  <c r="P25" i="14"/>
  <c r="R26" i="14"/>
  <c r="P26" i="14"/>
  <c r="T26" i="14" s="1"/>
  <c r="R27" i="14"/>
  <c r="P27" i="14"/>
  <c r="Q27" i="14"/>
  <c r="S27" i="14" s="1"/>
  <c r="R28" i="14"/>
  <c r="P28" i="14"/>
  <c r="Q28" i="14"/>
  <c r="S28" i="14" s="1"/>
  <c r="R29" i="14"/>
  <c r="P29" i="14"/>
  <c r="Q29" i="14"/>
  <c r="S29" i="14" s="1"/>
  <c r="O15" i="14"/>
  <c r="N15" i="14" s="1"/>
  <c r="M15" i="14"/>
  <c r="O21" i="14"/>
  <c r="N21" i="14" s="1"/>
  <c r="M21" i="14"/>
  <c r="Q23" i="14"/>
  <c r="Q25" i="14"/>
  <c r="S25" i="14" s="1"/>
  <c r="Q26" i="14"/>
  <c r="S26" i="14" s="1"/>
  <c r="M27" i="14"/>
  <c r="T27" i="14" s="1"/>
  <c r="M28" i="14"/>
  <c r="M29" i="14"/>
  <c r="T29" i="14" s="1"/>
  <c r="M30" i="14"/>
  <c r="E102" i="15"/>
  <c r="N391" i="17"/>
  <c r="J387" i="17"/>
  <c r="M387" i="17" s="1"/>
  <c r="F717" i="13"/>
  <c r="H578" i="16"/>
  <c r="H593" i="16"/>
  <c r="H603" i="16" s="1"/>
  <c r="E603" i="16"/>
  <c r="H636" i="16"/>
  <c r="E665" i="16"/>
  <c r="M379" i="17"/>
  <c r="N379" i="17"/>
  <c r="N387" i="17"/>
  <c r="N377" i="17"/>
  <c r="Q379" i="17"/>
  <c r="N385" i="17"/>
  <c r="Q387" i="17"/>
  <c r="K401" i="17"/>
  <c r="K402" i="17" s="1"/>
  <c r="P401" i="17"/>
  <c r="P402" i="17" s="1"/>
  <c r="J381" i="17"/>
  <c r="M381" i="17" s="1"/>
  <c r="N381" i="17"/>
  <c r="J389" i="17"/>
  <c r="M389" i="17" s="1"/>
  <c r="N389" i="17"/>
  <c r="J361" i="17"/>
  <c r="M361" i="17" s="1"/>
  <c r="N361" i="17"/>
  <c r="G357" i="17"/>
  <c r="G403" i="17" s="1"/>
  <c r="M345" i="17"/>
  <c r="N345" i="17"/>
  <c r="Q345" i="17"/>
  <c r="J347" i="17"/>
  <c r="M347" i="17" s="1"/>
  <c r="P357" i="17"/>
  <c r="P403" i="17" s="1"/>
  <c r="Q344" i="17"/>
  <c r="J344" i="17"/>
  <c r="M344" i="17" s="1"/>
  <c r="Q349" i="17"/>
  <c r="J349" i="17"/>
  <c r="N349" i="17" s="1"/>
  <c r="Q353" i="17"/>
  <c r="J353" i="17"/>
  <c r="M353" i="17" s="1"/>
  <c r="F366" i="17"/>
  <c r="I366" i="17" s="1"/>
  <c r="I365" i="17"/>
  <c r="N362" i="17"/>
  <c r="K348" i="17"/>
  <c r="G95" i="15" s="1"/>
  <c r="Q342" i="17"/>
  <c r="J342" i="17"/>
  <c r="N343" i="17"/>
  <c r="Q346" i="17"/>
  <c r="J346" i="17"/>
  <c r="M346" i="17" s="1"/>
  <c r="F348" i="17"/>
  <c r="L356" i="17"/>
  <c r="Q351" i="17"/>
  <c r="J351" i="17"/>
  <c r="M351" i="17" s="1"/>
  <c r="Q355" i="17"/>
  <c r="J355" i="17"/>
  <c r="M355" i="17" s="1"/>
  <c r="K356" i="17"/>
  <c r="G96" i="15" s="1"/>
  <c r="L366" i="17"/>
  <c r="Q362" i="17"/>
  <c r="Q365" i="17" s="1"/>
  <c r="Q366" i="17" s="1"/>
  <c r="K365" i="17"/>
  <c r="K366" i="17" s="1"/>
  <c r="Q374" i="17"/>
  <c r="J374" i="17"/>
  <c r="M374" i="17" s="1"/>
  <c r="Q378" i="17"/>
  <c r="J378" i="17"/>
  <c r="M378" i="17" s="1"/>
  <c r="Q382" i="17"/>
  <c r="J382" i="17"/>
  <c r="M382" i="17" s="1"/>
  <c r="Q386" i="17"/>
  <c r="J386" i="17"/>
  <c r="M386" i="17" s="1"/>
  <c r="Q390" i="17"/>
  <c r="J390" i="17"/>
  <c r="M390" i="17" s="1"/>
  <c r="Q394" i="17"/>
  <c r="J394" i="17"/>
  <c r="M394" i="17" s="1"/>
  <c r="Q398" i="17"/>
  <c r="J398" i="17"/>
  <c r="M398" i="17" s="1"/>
  <c r="D403" i="17"/>
  <c r="J358" i="17"/>
  <c r="N358" i="17"/>
  <c r="J360" i="17"/>
  <c r="M360" i="17" s="1"/>
  <c r="J363" i="17"/>
  <c r="M363" i="17" s="1"/>
  <c r="F401" i="17"/>
  <c r="J367" i="17"/>
  <c r="L401" i="17"/>
  <c r="N367" i="17"/>
  <c r="Q367" i="17"/>
  <c r="J369" i="17"/>
  <c r="M369" i="17" s="1"/>
  <c r="J371" i="17"/>
  <c r="N374" i="17"/>
  <c r="Q376" i="17"/>
  <c r="J376" i="17"/>
  <c r="M376" i="17" s="1"/>
  <c r="Q380" i="17"/>
  <c r="J380" i="17"/>
  <c r="M380" i="17" s="1"/>
  <c r="N382" i="17"/>
  <c r="Q384" i="17"/>
  <c r="J384" i="17"/>
  <c r="M384" i="17" s="1"/>
  <c r="Q388" i="17"/>
  <c r="J388" i="17"/>
  <c r="M388" i="17" s="1"/>
  <c r="Q392" i="17"/>
  <c r="J392" i="17"/>
  <c r="M392" i="17" s="1"/>
  <c r="Q396" i="17"/>
  <c r="J396" i="17"/>
  <c r="M396" i="17" s="1"/>
  <c r="N398" i="17"/>
  <c r="Q400" i="17"/>
  <c r="J400" i="17"/>
  <c r="M400" i="17" s="1"/>
  <c r="H403" i="17"/>
  <c r="J609" i="13"/>
  <c r="J617" i="13"/>
  <c r="G609" i="13"/>
  <c r="G625" i="13"/>
  <c r="J633" i="13"/>
  <c r="I674" i="13"/>
  <c r="G633" i="13"/>
  <c r="J634" i="13"/>
  <c r="J637" i="13" s="1"/>
  <c r="J639" i="13"/>
  <c r="J643" i="13" s="1"/>
  <c r="J644" i="13"/>
  <c r="J653" i="13" s="1"/>
  <c r="I668" i="13"/>
  <c r="I676" i="13"/>
  <c r="I679" i="13" s="1"/>
  <c r="I687" i="13" s="1"/>
  <c r="I691" i="13"/>
  <c r="I694" i="13" s="1"/>
  <c r="I709" i="13"/>
  <c r="I711" i="13" s="1"/>
  <c r="I712" i="13"/>
  <c r="I714" i="13" s="1"/>
  <c r="I605" i="13"/>
  <c r="I609" i="13" s="1"/>
  <c r="I610" i="13"/>
  <c r="I617" i="13" s="1"/>
  <c r="I618" i="13"/>
  <c r="I625" i="13" s="1"/>
  <c r="I626" i="13"/>
  <c r="I633" i="13" s="1"/>
  <c r="I634" i="13"/>
  <c r="I637" i="13" s="1"/>
  <c r="I639" i="13"/>
  <c r="I643" i="13" s="1"/>
  <c r="I644" i="13"/>
  <c r="I653" i="13" s="1"/>
  <c r="I656" i="13"/>
  <c r="I666" i="13" s="1"/>
  <c r="G687" i="13"/>
  <c r="I680" i="13"/>
  <c r="I686" i="13" s="1"/>
  <c r="G715" i="13"/>
  <c r="G716" i="13" s="1"/>
  <c r="I695" i="13"/>
  <c r="I699" i="13" s="1"/>
  <c r="I700" i="13"/>
  <c r="I702" i="13" s="1"/>
  <c r="I703" i="13"/>
  <c r="I707" i="13" s="1"/>
  <c r="J656" i="13"/>
  <c r="J666" i="13" s="1"/>
  <c r="J675" i="13" s="1"/>
  <c r="J667" i="13"/>
  <c r="J674" i="13" s="1"/>
  <c r="J676" i="13"/>
  <c r="J679" i="13" s="1"/>
  <c r="J687" i="13" s="1"/>
  <c r="J680" i="13"/>
  <c r="J686" i="13" s="1"/>
  <c r="J691" i="13"/>
  <c r="J694" i="13" s="1"/>
  <c r="J695" i="13"/>
  <c r="J699" i="13" s="1"/>
  <c r="J700" i="13"/>
  <c r="J702" i="13" s="1"/>
  <c r="J703" i="13"/>
  <c r="J707" i="13" s="1"/>
  <c r="J708" i="13"/>
  <c r="J711" i="13" s="1"/>
  <c r="J712" i="13"/>
  <c r="J714" i="13" s="1"/>
  <c r="J701" i="1"/>
  <c r="O670" i="1"/>
  <c r="M664" i="1"/>
  <c r="H652" i="1"/>
  <c r="H653" i="1" s="1"/>
  <c r="K651" i="1"/>
  <c r="N651" i="1" s="1"/>
  <c r="O640" i="1"/>
  <c r="O628" i="1"/>
  <c r="O605" i="1"/>
  <c r="I636" i="1"/>
  <c r="I653" i="1" s="1"/>
  <c r="J607" i="1"/>
  <c r="K623" i="1"/>
  <c r="N623" i="1" s="1"/>
  <c r="N616" i="1"/>
  <c r="K607" i="1"/>
  <c r="O607" i="1" s="1"/>
  <c r="O604" i="1"/>
  <c r="O606" i="1"/>
  <c r="O618" i="1"/>
  <c r="O620" i="1"/>
  <c r="O622" i="1"/>
  <c r="M652" i="1"/>
  <c r="O603" i="1"/>
  <c r="L607" i="1"/>
  <c r="O608" i="1"/>
  <c r="G615" i="1"/>
  <c r="J615" i="1" s="1"/>
  <c r="K615" i="1"/>
  <c r="N615" i="1" s="1"/>
  <c r="L623" i="1"/>
  <c r="O624" i="1"/>
  <c r="L631" i="1"/>
  <c r="K635" i="1"/>
  <c r="N635" i="1" s="1"/>
  <c r="O632" i="1"/>
  <c r="G635" i="1"/>
  <c r="J635" i="1" s="1"/>
  <c r="L635" i="1"/>
  <c r="L641" i="1"/>
  <c r="L652" i="1" s="1"/>
  <c r="K637" i="1"/>
  <c r="G664" i="1"/>
  <c r="J654" i="1"/>
  <c r="G672" i="1"/>
  <c r="J672" i="1" s="1"/>
  <c r="J665" i="1"/>
  <c r="G685" i="1"/>
  <c r="J685" i="1" s="1"/>
  <c r="N674" i="1"/>
  <c r="J677" i="1"/>
  <c r="N677" i="1"/>
  <c r="K684" i="1"/>
  <c r="N684" i="1" s="1"/>
  <c r="N678" i="1"/>
  <c r="O684" i="1"/>
  <c r="O692" i="1"/>
  <c r="O696" i="1"/>
  <c r="G700" i="1"/>
  <c r="J700" i="1" s="1"/>
  <c r="K701" i="1"/>
  <c r="L706" i="1"/>
  <c r="O702" i="1"/>
  <c r="N708" i="1"/>
  <c r="O709" i="1"/>
  <c r="G713" i="1"/>
  <c r="J713" i="1" s="1"/>
  <c r="J603" i="1"/>
  <c r="N603" i="1"/>
  <c r="O616" i="1"/>
  <c r="J624" i="1"/>
  <c r="N624" i="1"/>
  <c r="N632" i="1"/>
  <c r="O638" i="1"/>
  <c r="O639" i="1"/>
  <c r="G641" i="1"/>
  <c r="G651" i="1"/>
  <c r="N642" i="1"/>
  <c r="N654" i="1"/>
  <c r="H673" i="1"/>
  <c r="H687" i="1" s="1"/>
  <c r="H688" i="1" s="1"/>
  <c r="K672" i="1"/>
  <c r="N672" i="1" s="1"/>
  <c r="N665" i="1"/>
  <c r="M672" i="1"/>
  <c r="O671" i="1"/>
  <c r="L672" i="1"/>
  <c r="L673" i="1" s="1"/>
  <c r="L687" i="1" s="1"/>
  <c r="L688" i="1" s="1"/>
  <c r="M677" i="1"/>
  <c r="O676" i="1"/>
  <c r="L677" i="1"/>
  <c r="L685" i="1" s="1"/>
  <c r="G684" i="1"/>
  <c r="J684" i="1" s="1"/>
  <c r="J678" i="1"/>
  <c r="O678" i="1"/>
  <c r="O679" i="1"/>
  <c r="O681" i="1"/>
  <c r="O683" i="1"/>
  <c r="L684" i="1"/>
  <c r="G692" i="1"/>
  <c r="I714" i="1"/>
  <c r="I715" i="1" s="1"/>
  <c r="L697" i="1"/>
  <c r="K693" i="1"/>
  <c r="M697" i="1"/>
  <c r="O694" i="1"/>
  <c r="O704" i="1"/>
  <c r="M710" i="1"/>
  <c r="O710" i="1" s="1"/>
  <c r="O707" i="1"/>
  <c r="O642" i="1"/>
  <c r="O674" i="1"/>
  <c r="K692" i="1"/>
  <c r="O693" i="1"/>
  <c r="O695" i="1"/>
  <c r="G697" i="1"/>
  <c r="J697" i="1" s="1"/>
  <c r="L700" i="1"/>
  <c r="K698" i="1"/>
  <c r="M706" i="1"/>
  <c r="O703" i="1"/>
  <c r="O705" i="1"/>
  <c r="L710" i="1"/>
  <c r="O708" i="1"/>
  <c r="G710" i="1"/>
  <c r="J710" i="1" s="1"/>
  <c r="L713" i="1"/>
  <c r="K711" i="1"/>
  <c r="O701" i="1"/>
  <c r="F454" i="16"/>
  <c r="I454" i="16" s="1"/>
  <c r="F453" i="16"/>
  <c r="I562" i="16" s="1"/>
  <c r="H454" i="16"/>
  <c r="H453" i="16"/>
  <c r="I453" i="16"/>
  <c r="P18" i="14" l="1"/>
  <c r="G98" i="15"/>
  <c r="G105" i="15" s="1"/>
  <c r="J654" i="13"/>
  <c r="I96" i="15" s="1"/>
  <c r="G653" i="13"/>
  <c r="G654" i="13" s="1"/>
  <c r="F96" i="15" s="1"/>
  <c r="O623" i="1"/>
  <c r="O631" i="1"/>
  <c r="G675" i="13"/>
  <c r="K664" i="1"/>
  <c r="O664" i="1" s="1"/>
  <c r="O660" i="1"/>
  <c r="G689" i="13"/>
  <c r="G690" i="13" s="1"/>
  <c r="F99" i="15" s="1"/>
  <c r="F101" i="15" s="1"/>
  <c r="T25" i="14"/>
  <c r="Q20" i="14"/>
  <c r="S20" i="14" s="1"/>
  <c r="T20" i="14" s="1"/>
  <c r="Q18" i="14"/>
  <c r="S18" i="14" s="1"/>
  <c r="T18" i="14" s="1"/>
  <c r="S23" i="14"/>
  <c r="T23" i="14" s="1"/>
  <c r="Q24" i="14"/>
  <c r="S24" i="14" s="1"/>
  <c r="T24" i="14" s="1"/>
  <c r="Q19" i="14"/>
  <c r="S19" i="14" s="1"/>
  <c r="Q21" i="14"/>
  <c r="P21" i="14"/>
  <c r="R21" i="14"/>
  <c r="Q15" i="14"/>
  <c r="P15" i="14"/>
  <c r="R15" i="14"/>
  <c r="T28" i="14"/>
  <c r="M22" i="14"/>
  <c r="O22" i="14"/>
  <c r="N22" i="14" s="1"/>
  <c r="T19" i="14"/>
  <c r="T17" i="14"/>
  <c r="Q16" i="14"/>
  <c r="R16" i="14"/>
  <c r="P16" i="14"/>
  <c r="Q14" i="14"/>
  <c r="R14" i="14"/>
  <c r="P14" i="14"/>
  <c r="N390" i="17"/>
  <c r="N344" i="17"/>
  <c r="N347" i="17"/>
  <c r="J401" i="17"/>
  <c r="M367" i="17"/>
  <c r="N400" i="17"/>
  <c r="N392" i="17"/>
  <c r="N384" i="17"/>
  <c r="N376" i="17"/>
  <c r="M342" i="17"/>
  <c r="J348" i="17"/>
  <c r="K357" i="17"/>
  <c r="K403" i="17" s="1"/>
  <c r="N363" i="17"/>
  <c r="N351" i="17"/>
  <c r="Q356" i="17"/>
  <c r="H96" i="15" s="1"/>
  <c r="N394" i="17"/>
  <c r="N386" i="17"/>
  <c r="N378" i="17"/>
  <c r="Q401" i="17"/>
  <c r="Q402" i="17" s="1"/>
  <c r="N401" i="17"/>
  <c r="L402" i="17"/>
  <c r="F402" i="17"/>
  <c r="I401" i="17"/>
  <c r="J365" i="17"/>
  <c r="M358" i="17"/>
  <c r="N396" i="17"/>
  <c r="N388" i="17"/>
  <c r="N380" i="17"/>
  <c r="N369" i="17"/>
  <c r="N353" i="17"/>
  <c r="I348" i="17"/>
  <c r="F357" i="17"/>
  <c r="I357" i="17" s="1"/>
  <c r="Q348" i="17"/>
  <c r="N360" i="17"/>
  <c r="N355" i="17"/>
  <c r="J356" i="17"/>
  <c r="M356" i="17" s="1"/>
  <c r="M349" i="17"/>
  <c r="N346" i="17"/>
  <c r="N342" i="17"/>
  <c r="L357" i="17"/>
  <c r="J715" i="13"/>
  <c r="J716" i="13" s="1"/>
  <c r="J689" i="13"/>
  <c r="J690" i="13" s="1"/>
  <c r="I638" i="13"/>
  <c r="I675" i="13"/>
  <c r="I689" i="13" s="1"/>
  <c r="I690" i="13" s="1"/>
  <c r="I654" i="13"/>
  <c r="I715" i="13"/>
  <c r="I716" i="13" s="1"/>
  <c r="G638" i="13"/>
  <c r="J638" i="13"/>
  <c r="L714" i="1"/>
  <c r="L715" i="1" s="1"/>
  <c r="H716" i="1"/>
  <c r="O651" i="1"/>
  <c r="K713" i="1"/>
  <c r="N711" i="1"/>
  <c r="K700" i="1"/>
  <c r="N698" i="1"/>
  <c r="O698" i="1"/>
  <c r="O697" i="1"/>
  <c r="G714" i="1"/>
  <c r="J692" i="1"/>
  <c r="M685" i="1"/>
  <c r="O677" i="1"/>
  <c r="J641" i="1"/>
  <c r="G652" i="1"/>
  <c r="K641" i="1"/>
  <c r="N637" i="1"/>
  <c r="N692" i="1"/>
  <c r="O711" i="1"/>
  <c r="N693" i="1"/>
  <c r="K697" i="1"/>
  <c r="N697" i="1" s="1"/>
  <c r="O672" i="1"/>
  <c r="M673" i="1"/>
  <c r="N664" i="1"/>
  <c r="O637" i="1"/>
  <c r="K706" i="1"/>
  <c r="N706" i="1" s="1"/>
  <c r="N701" i="1"/>
  <c r="M714" i="1"/>
  <c r="K685" i="1"/>
  <c r="N685" i="1" s="1"/>
  <c r="G673" i="1"/>
  <c r="J664" i="1"/>
  <c r="O635" i="1"/>
  <c r="L636" i="1"/>
  <c r="L653" i="1" s="1"/>
  <c r="L716" i="1" s="1"/>
  <c r="I716" i="1"/>
  <c r="M653" i="1"/>
  <c r="K636" i="1"/>
  <c r="D95" i="15" s="1"/>
  <c r="N607" i="1"/>
  <c r="O615" i="1"/>
  <c r="G636" i="1"/>
  <c r="D45" i="14"/>
  <c r="D46" i="14"/>
  <c r="Q357" i="17" l="1"/>
  <c r="Q403" i="17" s="1"/>
  <c r="H95" i="15"/>
  <c r="H98" i="15" s="1"/>
  <c r="H105" i="15" s="1"/>
  <c r="E95" i="15"/>
  <c r="J655" i="13"/>
  <c r="J717" i="13" s="1"/>
  <c r="I95" i="15"/>
  <c r="I98" i="15" s="1"/>
  <c r="I105" i="15" s="1"/>
  <c r="G655" i="13"/>
  <c r="G717" i="13" s="1"/>
  <c r="F95" i="15"/>
  <c r="F98" i="15" s="1"/>
  <c r="F105" i="15" s="1"/>
  <c r="K673" i="1"/>
  <c r="S16" i="14"/>
  <c r="T16" i="14" s="1"/>
  <c r="S15" i="14"/>
  <c r="T15" i="14" s="1"/>
  <c r="S14" i="14"/>
  <c r="T14" i="14" s="1"/>
  <c r="R22" i="14"/>
  <c r="P22" i="14"/>
  <c r="Q22" i="14"/>
  <c r="S22" i="14" s="1"/>
  <c r="S21" i="14"/>
  <c r="T21" i="14" s="1"/>
  <c r="M365" i="17"/>
  <c r="N365" i="17"/>
  <c r="J366" i="17"/>
  <c r="F403" i="17"/>
  <c r="I403" i="17" s="1"/>
  <c r="I402" i="17"/>
  <c r="J402" i="17"/>
  <c r="N402" i="17" s="1"/>
  <c r="M401" i="17"/>
  <c r="L403" i="17"/>
  <c r="M348" i="17"/>
  <c r="J357" i="17"/>
  <c r="M357" i="17" s="1"/>
  <c r="N348" i="17"/>
  <c r="N356" i="17"/>
  <c r="I655" i="13"/>
  <c r="I717" i="13" s="1"/>
  <c r="O706" i="1"/>
  <c r="N636" i="1"/>
  <c r="N673" i="1"/>
  <c r="K687" i="1"/>
  <c r="J652" i="1"/>
  <c r="J651" i="1"/>
  <c r="G653" i="1"/>
  <c r="J636" i="1"/>
  <c r="O636" i="1"/>
  <c r="J673" i="1"/>
  <c r="G687" i="1"/>
  <c r="M715" i="1"/>
  <c r="M687" i="1"/>
  <c r="O673" i="1"/>
  <c r="K714" i="1"/>
  <c r="N641" i="1"/>
  <c r="K652" i="1"/>
  <c r="D96" i="15" s="1"/>
  <c r="E96" i="15" s="1"/>
  <c r="O641" i="1"/>
  <c r="O685" i="1"/>
  <c r="G715" i="1"/>
  <c r="J715" i="1" s="1"/>
  <c r="J714" i="1"/>
  <c r="N700" i="1"/>
  <c r="O700" i="1"/>
  <c r="N713" i="1"/>
  <c r="O713" i="1"/>
  <c r="L54" i="14"/>
  <c r="K54" i="14"/>
  <c r="O54" i="14" s="1"/>
  <c r="L53" i="14"/>
  <c r="K53" i="14"/>
  <c r="O53" i="14" s="1"/>
  <c r="N53" i="14" s="1"/>
  <c r="G53" i="14"/>
  <c r="C53" i="14"/>
  <c r="L52" i="14"/>
  <c r="K52" i="14"/>
  <c r="O52" i="14" s="1"/>
  <c r="G52" i="14"/>
  <c r="C52" i="14"/>
  <c r="L51" i="14"/>
  <c r="K51" i="14" s="1"/>
  <c r="G51" i="14"/>
  <c r="C51" i="14"/>
  <c r="L50" i="14"/>
  <c r="K50" i="14"/>
  <c r="M50" i="14" s="1"/>
  <c r="G50" i="14"/>
  <c r="C50" i="14"/>
  <c r="L49" i="14"/>
  <c r="K49" i="14" s="1"/>
  <c r="G49" i="14"/>
  <c r="C49" i="14"/>
  <c r="L48" i="14"/>
  <c r="K48" i="14" s="1"/>
  <c r="M48" i="14" s="1"/>
  <c r="G48" i="14"/>
  <c r="C48" i="14"/>
  <c r="L47" i="14"/>
  <c r="K47" i="14" s="1"/>
  <c r="G47" i="14"/>
  <c r="C47" i="14"/>
  <c r="G46" i="14"/>
  <c r="L45" i="14"/>
  <c r="K45" i="14" s="1"/>
  <c r="G45" i="14"/>
  <c r="C45" i="14"/>
  <c r="L44" i="14"/>
  <c r="K44" i="14" s="1"/>
  <c r="G44" i="14"/>
  <c r="C44" i="14"/>
  <c r="L43" i="14"/>
  <c r="K43" i="14" s="1"/>
  <c r="G43" i="14"/>
  <c r="C43" i="14"/>
  <c r="L42" i="14"/>
  <c r="K42" i="14" s="1"/>
  <c r="G42" i="14"/>
  <c r="C42" i="14"/>
  <c r="L41" i="14"/>
  <c r="K41" i="14" s="1"/>
  <c r="G41" i="14"/>
  <c r="L40" i="14"/>
  <c r="K40" i="14" s="1"/>
  <c r="G40" i="14"/>
  <c r="C40" i="14"/>
  <c r="L39" i="14"/>
  <c r="K39" i="14" s="1"/>
  <c r="G39" i="14"/>
  <c r="C39" i="14"/>
  <c r="L38" i="14"/>
  <c r="K38" i="14" s="1"/>
  <c r="G38" i="14"/>
  <c r="C38" i="14"/>
  <c r="C86" i="15"/>
  <c r="C83" i="15"/>
  <c r="C80" i="15"/>
  <c r="C82" i="15" s="1"/>
  <c r="C79" i="15"/>
  <c r="C88" i="15"/>
  <c r="E87" i="15"/>
  <c r="E84" i="15"/>
  <c r="C85" i="15"/>
  <c r="E81" i="15"/>
  <c r="H553" i="16"/>
  <c r="F553" i="16"/>
  <c r="I553" i="16" s="1"/>
  <c r="I554" i="16" s="1"/>
  <c r="E552" i="16"/>
  <c r="H551" i="16"/>
  <c r="H550" i="16"/>
  <c r="H549" i="16"/>
  <c r="I549" i="16" s="1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E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I492" i="16"/>
  <c r="E491" i="16"/>
  <c r="H490" i="16"/>
  <c r="H489" i="16"/>
  <c r="H488" i="16"/>
  <c r="H487" i="16"/>
  <c r="H486" i="16"/>
  <c r="H485" i="16"/>
  <c r="H484" i="16"/>
  <c r="E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E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2" i="16"/>
  <c r="H451" i="16"/>
  <c r="E337" i="17"/>
  <c r="E336" i="17"/>
  <c r="D336" i="17"/>
  <c r="H335" i="17"/>
  <c r="H336" i="17" s="1"/>
  <c r="G335" i="17"/>
  <c r="G336" i="17" s="1"/>
  <c r="D335" i="17"/>
  <c r="P334" i="17"/>
  <c r="L334" i="17"/>
  <c r="K334" i="17"/>
  <c r="I334" i="17"/>
  <c r="F334" i="17"/>
  <c r="Q333" i="17"/>
  <c r="P333" i="17"/>
  <c r="N333" i="17"/>
  <c r="L333" i="17"/>
  <c r="K333" i="17"/>
  <c r="J333" i="17"/>
  <c r="M333" i="17" s="1"/>
  <c r="F333" i="17"/>
  <c r="I333" i="17" s="1"/>
  <c r="P332" i="17"/>
  <c r="L332" i="17"/>
  <c r="K332" i="17"/>
  <c r="I332" i="17"/>
  <c r="F332" i="17"/>
  <c r="Q331" i="17"/>
  <c r="P331" i="17"/>
  <c r="L331" i="17"/>
  <c r="N331" i="17" s="1"/>
  <c r="K331" i="17"/>
  <c r="J331" i="17"/>
  <c r="M331" i="17" s="1"/>
  <c r="F331" i="17"/>
  <c r="I331" i="17" s="1"/>
  <c r="P330" i="17"/>
  <c r="L330" i="17"/>
  <c r="K330" i="17"/>
  <c r="I330" i="17"/>
  <c r="F330" i="17"/>
  <c r="Q329" i="17"/>
  <c r="P329" i="17"/>
  <c r="N329" i="17"/>
  <c r="L329" i="17"/>
  <c r="K329" i="17"/>
  <c r="J329" i="17"/>
  <c r="M329" i="17" s="1"/>
  <c r="F329" i="17"/>
  <c r="I329" i="17" s="1"/>
  <c r="P328" i="17"/>
  <c r="L328" i="17"/>
  <c r="K328" i="17"/>
  <c r="I328" i="17"/>
  <c r="F328" i="17"/>
  <c r="Q327" i="17"/>
  <c r="P327" i="17"/>
  <c r="L327" i="17"/>
  <c r="N327" i="17" s="1"/>
  <c r="K327" i="17"/>
  <c r="J327" i="17"/>
  <c r="M327" i="17" s="1"/>
  <c r="F327" i="17"/>
  <c r="I327" i="17" s="1"/>
  <c r="P326" i="17"/>
  <c r="L326" i="17"/>
  <c r="K326" i="17"/>
  <c r="F326" i="17"/>
  <c r="I326" i="17" s="1"/>
  <c r="P325" i="17"/>
  <c r="L325" i="17"/>
  <c r="K325" i="17"/>
  <c r="Q325" i="17" s="1"/>
  <c r="F325" i="17"/>
  <c r="I325" i="17" s="1"/>
  <c r="P324" i="17"/>
  <c r="L324" i="17"/>
  <c r="K324" i="17"/>
  <c r="F324" i="17"/>
  <c r="I324" i="17" s="1"/>
  <c r="P323" i="17"/>
  <c r="L323" i="17"/>
  <c r="K323" i="17"/>
  <c r="Q323" i="17" s="1"/>
  <c r="F323" i="17"/>
  <c r="I323" i="17" s="1"/>
  <c r="P322" i="17"/>
  <c r="L322" i="17"/>
  <c r="K322" i="17"/>
  <c r="I322" i="17"/>
  <c r="F322" i="17"/>
  <c r="P321" i="17"/>
  <c r="L321" i="17"/>
  <c r="K321" i="17"/>
  <c r="J321" i="17" s="1"/>
  <c r="F321" i="17"/>
  <c r="I321" i="17" s="1"/>
  <c r="P320" i="17"/>
  <c r="L320" i="17"/>
  <c r="K320" i="17"/>
  <c r="I320" i="17"/>
  <c r="F320" i="17"/>
  <c r="Q319" i="17"/>
  <c r="P319" i="17"/>
  <c r="L319" i="17"/>
  <c r="K319" i="17"/>
  <c r="J319" i="17"/>
  <c r="M319" i="17" s="1"/>
  <c r="F319" i="17"/>
  <c r="I319" i="17" s="1"/>
  <c r="P318" i="17"/>
  <c r="L318" i="17"/>
  <c r="K318" i="17"/>
  <c r="F318" i="17"/>
  <c r="I318" i="17" s="1"/>
  <c r="P317" i="17"/>
  <c r="L317" i="17"/>
  <c r="N317" i="17" s="1"/>
  <c r="K317" i="17"/>
  <c r="Q317" i="17" s="1"/>
  <c r="J317" i="17"/>
  <c r="M317" i="17" s="1"/>
  <c r="F317" i="17"/>
  <c r="I317" i="17" s="1"/>
  <c r="P316" i="17"/>
  <c r="L316" i="17"/>
  <c r="K316" i="17"/>
  <c r="F316" i="17"/>
  <c r="I316" i="17" s="1"/>
  <c r="P315" i="17"/>
  <c r="L315" i="17"/>
  <c r="K315" i="17"/>
  <c r="Q315" i="17" s="1"/>
  <c r="F315" i="17"/>
  <c r="I315" i="17" s="1"/>
  <c r="P314" i="17"/>
  <c r="L314" i="17"/>
  <c r="K314" i="17"/>
  <c r="I314" i="17"/>
  <c r="F314" i="17"/>
  <c r="P313" i="17"/>
  <c r="L313" i="17"/>
  <c r="K313" i="17"/>
  <c r="J313" i="17" s="1"/>
  <c r="F313" i="17"/>
  <c r="I313" i="17" s="1"/>
  <c r="P312" i="17"/>
  <c r="L312" i="17"/>
  <c r="K312" i="17"/>
  <c r="F312" i="17"/>
  <c r="I312" i="17" s="1"/>
  <c r="Q311" i="17"/>
  <c r="P311" i="17"/>
  <c r="L311" i="17"/>
  <c r="K311" i="17"/>
  <c r="J311" i="17"/>
  <c r="M311" i="17" s="1"/>
  <c r="F311" i="17"/>
  <c r="I311" i="17" s="1"/>
  <c r="P310" i="17"/>
  <c r="L310" i="17"/>
  <c r="K310" i="17"/>
  <c r="F310" i="17"/>
  <c r="I310" i="17" s="1"/>
  <c r="P309" i="17"/>
  <c r="L309" i="17"/>
  <c r="N309" i="17" s="1"/>
  <c r="K309" i="17"/>
  <c r="Q309" i="17" s="1"/>
  <c r="J309" i="17"/>
  <c r="M309" i="17" s="1"/>
  <c r="F309" i="17"/>
  <c r="I309" i="17" s="1"/>
  <c r="P308" i="17"/>
  <c r="L308" i="17"/>
  <c r="K308" i="17"/>
  <c r="F308" i="17"/>
  <c r="I308" i="17" s="1"/>
  <c r="P307" i="17"/>
  <c r="L307" i="17"/>
  <c r="N307" i="17" s="1"/>
  <c r="K307" i="17"/>
  <c r="Q307" i="17" s="1"/>
  <c r="J307" i="17"/>
  <c r="F307" i="17"/>
  <c r="Q306" i="17"/>
  <c r="P306" i="17"/>
  <c r="L306" i="17"/>
  <c r="N306" i="17" s="1"/>
  <c r="K306" i="17"/>
  <c r="J306" i="17"/>
  <c r="M306" i="17" s="1"/>
  <c r="F306" i="17"/>
  <c r="I306" i="17" s="1"/>
  <c r="P305" i="17"/>
  <c r="L305" i="17"/>
  <c r="K305" i="17"/>
  <c r="Q305" i="17" s="1"/>
  <c r="I305" i="17"/>
  <c r="F305" i="17"/>
  <c r="Q304" i="17"/>
  <c r="P304" i="17"/>
  <c r="L304" i="17"/>
  <c r="N304" i="17" s="1"/>
  <c r="K304" i="17"/>
  <c r="J304" i="17"/>
  <c r="M304" i="17" s="1"/>
  <c r="F304" i="17"/>
  <c r="I304" i="17" s="1"/>
  <c r="P303" i="17"/>
  <c r="L303" i="17"/>
  <c r="K303" i="17"/>
  <c r="Q303" i="17" s="1"/>
  <c r="I303" i="17"/>
  <c r="F303" i="17"/>
  <c r="Q302" i="17"/>
  <c r="P302" i="17"/>
  <c r="L302" i="17"/>
  <c r="N302" i="17" s="1"/>
  <c r="K302" i="17"/>
  <c r="J302" i="17"/>
  <c r="M302" i="17" s="1"/>
  <c r="F302" i="17"/>
  <c r="I302" i="17" s="1"/>
  <c r="P301" i="17"/>
  <c r="L301" i="17"/>
  <c r="K301" i="17"/>
  <c r="I301" i="17"/>
  <c r="F301" i="17"/>
  <c r="E300" i="17"/>
  <c r="D300" i="17"/>
  <c r="H299" i="17"/>
  <c r="H300" i="17" s="1"/>
  <c r="G299" i="17"/>
  <c r="G300" i="17" s="1"/>
  <c r="Q298" i="17"/>
  <c r="P298" i="17"/>
  <c r="L298" i="17"/>
  <c r="N298" i="17" s="1"/>
  <c r="K298" i="17"/>
  <c r="J298" i="17"/>
  <c r="M298" i="17" s="1"/>
  <c r="F298" i="17"/>
  <c r="I298" i="17" s="1"/>
  <c r="P297" i="17"/>
  <c r="L297" i="17"/>
  <c r="K297" i="17"/>
  <c r="Q297" i="17" s="1"/>
  <c r="I297" i="17"/>
  <c r="F297" i="17"/>
  <c r="P296" i="17"/>
  <c r="L296" i="17"/>
  <c r="K296" i="17"/>
  <c r="J296" i="17" s="1"/>
  <c r="I296" i="17"/>
  <c r="F296" i="17"/>
  <c r="P295" i="17"/>
  <c r="L295" i="17"/>
  <c r="K295" i="17"/>
  <c r="Q295" i="17" s="1"/>
  <c r="F295" i="17"/>
  <c r="I295" i="17" s="1"/>
  <c r="P294" i="17"/>
  <c r="L294" i="17"/>
  <c r="K294" i="17"/>
  <c r="Q294" i="17" s="1"/>
  <c r="I294" i="17"/>
  <c r="F294" i="17"/>
  <c r="Q293" i="17"/>
  <c r="P293" i="17"/>
  <c r="L293" i="17"/>
  <c r="N293" i="17" s="1"/>
  <c r="K293" i="17"/>
  <c r="J293" i="17"/>
  <c r="M293" i="17" s="1"/>
  <c r="F293" i="17"/>
  <c r="I293" i="17" s="1"/>
  <c r="P292" i="17"/>
  <c r="L292" i="17"/>
  <c r="L299" i="17" s="1"/>
  <c r="K292" i="17"/>
  <c r="Q292" i="17" s="1"/>
  <c r="I292" i="17"/>
  <c r="F292" i="17"/>
  <c r="F299" i="17" s="1"/>
  <c r="E291" i="17"/>
  <c r="D291" i="17"/>
  <c r="H290" i="17"/>
  <c r="G290" i="17"/>
  <c r="D290" i="17"/>
  <c r="P289" i="17"/>
  <c r="L289" i="17"/>
  <c r="K289" i="17"/>
  <c r="I289" i="17"/>
  <c r="F289" i="17"/>
  <c r="P288" i="17"/>
  <c r="L288" i="17"/>
  <c r="N288" i="17" s="1"/>
  <c r="K288" i="17"/>
  <c r="Q288" i="17" s="1"/>
  <c r="J288" i="17"/>
  <c r="M288" i="17" s="1"/>
  <c r="F288" i="17"/>
  <c r="I288" i="17" s="1"/>
  <c r="P287" i="17"/>
  <c r="L287" i="17"/>
  <c r="K287" i="17"/>
  <c r="F287" i="17"/>
  <c r="I287" i="17" s="1"/>
  <c r="P286" i="17"/>
  <c r="L286" i="17"/>
  <c r="K286" i="17"/>
  <c r="Q286" i="17" s="1"/>
  <c r="F286" i="17"/>
  <c r="I286" i="17" s="1"/>
  <c r="P285" i="17"/>
  <c r="L285" i="17"/>
  <c r="K285" i="17"/>
  <c r="I285" i="17"/>
  <c r="F285" i="17"/>
  <c r="P284" i="17"/>
  <c r="L284" i="17"/>
  <c r="K284" i="17"/>
  <c r="J284" i="17" s="1"/>
  <c r="F284" i="17"/>
  <c r="I284" i="17" s="1"/>
  <c r="P283" i="17"/>
  <c r="L283" i="17"/>
  <c r="K283" i="17"/>
  <c r="F283" i="17"/>
  <c r="I283" i="17" s="1"/>
  <c r="H282" i="17"/>
  <c r="H291" i="17" s="1"/>
  <c r="G282" i="17"/>
  <c r="D282" i="17"/>
  <c r="Q281" i="17"/>
  <c r="P281" i="17"/>
  <c r="L281" i="17"/>
  <c r="K281" i="17"/>
  <c r="J281" i="17"/>
  <c r="M281" i="17" s="1"/>
  <c r="F281" i="17"/>
  <c r="I281" i="17" s="1"/>
  <c r="P280" i="17"/>
  <c r="L280" i="17"/>
  <c r="K280" i="17"/>
  <c r="I280" i="17"/>
  <c r="F280" i="17"/>
  <c r="P279" i="17"/>
  <c r="L279" i="17"/>
  <c r="K279" i="17"/>
  <c r="F279" i="17"/>
  <c r="I279" i="17" s="1"/>
  <c r="P278" i="17"/>
  <c r="L278" i="17"/>
  <c r="K278" i="17"/>
  <c r="I278" i="17"/>
  <c r="F278" i="17"/>
  <c r="Q277" i="17"/>
  <c r="P277" i="17"/>
  <c r="L277" i="17"/>
  <c r="L282" i="17" s="1"/>
  <c r="K277" i="17"/>
  <c r="J277" i="17"/>
  <c r="M277" i="17" s="1"/>
  <c r="F277" i="17"/>
  <c r="I277" i="17" s="1"/>
  <c r="P276" i="17"/>
  <c r="P282" i="17" s="1"/>
  <c r="L276" i="17"/>
  <c r="K276" i="17"/>
  <c r="F276" i="17"/>
  <c r="I276" i="17" s="1"/>
  <c r="G595" i="13"/>
  <c r="J595" i="13" s="1"/>
  <c r="F595" i="13"/>
  <c r="I595" i="13" s="1"/>
  <c r="G594" i="13"/>
  <c r="G596" i="13" s="1"/>
  <c r="F594" i="13"/>
  <c r="F596" i="13" s="1"/>
  <c r="G592" i="13"/>
  <c r="J592" i="13" s="1"/>
  <c r="F592" i="13"/>
  <c r="I592" i="13" s="1"/>
  <c r="G591" i="13"/>
  <c r="J591" i="13" s="1"/>
  <c r="F591" i="13"/>
  <c r="F593" i="13" s="1"/>
  <c r="G590" i="13"/>
  <c r="G593" i="13" s="1"/>
  <c r="F590" i="13"/>
  <c r="I590" i="13" s="1"/>
  <c r="G588" i="13"/>
  <c r="J588" i="13" s="1"/>
  <c r="F588" i="13"/>
  <c r="I588" i="13" s="1"/>
  <c r="G587" i="13"/>
  <c r="J587" i="13" s="1"/>
  <c r="F587" i="13"/>
  <c r="I587" i="13" s="1"/>
  <c r="G586" i="13"/>
  <c r="J586" i="13" s="1"/>
  <c r="F586" i="13"/>
  <c r="I586" i="13" s="1"/>
  <c r="F585" i="13"/>
  <c r="F589" i="13" s="1"/>
  <c r="G583" i="13"/>
  <c r="J583" i="13" s="1"/>
  <c r="F583" i="13"/>
  <c r="I583" i="13" s="1"/>
  <c r="G582" i="13"/>
  <c r="G584" i="13" s="1"/>
  <c r="F582" i="13"/>
  <c r="F584" i="13" s="1"/>
  <c r="G580" i="13"/>
  <c r="J580" i="13" s="1"/>
  <c r="F580" i="13"/>
  <c r="I580" i="13" s="1"/>
  <c r="G579" i="13"/>
  <c r="J579" i="13" s="1"/>
  <c r="F579" i="13"/>
  <c r="I579" i="13" s="1"/>
  <c r="G578" i="13"/>
  <c r="J578" i="13" s="1"/>
  <c r="F578" i="13"/>
  <c r="I578" i="13" s="1"/>
  <c r="G577" i="13"/>
  <c r="G581" i="13" s="1"/>
  <c r="F577" i="13"/>
  <c r="F581" i="13" s="1"/>
  <c r="G575" i="13"/>
  <c r="J575" i="13" s="1"/>
  <c r="F575" i="13"/>
  <c r="I575" i="13" s="1"/>
  <c r="G574" i="13"/>
  <c r="J574" i="13" s="1"/>
  <c r="F574" i="13"/>
  <c r="I574" i="13" s="1"/>
  <c r="G573" i="13"/>
  <c r="G576" i="13" s="1"/>
  <c r="F573" i="13"/>
  <c r="F576" i="13" s="1"/>
  <c r="F597" i="13" s="1"/>
  <c r="F598" i="13" s="1"/>
  <c r="G570" i="13"/>
  <c r="J570" i="13" s="1"/>
  <c r="F570" i="13"/>
  <c r="I570" i="13" s="1"/>
  <c r="G567" i="13"/>
  <c r="J567" i="13" s="1"/>
  <c r="F567" i="13"/>
  <c r="I567" i="13" s="1"/>
  <c r="G566" i="13"/>
  <c r="J566" i="13" s="1"/>
  <c r="F566" i="13"/>
  <c r="I566" i="13" s="1"/>
  <c r="G565" i="13"/>
  <c r="J565" i="13" s="1"/>
  <c r="F565" i="13"/>
  <c r="I565" i="13" s="1"/>
  <c r="G564" i="13"/>
  <c r="J564" i="13" s="1"/>
  <c r="F564" i="13"/>
  <c r="I564" i="13" s="1"/>
  <c r="G563" i="13"/>
  <c r="J563" i="13" s="1"/>
  <c r="F563" i="13"/>
  <c r="I563" i="13" s="1"/>
  <c r="G562" i="13"/>
  <c r="G568" i="13" s="1"/>
  <c r="F562" i="13"/>
  <c r="F568" i="13" s="1"/>
  <c r="G560" i="13"/>
  <c r="J560" i="13" s="1"/>
  <c r="F560" i="13"/>
  <c r="I560" i="13" s="1"/>
  <c r="G559" i="13"/>
  <c r="J559" i="13" s="1"/>
  <c r="F559" i="13"/>
  <c r="I559" i="13" s="1"/>
  <c r="G558" i="13"/>
  <c r="G561" i="13" s="1"/>
  <c r="F558" i="13"/>
  <c r="F561" i="13" s="1"/>
  <c r="F569" i="13" s="1"/>
  <c r="G555" i="13"/>
  <c r="J555" i="13" s="1"/>
  <c r="F555" i="13"/>
  <c r="I555" i="13" s="1"/>
  <c r="G554" i="13"/>
  <c r="J554" i="13" s="1"/>
  <c r="F554" i="13"/>
  <c r="I554" i="13" s="1"/>
  <c r="G553" i="13"/>
  <c r="J553" i="13" s="1"/>
  <c r="F553" i="13"/>
  <c r="I553" i="13" s="1"/>
  <c r="G552" i="13"/>
  <c r="J552" i="13" s="1"/>
  <c r="F552" i="13"/>
  <c r="I552" i="13" s="1"/>
  <c r="G551" i="13"/>
  <c r="J551" i="13" s="1"/>
  <c r="F551" i="13"/>
  <c r="I551" i="13" s="1"/>
  <c r="G550" i="13"/>
  <c r="J550" i="13" s="1"/>
  <c r="F550" i="13"/>
  <c r="F556" i="13" s="1"/>
  <c r="G549" i="13"/>
  <c r="G556" i="13" s="1"/>
  <c r="F549" i="13"/>
  <c r="I549" i="13" s="1"/>
  <c r="F547" i="13"/>
  <c r="I547" i="13" s="1"/>
  <c r="G546" i="13"/>
  <c r="J546" i="13" s="1"/>
  <c r="F546" i="13"/>
  <c r="I546" i="13" s="1"/>
  <c r="G545" i="13"/>
  <c r="J545" i="13" s="1"/>
  <c r="F545" i="13"/>
  <c r="I545" i="13" s="1"/>
  <c r="F544" i="13"/>
  <c r="I544" i="13" s="1"/>
  <c r="G543" i="13"/>
  <c r="J543" i="13" s="1"/>
  <c r="F543" i="13"/>
  <c r="I543" i="13" s="1"/>
  <c r="G542" i="13"/>
  <c r="J542" i="13" s="1"/>
  <c r="F542" i="13"/>
  <c r="I542" i="13" s="1"/>
  <c r="G541" i="13"/>
  <c r="J541" i="13" s="1"/>
  <c r="F541" i="13"/>
  <c r="I541" i="13" s="1"/>
  <c r="G540" i="13"/>
  <c r="J540" i="13" s="1"/>
  <c r="F540" i="13"/>
  <c r="I540" i="13" s="1"/>
  <c r="G539" i="13"/>
  <c r="J539" i="13" s="1"/>
  <c r="F539" i="13"/>
  <c r="I539" i="13" s="1"/>
  <c r="G538" i="13"/>
  <c r="F538" i="13"/>
  <c r="G534" i="13"/>
  <c r="J534" i="13" s="1"/>
  <c r="F534" i="13"/>
  <c r="I534" i="13" s="1"/>
  <c r="G533" i="13"/>
  <c r="J533" i="13" s="1"/>
  <c r="F533" i="13"/>
  <c r="I533" i="13" s="1"/>
  <c r="G532" i="13"/>
  <c r="J532" i="13" s="1"/>
  <c r="F532" i="13"/>
  <c r="I532" i="13" s="1"/>
  <c r="G531" i="13"/>
  <c r="J531" i="13" s="1"/>
  <c r="F531" i="13"/>
  <c r="I531" i="13" s="1"/>
  <c r="G530" i="13"/>
  <c r="J530" i="13" s="1"/>
  <c r="F530" i="13"/>
  <c r="I530" i="13" s="1"/>
  <c r="G529" i="13"/>
  <c r="J529" i="13" s="1"/>
  <c r="F529" i="13"/>
  <c r="I529" i="13" s="1"/>
  <c r="G528" i="13"/>
  <c r="J528" i="13" s="1"/>
  <c r="F528" i="13"/>
  <c r="I528" i="13" s="1"/>
  <c r="F527" i="13"/>
  <c r="I527" i="13" s="1"/>
  <c r="G526" i="13"/>
  <c r="F526" i="13"/>
  <c r="F535" i="13" s="1"/>
  <c r="F524" i="13"/>
  <c r="I524" i="13" s="1"/>
  <c r="G523" i="13"/>
  <c r="J523" i="13" s="1"/>
  <c r="F523" i="13"/>
  <c r="I523" i="13" s="1"/>
  <c r="G522" i="13"/>
  <c r="J522" i="13" s="1"/>
  <c r="F522" i="13"/>
  <c r="I522" i="13" s="1"/>
  <c r="G521" i="13"/>
  <c r="F521" i="13"/>
  <c r="F525" i="13" s="1"/>
  <c r="F536" i="13" s="1"/>
  <c r="G518" i="13"/>
  <c r="J518" i="13" s="1"/>
  <c r="F518" i="13"/>
  <c r="I518" i="13" s="1"/>
  <c r="G517" i="13"/>
  <c r="J517" i="13" s="1"/>
  <c r="F517" i="13"/>
  <c r="I517" i="13" s="1"/>
  <c r="G516" i="13"/>
  <c r="G519" i="13" s="1"/>
  <c r="F516" i="13"/>
  <c r="F519" i="13" s="1"/>
  <c r="G514" i="13"/>
  <c r="J514" i="13" s="1"/>
  <c r="F514" i="13"/>
  <c r="I514" i="13" s="1"/>
  <c r="G513" i="13"/>
  <c r="J513" i="13" s="1"/>
  <c r="F513" i="13"/>
  <c r="I513" i="13" s="1"/>
  <c r="F512" i="13"/>
  <c r="I512" i="13" s="1"/>
  <c r="G511" i="13"/>
  <c r="J511" i="13" s="1"/>
  <c r="F511" i="13"/>
  <c r="I511" i="13" s="1"/>
  <c r="J510" i="13"/>
  <c r="G510" i="13"/>
  <c r="F510" i="13"/>
  <c r="I510" i="13" s="1"/>
  <c r="G509" i="13"/>
  <c r="J509" i="13" s="1"/>
  <c r="F509" i="13"/>
  <c r="I509" i="13" s="1"/>
  <c r="J508" i="13"/>
  <c r="G508" i="13"/>
  <c r="F508" i="13"/>
  <c r="F515" i="13" s="1"/>
  <c r="G506" i="13"/>
  <c r="J506" i="13" s="1"/>
  <c r="F506" i="13"/>
  <c r="I506" i="13" s="1"/>
  <c r="J505" i="13"/>
  <c r="G505" i="13"/>
  <c r="F505" i="13"/>
  <c r="I505" i="13" s="1"/>
  <c r="G504" i="13"/>
  <c r="J504" i="13" s="1"/>
  <c r="F504" i="13"/>
  <c r="I504" i="13" s="1"/>
  <c r="J503" i="13"/>
  <c r="G503" i="13"/>
  <c r="F503" i="13"/>
  <c r="I503" i="13" s="1"/>
  <c r="G502" i="13"/>
  <c r="J502" i="13" s="1"/>
  <c r="F502" i="13"/>
  <c r="I502" i="13" s="1"/>
  <c r="J501" i="13"/>
  <c r="G501" i="13"/>
  <c r="F501" i="13"/>
  <c r="I501" i="13" s="1"/>
  <c r="G500" i="13"/>
  <c r="J500" i="13" s="1"/>
  <c r="J507" i="13" s="1"/>
  <c r="F500" i="13"/>
  <c r="F507" i="13" s="1"/>
  <c r="J498" i="13"/>
  <c r="G498" i="13"/>
  <c r="F498" i="13"/>
  <c r="I498" i="13" s="1"/>
  <c r="G497" i="13"/>
  <c r="J497" i="13" s="1"/>
  <c r="F497" i="13"/>
  <c r="I497" i="13" s="1"/>
  <c r="J496" i="13"/>
  <c r="G496" i="13"/>
  <c r="F496" i="13"/>
  <c r="I496" i="13" s="1"/>
  <c r="G495" i="13"/>
  <c r="J495" i="13" s="1"/>
  <c r="F495" i="13"/>
  <c r="I495" i="13" s="1"/>
  <c r="J494" i="13"/>
  <c r="G494" i="13"/>
  <c r="F494" i="13"/>
  <c r="I494" i="13" s="1"/>
  <c r="G493" i="13"/>
  <c r="J493" i="13" s="1"/>
  <c r="F493" i="13"/>
  <c r="I493" i="13" s="1"/>
  <c r="J492" i="13"/>
  <c r="G492" i="13"/>
  <c r="G499" i="13" s="1"/>
  <c r="F492" i="13"/>
  <c r="F499" i="13" s="1"/>
  <c r="G490" i="13"/>
  <c r="J490" i="13" s="1"/>
  <c r="F490" i="13"/>
  <c r="I490" i="13" s="1"/>
  <c r="G489" i="13"/>
  <c r="J489" i="13" s="1"/>
  <c r="F489" i="13"/>
  <c r="I489" i="13" s="1"/>
  <c r="G488" i="13"/>
  <c r="J488" i="13" s="1"/>
  <c r="F488" i="13"/>
  <c r="I488" i="13" s="1"/>
  <c r="J487" i="13"/>
  <c r="G487" i="13"/>
  <c r="F487" i="13"/>
  <c r="F491" i="13" s="1"/>
  <c r="F520" i="13" s="1"/>
  <c r="F537" i="13" s="1"/>
  <c r="F596" i="1"/>
  <c r="F597" i="1" s="1"/>
  <c r="I595" i="1"/>
  <c r="H595" i="1"/>
  <c r="E595" i="1"/>
  <c r="M594" i="1"/>
  <c r="M595" i="1" s="1"/>
  <c r="L594" i="1"/>
  <c r="K594" i="1"/>
  <c r="N594" i="1" s="1"/>
  <c r="G594" i="1"/>
  <c r="J594" i="1" s="1"/>
  <c r="M593" i="1"/>
  <c r="L593" i="1"/>
  <c r="J593" i="1"/>
  <c r="G593" i="1"/>
  <c r="I592" i="1"/>
  <c r="H592" i="1"/>
  <c r="E592" i="1"/>
  <c r="M591" i="1"/>
  <c r="O591" i="1" s="1"/>
  <c r="L591" i="1"/>
  <c r="K591" i="1"/>
  <c r="N591" i="1" s="1"/>
  <c r="G591" i="1"/>
  <c r="J591" i="1" s="1"/>
  <c r="M590" i="1"/>
  <c r="L590" i="1"/>
  <c r="K590" i="1" s="1"/>
  <c r="N590" i="1" s="1"/>
  <c r="J590" i="1"/>
  <c r="G590" i="1"/>
  <c r="M589" i="1"/>
  <c r="M592" i="1" s="1"/>
  <c r="L589" i="1"/>
  <c r="K589" i="1"/>
  <c r="N589" i="1" s="1"/>
  <c r="G589" i="1"/>
  <c r="J589" i="1" s="1"/>
  <c r="I588" i="1"/>
  <c r="H588" i="1"/>
  <c r="H596" i="1" s="1"/>
  <c r="H597" i="1" s="1"/>
  <c r="E588" i="1"/>
  <c r="M587" i="1"/>
  <c r="L587" i="1"/>
  <c r="K587" i="1" s="1"/>
  <c r="N587" i="1" s="1"/>
  <c r="J587" i="1"/>
  <c r="G587" i="1"/>
  <c r="M586" i="1"/>
  <c r="O586" i="1" s="1"/>
  <c r="L586" i="1"/>
  <c r="K586" i="1"/>
  <c r="N586" i="1" s="1"/>
  <c r="G586" i="1"/>
  <c r="J586" i="1" s="1"/>
  <c r="M585" i="1"/>
  <c r="L585" i="1"/>
  <c r="K585" i="1" s="1"/>
  <c r="N585" i="1" s="1"/>
  <c r="J585" i="1"/>
  <c r="G585" i="1"/>
  <c r="M584" i="1"/>
  <c r="O584" i="1" s="1"/>
  <c r="L584" i="1"/>
  <c r="K584" i="1"/>
  <c r="N584" i="1" s="1"/>
  <c r="G584" i="1"/>
  <c r="J584" i="1" s="1"/>
  <c r="M583" i="1"/>
  <c r="L583" i="1"/>
  <c r="K583" i="1" s="1"/>
  <c r="K588" i="1" s="1"/>
  <c r="N588" i="1" s="1"/>
  <c r="G583" i="1"/>
  <c r="G588" i="1" s="1"/>
  <c r="J588" i="1" s="1"/>
  <c r="M582" i="1"/>
  <c r="I582" i="1"/>
  <c r="H582" i="1"/>
  <c r="E582" i="1"/>
  <c r="O581" i="1"/>
  <c r="M581" i="1"/>
  <c r="L581" i="1"/>
  <c r="K581" i="1"/>
  <c r="N581" i="1" s="1"/>
  <c r="G581" i="1"/>
  <c r="J581" i="1" s="1"/>
  <c r="M580" i="1"/>
  <c r="L580" i="1"/>
  <c r="J580" i="1"/>
  <c r="G580" i="1"/>
  <c r="I579" i="1"/>
  <c r="H579" i="1"/>
  <c r="E579" i="1"/>
  <c r="M578" i="1"/>
  <c r="O578" i="1" s="1"/>
  <c r="L578" i="1"/>
  <c r="K578" i="1"/>
  <c r="N578" i="1" s="1"/>
  <c r="G578" i="1"/>
  <c r="J578" i="1" s="1"/>
  <c r="M577" i="1"/>
  <c r="L577" i="1"/>
  <c r="K577" i="1" s="1"/>
  <c r="N577" i="1" s="1"/>
  <c r="J577" i="1"/>
  <c r="G577" i="1"/>
  <c r="M576" i="1"/>
  <c r="M579" i="1" s="1"/>
  <c r="L576" i="1"/>
  <c r="K576" i="1"/>
  <c r="N576" i="1" s="1"/>
  <c r="G576" i="1"/>
  <c r="J576" i="1" s="1"/>
  <c r="M575" i="1"/>
  <c r="L575" i="1"/>
  <c r="J575" i="1"/>
  <c r="G575" i="1"/>
  <c r="M574" i="1"/>
  <c r="I574" i="1"/>
  <c r="H574" i="1"/>
  <c r="E574" i="1"/>
  <c r="E596" i="1" s="1"/>
  <c r="E597" i="1" s="1"/>
  <c r="O573" i="1"/>
  <c r="M573" i="1"/>
  <c r="L573" i="1"/>
  <c r="K573" i="1"/>
  <c r="N573" i="1" s="1"/>
  <c r="G573" i="1"/>
  <c r="J573" i="1" s="1"/>
  <c r="M572" i="1"/>
  <c r="O572" i="1" s="1"/>
  <c r="L572" i="1"/>
  <c r="K572" i="1" s="1"/>
  <c r="N572" i="1" s="1"/>
  <c r="J572" i="1"/>
  <c r="G572" i="1"/>
  <c r="O571" i="1"/>
  <c r="M571" i="1"/>
  <c r="L571" i="1"/>
  <c r="L574" i="1" s="1"/>
  <c r="K571" i="1"/>
  <c r="N571" i="1" s="1"/>
  <c r="G571" i="1"/>
  <c r="J571" i="1" s="1"/>
  <c r="M568" i="1"/>
  <c r="O568" i="1" s="1"/>
  <c r="L568" i="1"/>
  <c r="K568" i="1"/>
  <c r="N568" i="1" s="1"/>
  <c r="G568" i="1"/>
  <c r="J568" i="1" s="1"/>
  <c r="L566" i="1"/>
  <c r="I566" i="1"/>
  <c r="H566" i="1"/>
  <c r="E566" i="1"/>
  <c r="M565" i="1"/>
  <c r="O565" i="1" s="1"/>
  <c r="L565" i="1"/>
  <c r="K565" i="1" s="1"/>
  <c r="N565" i="1" s="1"/>
  <c r="J565" i="1"/>
  <c r="G565" i="1"/>
  <c r="O564" i="1"/>
  <c r="M564" i="1"/>
  <c r="L564" i="1"/>
  <c r="K564" i="1"/>
  <c r="N564" i="1" s="1"/>
  <c r="G564" i="1"/>
  <c r="J564" i="1" s="1"/>
  <c r="M563" i="1"/>
  <c r="O563" i="1" s="1"/>
  <c r="L563" i="1"/>
  <c r="K563" i="1" s="1"/>
  <c r="N563" i="1" s="1"/>
  <c r="J563" i="1"/>
  <c r="G563" i="1"/>
  <c r="O562" i="1"/>
  <c r="M562" i="1"/>
  <c r="L562" i="1"/>
  <c r="K562" i="1"/>
  <c r="N562" i="1" s="1"/>
  <c r="G562" i="1"/>
  <c r="J562" i="1" s="1"/>
  <c r="M561" i="1"/>
  <c r="O561" i="1" s="1"/>
  <c r="L561" i="1"/>
  <c r="K561" i="1" s="1"/>
  <c r="N561" i="1" s="1"/>
  <c r="J561" i="1"/>
  <c r="G561" i="1"/>
  <c r="O560" i="1"/>
  <c r="M560" i="1"/>
  <c r="M566" i="1" s="1"/>
  <c r="L560" i="1"/>
  <c r="K560" i="1"/>
  <c r="G560" i="1"/>
  <c r="L559" i="1"/>
  <c r="L567" i="1" s="1"/>
  <c r="I559" i="1"/>
  <c r="I567" i="1" s="1"/>
  <c r="H559" i="1"/>
  <c r="H567" i="1" s="1"/>
  <c r="E559" i="1"/>
  <c r="M558" i="1"/>
  <c r="O558" i="1" s="1"/>
  <c r="L558" i="1"/>
  <c r="K558" i="1" s="1"/>
  <c r="N558" i="1" s="1"/>
  <c r="J558" i="1"/>
  <c r="G558" i="1"/>
  <c r="O557" i="1"/>
  <c r="M557" i="1"/>
  <c r="L557" i="1"/>
  <c r="K557" i="1"/>
  <c r="N557" i="1" s="1"/>
  <c r="G557" i="1"/>
  <c r="J557" i="1" s="1"/>
  <c r="M556" i="1"/>
  <c r="M559" i="1" s="1"/>
  <c r="L556" i="1"/>
  <c r="K556" i="1" s="1"/>
  <c r="K559" i="1" s="1"/>
  <c r="J556" i="1"/>
  <c r="G556" i="1"/>
  <c r="F555" i="1"/>
  <c r="F569" i="1" s="1"/>
  <c r="F570" i="1" s="1"/>
  <c r="I554" i="1"/>
  <c r="H554" i="1"/>
  <c r="E554" i="1"/>
  <c r="E555" i="1" s="1"/>
  <c r="M553" i="1"/>
  <c r="L553" i="1"/>
  <c r="J553" i="1"/>
  <c r="G553" i="1"/>
  <c r="M552" i="1"/>
  <c r="L552" i="1"/>
  <c r="K552" i="1"/>
  <c r="N552" i="1" s="1"/>
  <c r="J552" i="1"/>
  <c r="M551" i="1"/>
  <c r="L551" i="1"/>
  <c r="K551" i="1"/>
  <c r="N551" i="1" s="1"/>
  <c r="G551" i="1"/>
  <c r="J551" i="1" s="1"/>
  <c r="M550" i="1"/>
  <c r="L550" i="1"/>
  <c r="K550" i="1" s="1"/>
  <c r="N550" i="1" s="1"/>
  <c r="J550" i="1"/>
  <c r="G550" i="1"/>
  <c r="M549" i="1"/>
  <c r="L549" i="1"/>
  <c r="K549" i="1"/>
  <c r="N549" i="1" s="1"/>
  <c r="G549" i="1"/>
  <c r="J549" i="1" s="1"/>
  <c r="M548" i="1"/>
  <c r="L548" i="1"/>
  <c r="K548" i="1" s="1"/>
  <c r="N548" i="1" s="1"/>
  <c r="J548" i="1"/>
  <c r="G548" i="1"/>
  <c r="M547" i="1"/>
  <c r="L547" i="1"/>
  <c r="K547" i="1"/>
  <c r="G547" i="1"/>
  <c r="I546" i="1"/>
  <c r="I555" i="1" s="1"/>
  <c r="H546" i="1"/>
  <c r="E546" i="1"/>
  <c r="M545" i="1"/>
  <c r="L545" i="1"/>
  <c r="K545" i="1" s="1"/>
  <c r="N545" i="1" s="1"/>
  <c r="G545" i="1"/>
  <c r="J545" i="1" s="1"/>
  <c r="M544" i="1"/>
  <c r="L544" i="1"/>
  <c r="K544" i="1"/>
  <c r="N544" i="1" s="1"/>
  <c r="G544" i="1"/>
  <c r="J544" i="1" s="1"/>
  <c r="M543" i="1"/>
  <c r="L543" i="1"/>
  <c r="K543" i="1" s="1"/>
  <c r="N543" i="1" s="1"/>
  <c r="J543" i="1"/>
  <c r="G543" i="1"/>
  <c r="M542" i="1"/>
  <c r="L542" i="1"/>
  <c r="G544" i="13" s="1"/>
  <c r="J544" i="13" s="1"/>
  <c r="K542" i="1"/>
  <c r="N542" i="1" s="1"/>
  <c r="G542" i="1"/>
  <c r="J542" i="1" s="1"/>
  <c r="M541" i="1"/>
  <c r="L541" i="1"/>
  <c r="K541" i="1" s="1"/>
  <c r="N541" i="1" s="1"/>
  <c r="J541" i="1"/>
  <c r="G541" i="1"/>
  <c r="M540" i="1"/>
  <c r="L540" i="1"/>
  <c r="K540" i="1"/>
  <c r="N540" i="1" s="1"/>
  <c r="G540" i="1"/>
  <c r="J540" i="1" s="1"/>
  <c r="M539" i="1"/>
  <c r="L539" i="1"/>
  <c r="K539" i="1" s="1"/>
  <c r="N539" i="1" s="1"/>
  <c r="J539" i="1"/>
  <c r="G539" i="1"/>
  <c r="M538" i="1"/>
  <c r="L538" i="1"/>
  <c r="K538" i="1"/>
  <c r="N538" i="1" s="1"/>
  <c r="G538" i="1"/>
  <c r="J538" i="1" s="1"/>
  <c r="M537" i="1"/>
  <c r="L537" i="1"/>
  <c r="J537" i="1"/>
  <c r="G537" i="1"/>
  <c r="M536" i="1"/>
  <c r="L536" i="1"/>
  <c r="K536" i="1"/>
  <c r="G536" i="1"/>
  <c r="F535" i="1"/>
  <c r="F598" i="1" s="1"/>
  <c r="F534" i="1"/>
  <c r="I533" i="1"/>
  <c r="H533" i="1"/>
  <c r="E533" i="1"/>
  <c r="E534" i="1" s="1"/>
  <c r="M532" i="1"/>
  <c r="L532" i="1"/>
  <c r="K532" i="1" s="1"/>
  <c r="N532" i="1" s="1"/>
  <c r="J532" i="1"/>
  <c r="G532" i="1"/>
  <c r="M531" i="1"/>
  <c r="L531" i="1"/>
  <c r="K531" i="1"/>
  <c r="N531" i="1" s="1"/>
  <c r="G531" i="1"/>
  <c r="J531" i="1" s="1"/>
  <c r="M530" i="1"/>
  <c r="L530" i="1"/>
  <c r="K530" i="1" s="1"/>
  <c r="N530" i="1" s="1"/>
  <c r="J530" i="1"/>
  <c r="G530" i="1"/>
  <c r="M529" i="1"/>
  <c r="L529" i="1"/>
  <c r="K529" i="1"/>
  <c r="N529" i="1" s="1"/>
  <c r="G529" i="1"/>
  <c r="J529" i="1" s="1"/>
  <c r="M528" i="1"/>
  <c r="L528" i="1"/>
  <c r="K528" i="1" s="1"/>
  <c r="N528" i="1" s="1"/>
  <c r="J528" i="1"/>
  <c r="G528" i="1"/>
  <c r="M527" i="1"/>
  <c r="L527" i="1"/>
  <c r="K527" i="1"/>
  <c r="N527" i="1" s="1"/>
  <c r="G527" i="1"/>
  <c r="J527" i="1" s="1"/>
  <c r="M526" i="1"/>
  <c r="L526" i="1"/>
  <c r="K526" i="1" s="1"/>
  <c r="N526" i="1" s="1"/>
  <c r="J526" i="1"/>
  <c r="G526" i="1"/>
  <c r="M525" i="1"/>
  <c r="L525" i="1"/>
  <c r="K525" i="1" s="1"/>
  <c r="N525" i="1" s="1"/>
  <c r="G525" i="1"/>
  <c r="J525" i="1" s="1"/>
  <c r="M524" i="1"/>
  <c r="L524" i="1"/>
  <c r="J524" i="1"/>
  <c r="G524" i="1"/>
  <c r="G533" i="1" s="1"/>
  <c r="I523" i="1"/>
  <c r="H523" i="1"/>
  <c r="E523" i="1"/>
  <c r="M522" i="1"/>
  <c r="M523" i="1" s="1"/>
  <c r="L522" i="1"/>
  <c r="G524" i="13" s="1"/>
  <c r="J524" i="13" s="1"/>
  <c r="K522" i="1"/>
  <c r="N522" i="1" s="1"/>
  <c r="G522" i="1"/>
  <c r="J522" i="1" s="1"/>
  <c r="M521" i="1"/>
  <c r="O521" i="1" s="1"/>
  <c r="L521" i="1"/>
  <c r="K521" i="1" s="1"/>
  <c r="N521" i="1" s="1"/>
  <c r="J521" i="1"/>
  <c r="G521" i="1"/>
  <c r="O520" i="1"/>
  <c r="M520" i="1"/>
  <c r="L520" i="1"/>
  <c r="K520" i="1"/>
  <c r="N520" i="1" s="1"/>
  <c r="G520" i="1"/>
  <c r="J520" i="1" s="1"/>
  <c r="M519" i="1"/>
  <c r="L519" i="1"/>
  <c r="J519" i="1"/>
  <c r="G519" i="1"/>
  <c r="I517" i="1"/>
  <c r="H517" i="1"/>
  <c r="E517" i="1"/>
  <c r="M516" i="1"/>
  <c r="L516" i="1"/>
  <c r="K516" i="1" s="1"/>
  <c r="N516" i="1" s="1"/>
  <c r="J516" i="1"/>
  <c r="G516" i="1"/>
  <c r="M515" i="1"/>
  <c r="O515" i="1" s="1"/>
  <c r="L515" i="1"/>
  <c r="K515" i="1"/>
  <c r="N515" i="1" s="1"/>
  <c r="G515" i="1"/>
  <c r="J515" i="1" s="1"/>
  <c r="M514" i="1"/>
  <c r="L514" i="1"/>
  <c r="J514" i="1"/>
  <c r="G514" i="1"/>
  <c r="G517" i="1" s="1"/>
  <c r="J517" i="1" s="1"/>
  <c r="I513" i="1"/>
  <c r="H513" i="1"/>
  <c r="F513" i="1"/>
  <c r="F518" i="1" s="1"/>
  <c r="E513" i="1"/>
  <c r="M512" i="1"/>
  <c r="O512" i="1" s="1"/>
  <c r="L512" i="1"/>
  <c r="K512" i="1" s="1"/>
  <c r="N512" i="1" s="1"/>
  <c r="J512" i="1"/>
  <c r="G512" i="1"/>
  <c r="O511" i="1"/>
  <c r="M511" i="1"/>
  <c r="L511" i="1"/>
  <c r="K511" i="1"/>
  <c r="N511" i="1" s="1"/>
  <c r="G511" i="1"/>
  <c r="J511" i="1" s="1"/>
  <c r="M510" i="1"/>
  <c r="L510" i="1"/>
  <c r="K510" i="1" s="1"/>
  <c r="N510" i="1" s="1"/>
  <c r="G510" i="1"/>
  <c r="J510" i="1" s="1"/>
  <c r="M509" i="1"/>
  <c r="L509" i="1"/>
  <c r="K509" i="1" s="1"/>
  <c r="J509" i="1"/>
  <c r="G509" i="1"/>
  <c r="M508" i="1"/>
  <c r="O508" i="1" s="1"/>
  <c r="L508" i="1"/>
  <c r="K508" i="1"/>
  <c r="N508" i="1" s="1"/>
  <c r="G508" i="1"/>
  <c r="J508" i="1" s="1"/>
  <c r="M507" i="1"/>
  <c r="O507" i="1" s="1"/>
  <c r="L507" i="1"/>
  <c r="K507" i="1" s="1"/>
  <c r="N507" i="1" s="1"/>
  <c r="J507" i="1"/>
  <c r="G507" i="1"/>
  <c r="M506" i="1"/>
  <c r="M513" i="1" s="1"/>
  <c r="L506" i="1"/>
  <c r="K506" i="1"/>
  <c r="G506" i="1"/>
  <c r="G513" i="1" s="1"/>
  <c r="J513" i="1" s="1"/>
  <c r="I505" i="1"/>
  <c r="H505" i="1"/>
  <c r="E505" i="1"/>
  <c r="M504" i="1"/>
  <c r="L504" i="1"/>
  <c r="K504" i="1" s="1"/>
  <c r="N504" i="1" s="1"/>
  <c r="J504" i="1"/>
  <c r="G504" i="1"/>
  <c r="M503" i="1"/>
  <c r="O503" i="1" s="1"/>
  <c r="L503" i="1"/>
  <c r="K503" i="1"/>
  <c r="N503" i="1" s="1"/>
  <c r="G503" i="1"/>
  <c r="J503" i="1" s="1"/>
  <c r="M502" i="1"/>
  <c r="L502" i="1"/>
  <c r="K502" i="1" s="1"/>
  <c r="N502" i="1" s="1"/>
  <c r="J502" i="1"/>
  <c r="G502" i="1"/>
  <c r="M501" i="1"/>
  <c r="O501" i="1" s="1"/>
  <c r="L501" i="1"/>
  <c r="K501" i="1"/>
  <c r="N501" i="1" s="1"/>
  <c r="G501" i="1"/>
  <c r="J501" i="1" s="1"/>
  <c r="M500" i="1"/>
  <c r="L500" i="1"/>
  <c r="K500" i="1" s="1"/>
  <c r="N500" i="1" s="1"/>
  <c r="J500" i="1"/>
  <c r="G500" i="1"/>
  <c r="M499" i="1"/>
  <c r="O499" i="1" s="1"/>
  <c r="L499" i="1"/>
  <c r="K499" i="1"/>
  <c r="N499" i="1" s="1"/>
  <c r="G499" i="1"/>
  <c r="J499" i="1" s="1"/>
  <c r="M498" i="1"/>
  <c r="M505" i="1" s="1"/>
  <c r="L498" i="1"/>
  <c r="L505" i="1" s="1"/>
  <c r="J498" i="1"/>
  <c r="G498" i="1"/>
  <c r="G505" i="1" s="1"/>
  <c r="J505" i="1" s="1"/>
  <c r="I497" i="1"/>
  <c r="H497" i="1"/>
  <c r="E497" i="1"/>
  <c r="M496" i="1"/>
  <c r="L496" i="1"/>
  <c r="G496" i="1"/>
  <c r="J496" i="1" s="1"/>
  <c r="M495" i="1"/>
  <c r="L495" i="1"/>
  <c r="K495" i="1" s="1"/>
  <c r="N495" i="1" s="1"/>
  <c r="J495" i="1"/>
  <c r="G495" i="1"/>
  <c r="M494" i="1"/>
  <c r="O494" i="1" s="1"/>
  <c r="L494" i="1"/>
  <c r="K494" i="1"/>
  <c r="N494" i="1" s="1"/>
  <c r="G494" i="1"/>
  <c r="J494" i="1" s="1"/>
  <c r="M493" i="1"/>
  <c r="L493" i="1"/>
  <c r="K493" i="1" s="1"/>
  <c r="N493" i="1" s="1"/>
  <c r="J493" i="1"/>
  <c r="G493" i="1"/>
  <c r="M492" i="1"/>
  <c r="L492" i="1"/>
  <c r="K492" i="1"/>
  <c r="N492" i="1" s="1"/>
  <c r="G492" i="1"/>
  <c r="J492" i="1" s="1"/>
  <c r="M491" i="1"/>
  <c r="L491" i="1"/>
  <c r="K491" i="1" s="1"/>
  <c r="N491" i="1" s="1"/>
  <c r="J491" i="1"/>
  <c r="G491" i="1"/>
  <c r="M490" i="1"/>
  <c r="O490" i="1" s="1"/>
  <c r="L490" i="1"/>
  <c r="L497" i="1" s="1"/>
  <c r="K490" i="1"/>
  <c r="G490" i="1"/>
  <c r="G497" i="1" s="1"/>
  <c r="J497" i="1" s="1"/>
  <c r="I489" i="1"/>
  <c r="H489" i="1"/>
  <c r="H518" i="1" s="1"/>
  <c r="E489" i="1"/>
  <c r="E518" i="1" s="1"/>
  <c r="E535" i="1" s="1"/>
  <c r="M488" i="1"/>
  <c r="O488" i="1" s="1"/>
  <c r="L488" i="1"/>
  <c r="K488" i="1" s="1"/>
  <c r="N488" i="1" s="1"/>
  <c r="J488" i="1"/>
  <c r="G488" i="1"/>
  <c r="M487" i="1"/>
  <c r="L487" i="1"/>
  <c r="K487" i="1" s="1"/>
  <c r="N487" i="1" s="1"/>
  <c r="G487" i="1"/>
  <c r="J487" i="1" s="1"/>
  <c r="M486" i="1"/>
  <c r="L486" i="1"/>
  <c r="L489" i="1" s="1"/>
  <c r="J486" i="1"/>
  <c r="G486" i="1"/>
  <c r="M485" i="1"/>
  <c r="K485" i="1" s="1"/>
  <c r="L485" i="1"/>
  <c r="G485" i="1"/>
  <c r="D98" i="15" l="1"/>
  <c r="E98" i="15" s="1"/>
  <c r="T22" i="14"/>
  <c r="M366" i="17"/>
  <c r="N366" i="17"/>
  <c r="J403" i="17"/>
  <c r="M403" i="17" s="1"/>
  <c r="M402" i="17"/>
  <c r="N357" i="17"/>
  <c r="N652" i="1"/>
  <c r="O652" i="1"/>
  <c r="K715" i="1"/>
  <c r="N714" i="1"/>
  <c r="N715" i="1" s="1"/>
  <c r="M688" i="1"/>
  <c r="M716" i="1" s="1"/>
  <c r="O687" i="1"/>
  <c r="O688" i="1" s="1"/>
  <c r="O714" i="1"/>
  <c r="O715" i="1" s="1"/>
  <c r="K688" i="1"/>
  <c r="D99" i="15" s="1"/>
  <c r="N687" i="1"/>
  <c r="N688" i="1" s="1"/>
  <c r="G688" i="1"/>
  <c r="J688" i="1" s="1"/>
  <c r="J687" i="1"/>
  <c r="G716" i="1"/>
  <c r="J716" i="1" s="1"/>
  <c r="J653" i="1"/>
  <c r="K653" i="1"/>
  <c r="H483" i="16"/>
  <c r="H526" i="16"/>
  <c r="H552" i="16"/>
  <c r="H468" i="16"/>
  <c r="P299" i="17"/>
  <c r="P300" i="17" s="1"/>
  <c r="O552" i="1"/>
  <c r="O553" i="1"/>
  <c r="K553" i="1"/>
  <c r="N553" i="1" s="1"/>
  <c r="H555" i="1"/>
  <c r="H569" i="1" s="1"/>
  <c r="H570" i="1" s="1"/>
  <c r="F548" i="13"/>
  <c r="F557" i="13" s="1"/>
  <c r="F571" i="13" s="1"/>
  <c r="F572" i="13" s="1"/>
  <c r="G547" i="13"/>
  <c r="J547" i="13" s="1"/>
  <c r="F599" i="13"/>
  <c r="G548" i="13"/>
  <c r="G557" i="13" s="1"/>
  <c r="J279" i="17"/>
  <c r="N281" i="17"/>
  <c r="G527" i="13"/>
  <c r="J527" i="13" s="1"/>
  <c r="G525" i="13"/>
  <c r="G512" i="13"/>
  <c r="J512" i="13" s="1"/>
  <c r="J325" i="17"/>
  <c r="M325" i="17" s="1"/>
  <c r="N325" i="17"/>
  <c r="I596" i="1"/>
  <c r="I597" i="1" s="1"/>
  <c r="G585" i="13"/>
  <c r="G589" i="13" s="1"/>
  <c r="M49" i="14"/>
  <c r="O49" i="14"/>
  <c r="N49" i="14" s="1"/>
  <c r="R49" i="14" s="1"/>
  <c r="M51" i="14"/>
  <c r="O51" i="14"/>
  <c r="N51" i="14" s="1"/>
  <c r="R51" i="14" s="1"/>
  <c r="O50" i="14"/>
  <c r="N50" i="14" s="1"/>
  <c r="N52" i="14"/>
  <c r="R52" i="14" s="1"/>
  <c r="M47" i="14"/>
  <c r="O47" i="14"/>
  <c r="N47" i="14" s="1"/>
  <c r="P47" i="14" s="1"/>
  <c r="O48" i="14"/>
  <c r="N48" i="14" s="1"/>
  <c r="O38" i="14"/>
  <c r="N38" i="14" s="1"/>
  <c r="M38" i="14"/>
  <c r="O40" i="14"/>
  <c r="N40" i="14" s="1"/>
  <c r="M40" i="14"/>
  <c r="O42" i="14"/>
  <c r="N42" i="14" s="1"/>
  <c r="M42" i="14"/>
  <c r="O44" i="14"/>
  <c r="N44" i="14" s="1"/>
  <c r="M44" i="14"/>
  <c r="L46" i="14"/>
  <c r="K46" i="14" s="1"/>
  <c r="C46" i="14"/>
  <c r="R47" i="14"/>
  <c r="R48" i="14"/>
  <c r="P48" i="14"/>
  <c r="P49" i="14"/>
  <c r="R50" i="14"/>
  <c r="P50" i="14"/>
  <c r="P51" i="14"/>
  <c r="R53" i="14"/>
  <c r="P53" i="14"/>
  <c r="Q53" i="14"/>
  <c r="S53" i="14" s="1"/>
  <c r="O39" i="14"/>
  <c r="N39" i="14" s="1"/>
  <c r="M39" i="14"/>
  <c r="O41" i="14"/>
  <c r="N41" i="14" s="1"/>
  <c r="M41" i="14"/>
  <c r="O43" i="14"/>
  <c r="N43" i="14" s="1"/>
  <c r="M43" i="14"/>
  <c r="O45" i="14"/>
  <c r="N45" i="14" s="1"/>
  <c r="M45" i="14"/>
  <c r="Q48" i="14"/>
  <c r="Q50" i="14"/>
  <c r="M52" i="14"/>
  <c r="M53" i="14"/>
  <c r="T53" i="14" s="1"/>
  <c r="M54" i="14"/>
  <c r="C89" i="15"/>
  <c r="E493" i="16"/>
  <c r="E555" i="16" s="1"/>
  <c r="H491" i="16"/>
  <c r="H493" i="16" s="1"/>
  <c r="M321" i="17"/>
  <c r="N321" i="17"/>
  <c r="M313" i="17"/>
  <c r="N313" i="17"/>
  <c r="N311" i="17"/>
  <c r="Q313" i="17"/>
  <c r="N319" i="17"/>
  <c r="Q321" i="17"/>
  <c r="K335" i="17"/>
  <c r="K336" i="17" s="1"/>
  <c r="G86" i="15" s="1"/>
  <c r="G88" i="15" s="1"/>
  <c r="P335" i="17"/>
  <c r="P336" i="17" s="1"/>
  <c r="J315" i="17"/>
  <c r="M315" i="17" s="1"/>
  <c r="N315" i="17"/>
  <c r="J323" i="17"/>
  <c r="M323" i="17" s="1"/>
  <c r="N323" i="17"/>
  <c r="J295" i="17"/>
  <c r="M295" i="17" s="1"/>
  <c r="M284" i="17"/>
  <c r="N284" i="17"/>
  <c r="Q284" i="17"/>
  <c r="G291" i="17"/>
  <c r="F290" i="17"/>
  <c r="I290" i="17" s="1"/>
  <c r="P290" i="17"/>
  <c r="J286" i="17"/>
  <c r="M286" i="17" s="1"/>
  <c r="N286" i="17"/>
  <c r="M279" i="17"/>
  <c r="N279" i="17"/>
  <c r="Q279" i="17"/>
  <c r="P291" i="17"/>
  <c r="P337" i="17" s="1"/>
  <c r="Q278" i="17"/>
  <c r="J278" i="17"/>
  <c r="M278" i="17" s="1"/>
  <c r="Q283" i="17"/>
  <c r="J283" i="17"/>
  <c r="N283" i="17" s="1"/>
  <c r="Q287" i="17"/>
  <c r="J287" i="17"/>
  <c r="M287" i="17" s="1"/>
  <c r="F300" i="17"/>
  <c r="I300" i="17" s="1"/>
  <c r="I299" i="17"/>
  <c r="N296" i="17"/>
  <c r="G337" i="17"/>
  <c r="K282" i="17"/>
  <c r="G79" i="15" s="1"/>
  <c r="Q276" i="17"/>
  <c r="J276" i="17"/>
  <c r="N277" i="17"/>
  <c r="Q280" i="17"/>
  <c r="J280" i="17"/>
  <c r="M280" i="17" s="1"/>
  <c r="F282" i="17"/>
  <c r="L290" i="17"/>
  <c r="Q285" i="17"/>
  <c r="J285" i="17"/>
  <c r="M285" i="17" s="1"/>
  <c r="Q289" i="17"/>
  <c r="J289" i="17"/>
  <c r="M289" i="17" s="1"/>
  <c r="K290" i="17"/>
  <c r="G80" i="15" s="1"/>
  <c r="L300" i="17"/>
  <c r="Q296" i="17"/>
  <c r="Q299" i="17" s="1"/>
  <c r="Q300" i="17" s="1"/>
  <c r="H83" i="15" s="1"/>
  <c r="H85" i="15" s="1"/>
  <c r="K299" i="17"/>
  <c r="K300" i="17" s="1"/>
  <c r="G83" i="15" s="1"/>
  <c r="G85" i="15" s="1"/>
  <c r="Q308" i="17"/>
  <c r="J308" i="17"/>
  <c r="M308" i="17" s="1"/>
  <c r="Q312" i="17"/>
  <c r="J312" i="17"/>
  <c r="M312" i="17" s="1"/>
  <c r="Q316" i="17"/>
  <c r="J316" i="17"/>
  <c r="M316" i="17" s="1"/>
  <c r="Q320" i="17"/>
  <c r="J320" i="17"/>
  <c r="M320" i="17" s="1"/>
  <c r="Q324" i="17"/>
  <c r="J324" i="17"/>
  <c r="M324" i="17" s="1"/>
  <c r="Q328" i="17"/>
  <c r="J328" i="17"/>
  <c r="M328" i="17" s="1"/>
  <c r="Q332" i="17"/>
  <c r="J332" i="17"/>
  <c r="M332" i="17" s="1"/>
  <c r="D337" i="17"/>
  <c r="J292" i="17"/>
  <c r="N292" i="17"/>
  <c r="J294" i="17"/>
  <c r="M294" i="17" s="1"/>
  <c r="J297" i="17"/>
  <c r="M297" i="17" s="1"/>
  <c r="F335" i="17"/>
  <c r="J301" i="17"/>
  <c r="L335" i="17"/>
  <c r="N301" i="17"/>
  <c r="Q301" i="17"/>
  <c r="J303" i="17"/>
  <c r="M303" i="17" s="1"/>
  <c r="J305" i="17"/>
  <c r="N308" i="17"/>
  <c r="Q310" i="17"/>
  <c r="J310" i="17"/>
  <c r="M310" i="17" s="1"/>
  <c r="Q314" i="17"/>
  <c r="J314" i="17"/>
  <c r="M314" i="17" s="1"/>
  <c r="N316" i="17"/>
  <c r="Q318" i="17"/>
  <c r="J318" i="17"/>
  <c r="M318" i="17" s="1"/>
  <c r="Q322" i="17"/>
  <c r="J322" i="17"/>
  <c r="M322" i="17" s="1"/>
  <c r="Q326" i="17"/>
  <c r="J326" i="17"/>
  <c r="M326" i="17" s="1"/>
  <c r="Q330" i="17"/>
  <c r="J330" i="17"/>
  <c r="M330" i="17" s="1"/>
  <c r="N332" i="17"/>
  <c r="Q334" i="17"/>
  <c r="J334" i="17"/>
  <c r="M334" i="17" s="1"/>
  <c r="H337" i="17"/>
  <c r="J491" i="13"/>
  <c r="J499" i="13"/>
  <c r="G491" i="13"/>
  <c r="G507" i="13"/>
  <c r="J515" i="13"/>
  <c r="I556" i="13"/>
  <c r="G515" i="13"/>
  <c r="J516" i="13"/>
  <c r="J519" i="13" s="1"/>
  <c r="J521" i="13"/>
  <c r="J525" i="13" s="1"/>
  <c r="J526" i="13"/>
  <c r="I550" i="13"/>
  <c r="I558" i="13"/>
  <c r="I561" i="13" s="1"/>
  <c r="I569" i="13" s="1"/>
  <c r="I573" i="13"/>
  <c r="I576" i="13" s="1"/>
  <c r="I591" i="13"/>
  <c r="I593" i="13" s="1"/>
  <c r="I594" i="13"/>
  <c r="I596" i="13" s="1"/>
  <c r="I487" i="13"/>
  <c r="I491" i="13" s="1"/>
  <c r="I492" i="13"/>
  <c r="I499" i="13" s="1"/>
  <c r="I500" i="13"/>
  <c r="I507" i="13" s="1"/>
  <c r="I508" i="13"/>
  <c r="I515" i="13" s="1"/>
  <c r="I516" i="13"/>
  <c r="I519" i="13" s="1"/>
  <c r="I521" i="13"/>
  <c r="I525" i="13" s="1"/>
  <c r="I526" i="13"/>
  <c r="I535" i="13" s="1"/>
  <c r="I538" i="13"/>
  <c r="I548" i="13" s="1"/>
  <c r="G569" i="13"/>
  <c r="G571" i="13" s="1"/>
  <c r="I562" i="13"/>
  <c r="I568" i="13" s="1"/>
  <c r="G597" i="13"/>
  <c r="G598" i="13" s="1"/>
  <c r="F86" i="15" s="1"/>
  <c r="F88" i="15" s="1"/>
  <c r="I577" i="13"/>
  <c r="I581" i="13" s="1"/>
  <c r="I582" i="13"/>
  <c r="I584" i="13" s="1"/>
  <c r="I585" i="13"/>
  <c r="I589" i="13" s="1"/>
  <c r="J538" i="13"/>
  <c r="J548" i="13" s="1"/>
  <c r="J549" i="13"/>
  <c r="J556" i="13" s="1"/>
  <c r="J558" i="13"/>
  <c r="J561" i="13" s="1"/>
  <c r="J569" i="13" s="1"/>
  <c r="J562" i="13"/>
  <c r="J568" i="13" s="1"/>
  <c r="J573" i="13"/>
  <c r="J576" i="13" s="1"/>
  <c r="J577" i="13"/>
  <c r="J581" i="13" s="1"/>
  <c r="J582" i="13"/>
  <c r="J584" i="13" s="1"/>
  <c r="J585" i="13"/>
  <c r="J589" i="13" s="1"/>
  <c r="J590" i="13"/>
  <c r="J593" i="13" s="1"/>
  <c r="J594" i="13"/>
  <c r="J596" i="13" s="1"/>
  <c r="J583" i="1"/>
  <c r="I534" i="1"/>
  <c r="O522" i="1"/>
  <c r="K513" i="1"/>
  <c r="N513" i="1" s="1"/>
  <c r="O510" i="1"/>
  <c r="O492" i="1"/>
  <c r="G489" i="1"/>
  <c r="G518" i="1" s="1"/>
  <c r="O487" i="1"/>
  <c r="N485" i="1"/>
  <c r="O513" i="1"/>
  <c r="K497" i="1"/>
  <c r="N497" i="1" s="1"/>
  <c r="O491" i="1"/>
  <c r="O493" i="1"/>
  <c r="O495" i="1"/>
  <c r="O500" i="1"/>
  <c r="O502" i="1"/>
  <c r="O504" i="1"/>
  <c r="N509" i="1"/>
  <c r="O509" i="1"/>
  <c r="E569" i="1"/>
  <c r="E570" i="1" s="1"/>
  <c r="O485" i="1"/>
  <c r="K496" i="1"/>
  <c r="N496" i="1" s="1"/>
  <c r="M497" i="1"/>
  <c r="O497" i="1" s="1"/>
  <c r="J485" i="1"/>
  <c r="K486" i="1"/>
  <c r="N486" i="1" s="1"/>
  <c r="I518" i="1"/>
  <c r="I535" i="1" s="1"/>
  <c r="M489" i="1"/>
  <c r="J490" i="1"/>
  <c r="N490" i="1"/>
  <c r="K498" i="1"/>
  <c r="O498" i="1"/>
  <c r="J506" i="1"/>
  <c r="L513" i="1"/>
  <c r="L518" i="1" s="1"/>
  <c r="N506" i="1"/>
  <c r="O516" i="1"/>
  <c r="O527" i="1"/>
  <c r="O531" i="1"/>
  <c r="N536" i="1"/>
  <c r="M546" i="1"/>
  <c r="O536" i="1"/>
  <c r="O540" i="1"/>
  <c r="O544" i="1"/>
  <c r="K554" i="1"/>
  <c r="N554" i="1" s="1"/>
  <c r="N547" i="1"/>
  <c r="M554" i="1"/>
  <c r="O554" i="1" s="1"/>
  <c r="O547" i="1"/>
  <c r="O551" i="1"/>
  <c r="E567" i="1"/>
  <c r="E598" i="1"/>
  <c r="O506" i="1"/>
  <c r="L517" i="1"/>
  <c r="K514" i="1"/>
  <c r="O519" i="1"/>
  <c r="G523" i="1"/>
  <c r="K524" i="1"/>
  <c r="L533" i="1"/>
  <c r="O525" i="1"/>
  <c r="O529" i="1"/>
  <c r="K537" i="1"/>
  <c r="N537" i="1" s="1"/>
  <c r="L546" i="1"/>
  <c r="O538" i="1"/>
  <c r="O542" i="1"/>
  <c r="O549" i="1"/>
  <c r="L554" i="1"/>
  <c r="M567" i="1"/>
  <c r="O559" i="1"/>
  <c r="G566" i="1"/>
  <c r="J566" i="1" s="1"/>
  <c r="J560" i="1"/>
  <c r="M517" i="1"/>
  <c r="O514" i="1"/>
  <c r="L523" i="1"/>
  <c r="K519" i="1"/>
  <c r="H534" i="1"/>
  <c r="H535" i="1" s="1"/>
  <c r="H598" i="1" s="1"/>
  <c r="M533" i="1"/>
  <c r="O526" i="1"/>
  <c r="O528" i="1"/>
  <c r="O530" i="1"/>
  <c r="O532" i="1"/>
  <c r="G546" i="1"/>
  <c r="J536" i="1"/>
  <c r="O537" i="1"/>
  <c r="O539" i="1"/>
  <c r="O541" i="1"/>
  <c r="O543" i="1"/>
  <c r="O545" i="1"/>
  <c r="G554" i="1"/>
  <c r="J554" i="1" s="1"/>
  <c r="J547" i="1"/>
  <c r="O548" i="1"/>
  <c r="O550" i="1"/>
  <c r="I569" i="1"/>
  <c r="I570" i="1" s="1"/>
  <c r="G559" i="1"/>
  <c r="N556" i="1"/>
  <c r="N559" i="1"/>
  <c r="K566" i="1"/>
  <c r="N566" i="1" s="1"/>
  <c r="N560" i="1"/>
  <c r="O566" i="1"/>
  <c r="G574" i="1"/>
  <c r="L579" i="1"/>
  <c r="K575" i="1"/>
  <c r="O580" i="1"/>
  <c r="G582" i="1"/>
  <c r="J582" i="1" s="1"/>
  <c r="N583" i="1"/>
  <c r="K592" i="1"/>
  <c r="N592" i="1" s="1"/>
  <c r="O593" i="1"/>
  <c r="O594" i="1"/>
  <c r="G595" i="1"/>
  <c r="J595" i="1" s="1"/>
  <c r="O524" i="1"/>
  <c r="O556" i="1"/>
  <c r="K574" i="1"/>
  <c r="O574" i="1" s="1"/>
  <c r="O575" i="1"/>
  <c r="O576" i="1"/>
  <c r="O577" i="1"/>
  <c r="G579" i="1"/>
  <c r="J579" i="1" s="1"/>
  <c r="L582" i="1"/>
  <c r="K580" i="1"/>
  <c r="M588" i="1"/>
  <c r="O588" i="1" s="1"/>
  <c r="O585" i="1"/>
  <c r="O587" i="1"/>
  <c r="L588" i="1"/>
  <c r="L592" i="1"/>
  <c r="O589" i="1"/>
  <c r="O590" i="1"/>
  <c r="G592" i="1"/>
  <c r="J592" i="1" s="1"/>
  <c r="L595" i="1"/>
  <c r="K593" i="1"/>
  <c r="O583" i="1"/>
  <c r="H63" i="15"/>
  <c r="G63" i="15"/>
  <c r="E66" i="14"/>
  <c r="D71" i="14"/>
  <c r="D101" i="15" l="1"/>
  <c r="E99" i="15"/>
  <c r="N403" i="17"/>
  <c r="K716" i="1"/>
  <c r="N716" i="1" s="1"/>
  <c r="N653" i="1"/>
  <c r="O653" i="1"/>
  <c r="N295" i="17"/>
  <c r="J557" i="13"/>
  <c r="J571" i="13" s="1"/>
  <c r="J572" i="13"/>
  <c r="I83" i="15"/>
  <c r="I85" i="15" s="1"/>
  <c r="G572" i="13"/>
  <c r="F83" i="15"/>
  <c r="F85" i="15" s="1"/>
  <c r="G82" i="15"/>
  <c r="G89" i="15" s="1"/>
  <c r="L534" i="1"/>
  <c r="J535" i="13"/>
  <c r="J536" i="13" s="1"/>
  <c r="I80" i="15" s="1"/>
  <c r="G535" i="13"/>
  <c r="G536" i="13" s="1"/>
  <c r="F80" i="15" s="1"/>
  <c r="J489" i="1"/>
  <c r="P52" i="14"/>
  <c r="L596" i="1"/>
  <c r="L597" i="1" s="1"/>
  <c r="Q51" i="14"/>
  <c r="S51" i="14" s="1"/>
  <c r="T51" i="14" s="1"/>
  <c r="Q49" i="14"/>
  <c r="S49" i="14" s="1"/>
  <c r="T49" i="14" s="1"/>
  <c r="Q47" i="14"/>
  <c r="S47" i="14" s="1"/>
  <c r="T47" i="14" s="1"/>
  <c r="Q52" i="14"/>
  <c r="S52" i="14" s="1"/>
  <c r="T52" i="14" s="1"/>
  <c r="Q45" i="14"/>
  <c r="P45" i="14"/>
  <c r="R45" i="14"/>
  <c r="Q43" i="14"/>
  <c r="P43" i="14"/>
  <c r="R43" i="14"/>
  <c r="Q41" i="14"/>
  <c r="P41" i="14"/>
  <c r="R41" i="14"/>
  <c r="Q39" i="14"/>
  <c r="P39" i="14"/>
  <c r="R39" i="14"/>
  <c r="M46" i="14"/>
  <c r="O46" i="14"/>
  <c r="N46" i="14" s="1"/>
  <c r="Q44" i="14"/>
  <c r="R44" i="14"/>
  <c r="P44" i="14"/>
  <c r="Q42" i="14"/>
  <c r="R42" i="14"/>
  <c r="P42" i="14"/>
  <c r="Q40" i="14"/>
  <c r="R40" i="14"/>
  <c r="P40" i="14"/>
  <c r="Q38" i="14"/>
  <c r="R38" i="14"/>
  <c r="P38" i="14"/>
  <c r="S50" i="14"/>
  <c r="T50" i="14" s="1"/>
  <c r="S48" i="14"/>
  <c r="T48" i="14" s="1"/>
  <c r="N324" i="17"/>
  <c r="N278" i="17"/>
  <c r="J335" i="17"/>
  <c r="M301" i="17"/>
  <c r="N334" i="17"/>
  <c r="N326" i="17"/>
  <c r="N318" i="17"/>
  <c r="N310" i="17"/>
  <c r="M276" i="17"/>
  <c r="J282" i="17"/>
  <c r="K291" i="17"/>
  <c r="K337" i="17" s="1"/>
  <c r="N297" i="17"/>
  <c r="N285" i="17"/>
  <c r="Q290" i="17"/>
  <c r="H80" i="15" s="1"/>
  <c r="N328" i="17"/>
  <c r="N320" i="17"/>
  <c r="N312" i="17"/>
  <c r="Q335" i="17"/>
  <c r="Q336" i="17" s="1"/>
  <c r="H86" i="15" s="1"/>
  <c r="H88" i="15" s="1"/>
  <c r="N335" i="17"/>
  <c r="L336" i="17"/>
  <c r="F336" i="17"/>
  <c r="I335" i="17"/>
  <c r="J299" i="17"/>
  <c r="M292" i="17"/>
  <c r="N330" i="17"/>
  <c r="N322" i="17"/>
  <c r="N314" i="17"/>
  <c r="N303" i="17"/>
  <c r="N287" i="17"/>
  <c r="I282" i="17"/>
  <c r="F291" i="17"/>
  <c r="I291" i="17" s="1"/>
  <c r="Q282" i="17"/>
  <c r="N294" i="17"/>
  <c r="N289" i="17"/>
  <c r="J290" i="17"/>
  <c r="M290" i="17" s="1"/>
  <c r="M283" i="17"/>
  <c r="N280" i="17"/>
  <c r="N276" i="17"/>
  <c r="L291" i="17"/>
  <c r="I520" i="13"/>
  <c r="J597" i="13"/>
  <c r="J598" i="13" s="1"/>
  <c r="I86" i="15" s="1"/>
  <c r="I88" i="15" s="1"/>
  <c r="I557" i="13"/>
  <c r="I571" i="13" s="1"/>
  <c r="I572" i="13" s="1"/>
  <c r="I536" i="13"/>
  <c r="I597" i="13"/>
  <c r="I598" i="13" s="1"/>
  <c r="G520" i="13"/>
  <c r="J520" i="13"/>
  <c r="L535" i="1"/>
  <c r="K579" i="1"/>
  <c r="N575" i="1"/>
  <c r="G596" i="1"/>
  <c r="J574" i="1"/>
  <c r="K567" i="1"/>
  <c r="N567" i="1" s="1"/>
  <c r="M534" i="1"/>
  <c r="K523" i="1"/>
  <c r="N519" i="1"/>
  <c r="L555" i="1"/>
  <c r="L569" i="1" s="1"/>
  <c r="L570" i="1" s="1"/>
  <c r="J523" i="1"/>
  <c r="G534" i="1"/>
  <c r="G535" i="1" s="1"/>
  <c r="K517" i="1"/>
  <c r="N517" i="1" s="1"/>
  <c r="N514" i="1"/>
  <c r="N498" i="1"/>
  <c r="K505" i="1"/>
  <c r="I598" i="1"/>
  <c r="O496" i="1"/>
  <c r="K595" i="1"/>
  <c r="N593" i="1"/>
  <c r="K582" i="1"/>
  <c r="N580" i="1"/>
  <c r="K596" i="1"/>
  <c r="N574" i="1"/>
  <c r="O592" i="1"/>
  <c r="M596" i="1"/>
  <c r="G567" i="1"/>
  <c r="J567" i="1" s="1"/>
  <c r="J559" i="1"/>
  <c r="J546" i="1"/>
  <c r="G555" i="1"/>
  <c r="O517" i="1"/>
  <c r="K533" i="1"/>
  <c r="N533" i="1" s="1"/>
  <c r="N524" i="1"/>
  <c r="M555" i="1"/>
  <c r="K546" i="1"/>
  <c r="M518" i="1"/>
  <c r="J518" i="1"/>
  <c r="O486" i="1"/>
  <c r="K489" i="1"/>
  <c r="E71" i="15"/>
  <c r="E68" i="15"/>
  <c r="E65" i="15"/>
  <c r="H443" i="16"/>
  <c r="F443" i="16"/>
  <c r="I443" i="16" s="1"/>
  <c r="I444" i="16" s="1"/>
  <c r="E442" i="16"/>
  <c r="H441" i="16"/>
  <c r="H440" i="16"/>
  <c r="I439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E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I382" i="16"/>
  <c r="E381" i="16"/>
  <c r="H380" i="16"/>
  <c r="H379" i="16"/>
  <c r="H378" i="16"/>
  <c r="H377" i="16"/>
  <c r="H376" i="16"/>
  <c r="H375" i="16"/>
  <c r="H374" i="16"/>
  <c r="E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E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L215" i="17"/>
  <c r="K215" i="17"/>
  <c r="Q215" i="17" s="1"/>
  <c r="L214" i="17"/>
  <c r="K214" i="17"/>
  <c r="L213" i="17"/>
  <c r="K213" i="17"/>
  <c r="L212" i="17"/>
  <c r="L216" i="17" s="1"/>
  <c r="K212" i="17"/>
  <c r="L211" i="17"/>
  <c r="K211" i="17"/>
  <c r="Q211" i="17" s="1"/>
  <c r="L210" i="17"/>
  <c r="K210" i="17"/>
  <c r="E271" i="17"/>
  <c r="E270" i="17"/>
  <c r="G269" i="17"/>
  <c r="G270" i="17" s="1"/>
  <c r="D269" i="17"/>
  <c r="D270" i="17" s="1"/>
  <c r="P268" i="17"/>
  <c r="L268" i="17"/>
  <c r="K268" i="17"/>
  <c r="I268" i="17"/>
  <c r="F268" i="17"/>
  <c r="Q267" i="17"/>
  <c r="P267" i="17"/>
  <c r="L267" i="17"/>
  <c r="N267" i="17" s="1"/>
  <c r="K267" i="17"/>
  <c r="J267" i="17"/>
  <c r="M267" i="17" s="1"/>
  <c r="F267" i="17"/>
  <c r="I267" i="17" s="1"/>
  <c r="P266" i="17"/>
  <c r="L266" i="17"/>
  <c r="K266" i="17"/>
  <c r="I266" i="17"/>
  <c r="F266" i="17"/>
  <c r="Q265" i="17"/>
  <c r="P265" i="17"/>
  <c r="N265" i="17"/>
  <c r="L265" i="17"/>
  <c r="K265" i="17"/>
  <c r="J265" i="17"/>
  <c r="M265" i="17" s="1"/>
  <c r="F265" i="17"/>
  <c r="I265" i="17" s="1"/>
  <c r="P264" i="17"/>
  <c r="L264" i="17"/>
  <c r="K264" i="17"/>
  <c r="I264" i="17"/>
  <c r="F264" i="17"/>
  <c r="Q263" i="17"/>
  <c r="P263" i="17"/>
  <c r="L263" i="17"/>
  <c r="N263" i="17" s="1"/>
  <c r="K263" i="17"/>
  <c r="J263" i="17"/>
  <c r="M263" i="17" s="1"/>
  <c r="F263" i="17"/>
  <c r="I263" i="17" s="1"/>
  <c r="P262" i="17"/>
  <c r="L262" i="17"/>
  <c r="K262" i="17"/>
  <c r="I262" i="17"/>
  <c r="F262" i="17"/>
  <c r="P261" i="17"/>
  <c r="L261" i="17"/>
  <c r="K261" i="17"/>
  <c r="J261" i="17" s="1"/>
  <c r="F261" i="17"/>
  <c r="I261" i="17" s="1"/>
  <c r="P260" i="17"/>
  <c r="L260" i="17"/>
  <c r="K260" i="17"/>
  <c r="I260" i="17"/>
  <c r="F260" i="17"/>
  <c r="L259" i="17"/>
  <c r="P259" i="17"/>
  <c r="F259" i="17"/>
  <c r="I259" i="17" s="1"/>
  <c r="P258" i="17"/>
  <c r="L258" i="17"/>
  <c r="K258" i="17"/>
  <c r="I258" i="17"/>
  <c r="F258" i="17"/>
  <c r="P257" i="17"/>
  <c r="L257" i="17"/>
  <c r="K257" i="17"/>
  <c r="J257" i="17" s="1"/>
  <c r="F257" i="17"/>
  <c r="I257" i="17" s="1"/>
  <c r="P256" i="17"/>
  <c r="L256" i="17"/>
  <c r="K256" i="17"/>
  <c r="I256" i="17"/>
  <c r="F256" i="17"/>
  <c r="L255" i="17"/>
  <c r="P255" i="17"/>
  <c r="F255" i="17"/>
  <c r="I255" i="17" s="1"/>
  <c r="P254" i="17"/>
  <c r="L254" i="17"/>
  <c r="K254" i="17"/>
  <c r="I254" i="17"/>
  <c r="F254" i="17"/>
  <c r="Q253" i="17"/>
  <c r="P253" i="17"/>
  <c r="N253" i="17"/>
  <c r="L253" i="17"/>
  <c r="K253" i="17"/>
  <c r="J253" i="17"/>
  <c r="M253" i="17" s="1"/>
  <c r="F253" i="17"/>
  <c r="I253" i="17" s="1"/>
  <c r="P252" i="17"/>
  <c r="L252" i="17"/>
  <c r="K252" i="17"/>
  <c r="I252" i="17"/>
  <c r="F252" i="17"/>
  <c r="Q251" i="17"/>
  <c r="P251" i="17"/>
  <c r="L251" i="17"/>
  <c r="N251" i="17" s="1"/>
  <c r="K251" i="17"/>
  <c r="J251" i="17"/>
  <c r="M251" i="17" s="1"/>
  <c r="F251" i="17"/>
  <c r="I251" i="17" s="1"/>
  <c r="P250" i="17"/>
  <c r="L250" i="17"/>
  <c r="K250" i="17"/>
  <c r="I250" i="17"/>
  <c r="F250" i="17"/>
  <c r="H269" i="17"/>
  <c r="H270" i="17" s="1"/>
  <c r="P249" i="17"/>
  <c r="F249" i="17"/>
  <c r="I249" i="17" s="1"/>
  <c r="P248" i="17"/>
  <c r="L248" i="17"/>
  <c r="K248" i="17"/>
  <c r="F248" i="17"/>
  <c r="I248" i="17" s="1"/>
  <c r="P247" i="17"/>
  <c r="L247" i="17"/>
  <c r="K247" i="17"/>
  <c r="Q247" i="17" s="1"/>
  <c r="F247" i="17"/>
  <c r="I247" i="17" s="1"/>
  <c r="P246" i="17"/>
  <c r="L246" i="17"/>
  <c r="K246" i="17"/>
  <c r="I246" i="17"/>
  <c r="F246" i="17"/>
  <c r="P245" i="17"/>
  <c r="L245" i="17"/>
  <c r="K245" i="17"/>
  <c r="J245" i="17" s="1"/>
  <c r="F245" i="17"/>
  <c r="I245" i="17" s="1"/>
  <c r="P244" i="17"/>
  <c r="L244" i="17"/>
  <c r="K244" i="17"/>
  <c r="Q244" i="17" s="1"/>
  <c r="F244" i="17"/>
  <c r="I244" i="17" s="1"/>
  <c r="P243" i="17"/>
  <c r="L243" i="17"/>
  <c r="K243" i="17"/>
  <c r="Q243" i="17" s="1"/>
  <c r="F243" i="17"/>
  <c r="I243" i="17" s="1"/>
  <c r="Q242" i="17"/>
  <c r="P242" i="17"/>
  <c r="L242" i="17"/>
  <c r="N242" i="17" s="1"/>
  <c r="K242" i="17"/>
  <c r="J242" i="17"/>
  <c r="M242" i="17" s="1"/>
  <c r="F242" i="17"/>
  <c r="I242" i="17" s="1"/>
  <c r="P241" i="17"/>
  <c r="L241" i="17"/>
  <c r="K241" i="17"/>
  <c r="Q241" i="17" s="1"/>
  <c r="J241" i="17"/>
  <c r="F241" i="17"/>
  <c r="Q240" i="17"/>
  <c r="P240" i="17"/>
  <c r="L240" i="17"/>
  <c r="K240" i="17"/>
  <c r="J240" i="17"/>
  <c r="M240" i="17" s="1"/>
  <c r="F240" i="17"/>
  <c r="I240" i="17" s="1"/>
  <c r="P239" i="17"/>
  <c r="L239" i="17"/>
  <c r="K239" i="17"/>
  <c r="Q239" i="17" s="1"/>
  <c r="F239" i="17"/>
  <c r="I239" i="17" s="1"/>
  <c r="P238" i="17"/>
  <c r="L238" i="17"/>
  <c r="K238" i="17"/>
  <c r="Q238" i="17" s="1"/>
  <c r="F238" i="17"/>
  <c r="I238" i="17" s="1"/>
  <c r="P237" i="17"/>
  <c r="L237" i="17"/>
  <c r="K237" i="17"/>
  <c r="Q237" i="17" s="1"/>
  <c r="F237" i="17"/>
  <c r="I237" i="17" s="1"/>
  <c r="Q236" i="17"/>
  <c r="P236" i="17"/>
  <c r="L236" i="17"/>
  <c r="K236" i="17"/>
  <c r="J236" i="17"/>
  <c r="M236" i="17" s="1"/>
  <c r="F236" i="17"/>
  <c r="I236" i="17" s="1"/>
  <c r="P235" i="17"/>
  <c r="L235" i="17"/>
  <c r="K235" i="17"/>
  <c r="I235" i="17"/>
  <c r="F235" i="17"/>
  <c r="E234" i="17"/>
  <c r="D234" i="17"/>
  <c r="G233" i="17"/>
  <c r="G234" i="17" s="1"/>
  <c r="Q232" i="17"/>
  <c r="P232" i="17"/>
  <c r="L232" i="17"/>
  <c r="N232" i="17" s="1"/>
  <c r="K232" i="17"/>
  <c r="J232" i="17"/>
  <c r="M232" i="17" s="1"/>
  <c r="F232" i="17"/>
  <c r="I232" i="17" s="1"/>
  <c r="P231" i="17"/>
  <c r="L231" i="17"/>
  <c r="K231" i="17"/>
  <c r="I231" i="17"/>
  <c r="F231" i="17"/>
  <c r="P230" i="17"/>
  <c r="L230" i="17"/>
  <c r="K230" i="17"/>
  <c r="J230" i="17" s="1"/>
  <c r="I230" i="17"/>
  <c r="F230" i="17"/>
  <c r="H233" i="17"/>
  <c r="H234" i="17" s="1"/>
  <c r="P229" i="17"/>
  <c r="F229" i="17"/>
  <c r="I229" i="17" s="1"/>
  <c r="P228" i="17"/>
  <c r="P233" i="17" s="1"/>
  <c r="P234" i="17" s="1"/>
  <c r="L228" i="17"/>
  <c r="K228" i="17"/>
  <c r="I228" i="17"/>
  <c r="F228" i="17"/>
  <c r="Q227" i="17"/>
  <c r="P227" i="17"/>
  <c r="N227" i="17"/>
  <c r="L227" i="17"/>
  <c r="K227" i="17"/>
  <c r="J227" i="17"/>
  <c r="M227" i="17" s="1"/>
  <c r="F227" i="17"/>
  <c r="I227" i="17" s="1"/>
  <c r="P226" i="17"/>
  <c r="L226" i="17"/>
  <c r="K226" i="17"/>
  <c r="I226" i="17"/>
  <c r="F226" i="17"/>
  <c r="F233" i="17" s="1"/>
  <c r="F234" i="17" s="1"/>
  <c r="I234" i="17" s="1"/>
  <c r="E225" i="17"/>
  <c r="D225" i="17"/>
  <c r="H224" i="17"/>
  <c r="G224" i="17"/>
  <c r="D224" i="17"/>
  <c r="P223" i="17"/>
  <c r="L223" i="17"/>
  <c r="K223" i="17"/>
  <c r="I223" i="17"/>
  <c r="F223" i="17"/>
  <c r="Q222" i="17"/>
  <c r="P222" i="17"/>
  <c r="N222" i="17"/>
  <c r="L222" i="17"/>
  <c r="K222" i="17"/>
  <c r="J222" i="17"/>
  <c r="M222" i="17" s="1"/>
  <c r="F222" i="17"/>
  <c r="I222" i="17" s="1"/>
  <c r="P221" i="17"/>
  <c r="L221" i="17"/>
  <c r="K221" i="17"/>
  <c r="I221" i="17"/>
  <c r="F221" i="17"/>
  <c r="Q220" i="17"/>
  <c r="P220" i="17"/>
  <c r="L220" i="17"/>
  <c r="K220" i="17"/>
  <c r="J220" i="17"/>
  <c r="M220" i="17" s="1"/>
  <c r="F220" i="17"/>
  <c r="I220" i="17" s="1"/>
  <c r="P219" i="17"/>
  <c r="L219" i="17"/>
  <c r="K219" i="17"/>
  <c r="I219" i="17"/>
  <c r="F219" i="17"/>
  <c r="Q218" i="17"/>
  <c r="P218" i="17"/>
  <c r="N218" i="17"/>
  <c r="L218" i="17"/>
  <c r="K218" i="17"/>
  <c r="J218" i="17"/>
  <c r="M218" i="17" s="1"/>
  <c r="F218" i="17"/>
  <c r="I218" i="17" s="1"/>
  <c r="P217" i="17"/>
  <c r="P224" i="17" s="1"/>
  <c r="L217" i="17"/>
  <c r="K217" i="17"/>
  <c r="F217" i="17"/>
  <c r="F224" i="17" s="1"/>
  <c r="I224" i="17" s="1"/>
  <c r="H216" i="17"/>
  <c r="G216" i="17"/>
  <c r="D216" i="17"/>
  <c r="P215" i="17"/>
  <c r="J215" i="17"/>
  <c r="M215" i="17" s="1"/>
  <c r="F215" i="17"/>
  <c r="I215" i="17" s="1"/>
  <c r="P214" i="17"/>
  <c r="I214" i="17"/>
  <c r="F214" i="17"/>
  <c r="P213" i="17"/>
  <c r="J213" i="17"/>
  <c r="F213" i="17"/>
  <c r="I213" i="17" s="1"/>
  <c r="P212" i="17"/>
  <c r="F212" i="17"/>
  <c r="I212" i="17" s="1"/>
  <c r="P211" i="17"/>
  <c r="J211" i="17"/>
  <c r="M211" i="17" s="1"/>
  <c r="F211" i="17"/>
  <c r="I211" i="17" s="1"/>
  <c r="P210" i="17"/>
  <c r="F210" i="17"/>
  <c r="I210" i="17" s="1"/>
  <c r="G477" i="13"/>
  <c r="J477" i="13" s="1"/>
  <c r="F477" i="13"/>
  <c r="I477" i="13" s="1"/>
  <c r="G476" i="13"/>
  <c r="G478" i="13" s="1"/>
  <c r="F476" i="13"/>
  <c r="F478" i="13" s="1"/>
  <c r="G474" i="13"/>
  <c r="J474" i="13" s="1"/>
  <c r="F474" i="13"/>
  <c r="I474" i="13" s="1"/>
  <c r="G473" i="13"/>
  <c r="J473" i="13" s="1"/>
  <c r="F473" i="13"/>
  <c r="I473" i="13" s="1"/>
  <c r="G472" i="13"/>
  <c r="G475" i="13" s="1"/>
  <c r="F472" i="13"/>
  <c r="F475" i="13" s="1"/>
  <c r="G470" i="13"/>
  <c r="J470" i="13" s="1"/>
  <c r="F470" i="13"/>
  <c r="I470" i="13" s="1"/>
  <c r="G469" i="13"/>
  <c r="J469" i="13" s="1"/>
  <c r="F469" i="13"/>
  <c r="I469" i="13" s="1"/>
  <c r="G468" i="13"/>
  <c r="J468" i="13" s="1"/>
  <c r="F468" i="13"/>
  <c r="I468" i="13" s="1"/>
  <c r="F467" i="13"/>
  <c r="F471" i="13" s="1"/>
  <c r="G465" i="13"/>
  <c r="J465" i="13" s="1"/>
  <c r="F465" i="13"/>
  <c r="I465" i="13" s="1"/>
  <c r="G464" i="13"/>
  <c r="G466" i="13" s="1"/>
  <c r="F464" i="13"/>
  <c r="F466" i="13" s="1"/>
  <c r="G462" i="13"/>
  <c r="J462" i="13" s="1"/>
  <c r="F462" i="13"/>
  <c r="I462" i="13" s="1"/>
  <c r="G461" i="13"/>
  <c r="J461" i="13" s="1"/>
  <c r="F461" i="13"/>
  <c r="I461" i="13" s="1"/>
  <c r="G460" i="13"/>
  <c r="J460" i="13" s="1"/>
  <c r="F460" i="13"/>
  <c r="I460" i="13" s="1"/>
  <c r="G459" i="13"/>
  <c r="G463" i="13" s="1"/>
  <c r="F459" i="13"/>
  <c r="F463" i="13" s="1"/>
  <c r="G457" i="13"/>
  <c r="J457" i="13" s="1"/>
  <c r="F457" i="13"/>
  <c r="I457" i="13" s="1"/>
  <c r="G456" i="13"/>
  <c r="J456" i="13" s="1"/>
  <c r="F456" i="13"/>
  <c r="I456" i="13" s="1"/>
  <c r="G455" i="13"/>
  <c r="G458" i="13" s="1"/>
  <c r="F455" i="13"/>
  <c r="F458" i="13" s="1"/>
  <c r="F479" i="13" s="1"/>
  <c r="F480" i="13" s="1"/>
  <c r="G452" i="13"/>
  <c r="J452" i="13" s="1"/>
  <c r="F452" i="13"/>
  <c r="I452" i="13" s="1"/>
  <c r="G449" i="13"/>
  <c r="J449" i="13" s="1"/>
  <c r="F449" i="13"/>
  <c r="I449" i="13" s="1"/>
  <c r="G448" i="13"/>
  <c r="J448" i="13" s="1"/>
  <c r="F448" i="13"/>
  <c r="I448" i="13" s="1"/>
  <c r="G447" i="13"/>
  <c r="J447" i="13" s="1"/>
  <c r="F447" i="13"/>
  <c r="I447" i="13" s="1"/>
  <c r="G446" i="13"/>
  <c r="J446" i="13" s="1"/>
  <c r="F446" i="13"/>
  <c r="I446" i="13" s="1"/>
  <c r="G445" i="13"/>
  <c r="J445" i="13" s="1"/>
  <c r="F445" i="13"/>
  <c r="I445" i="13" s="1"/>
  <c r="G444" i="13"/>
  <c r="G450" i="13" s="1"/>
  <c r="F444" i="13"/>
  <c r="F450" i="13" s="1"/>
  <c r="G442" i="13"/>
  <c r="J442" i="13" s="1"/>
  <c r="F442" i="13"/>
  <c r="I442" i="13" s="1"/>
  <c r="G441" i="13"/>
  <c r="J441" i="13" s="1"/>
  <c r="F441" i="13"/>
  <c r="I441" i="13" s="1"/>
  <c r="G440" i="13"/>
  <c r="G443" i="13" s="1"/>
  <c r="G451" i="13" s="1"/>
  <c r="F440" i="13"/>
  <c r="F443" i="13" s="1"/>
  <c r="F451" i="13" s="1"/>
  <c r="G437" i="13"/>
  <c r="J437" i="13" s="1"/>
  <c r="F437" i="13"/>
  <c r="I437" i="13" s="1"/>
  <c r="F436" i="13"/>
  <c r="I436" i="13" s="1"/>
  <c r="G435" i="13"/>
  <c r="J435" i="13" s="1"/>
  <c r="F435" i="13"/>
  <c r="I435" i="13" s="1"/>
  <c r="G434" i="13"/>
  <c r="J434" i="13" s="1"/>
  <c r="F434" i="13"/>
  <c r="I434" i="13" s="1"/>
  <c r="G433" i="13"/>
  <c r="J433" i="13" s="1"/>
  <c r="F433" i="13"/>
  <c r="I433" i="13" s="1"/>
  <c r="G432" i="13"/>
  <c r="J432" i="13" s="1"/>
  <c r="F432" i="13"/>
  <c r="I432" i="13" s="1"/>
  <c r="G431" i="13"/>
  <c r="F431" i="13"/>
  <c r="F438" i="13" s="1"/>
  <c r="G429" i="13"/>
  <c r="J429" i="13" s="1"/>
  <c r="F429" i="13"/>
  <c r="I429" i="13" s="1"/>
  <c r="G428" i="13"/>
  <c r="J428" i="13" s="1"/>
  <c r="F428" i="13"/>
  <c r="I428" i="13" s="1"/>
  <c r="G427" i="13"/>
  <c r="J427" i="13" s="1"/>
  <c r="F427" i="13"/>
  <c r="I427" i="13" s="1"/>
  <c r="F426" i="13"/>
  <c r="I426" i="13" s="1"/>
  <c r="G425" i="13"/>
  <c r="J425" i="13" s="1"/>
  <c r="F425" i="13"/>
  <c r="I425" i="13" s="1"/>
  <c r="G424" i="13"/>
  <c r="J424" i="13" s="1"/>
  <c r="F424" i="13"/>
  <c r="I424" i="13" s="1"/>
  <c r="G423" i="13"/>
  <c r="J423" i="13" s="1"/>
  <c r="F423" i="13"/>
  <c r="I423" i="13" s="1"/>
  <c r="G422" i="13"/>
  <c r="J422" i="13" s="1"/>
  <c r="F422" i="13"/>
  <c r="I422" i="13" s="1"/>
  <c r="G421" i="13"/>
  <c r="J421" i="13" s="1"/>
  <c r="F421" i="13"/>
  <c r="I421" i="13" s="1"/>
  <c r="G420" i="13"/>
  <c r="F420" i="13"/>
  <c r="F430" i="13" s="1"/>
  <c r="F439" i="13" s="1"/>
  <c r="F453" i="13" s="1"/>
  <c r="F454" i="13" s="1"/>
  <c r="G416" i="13"/>
  <c r="J416" i="13" s="1"/>
  <c r="F416" i="13"/>
  <c r="I416" i="13" s="1"/>
  <c r="G415" i="13"/>
  <c r="J415" i="13" s="1"/>
  <c r="F415" i="13"/>
  <c r="I415" i="13" s="1"/>
  <c r="G414" i="13"/>
  <c r="J414" i="13" s="1"/>
  <c r="F414" i="13"/>
  <c r="I414" i="13" s="1"/>
  <c r="G413" i="13"/>
  <c r="J413" i="13" s="1"/>
  <c r="F413" i="13"/>
  <c r="I413" i="13" s="1"/>
  <c r="G412" i="13"/>
  <c r="J412" i="13" s="1"/>
  <c r="F412" i="13"/>
  <c r="I412" i="13" s="1"/>
  <c r="G411" i="13"/>
  <c r="J411" i="13" s="1"/>
  <c r="F411" i="13"/>
  <c r="I411" i="13" s="1"/>
  <c r="G410" i="13"/>
  <c r="J410" i="13" s="1"/>
  <c r="F410" i="13"/>
  <c r="I410" i="13" s="1"/>
  <c r="F409" i="13"/>
  <c r="I409" i="13" s="1"/>
  <c r="G408" i="13"/>
  <c r="F408" i="13"/>
  <c r="F417" i="13" s="1"/>
  <c r="F406" i="13"/>
  <c r="I406" i="13" s="1"/>
  <c r="G405" i="13"/>
  <c r="J405" i="13" s="1"/>
  <c r="F405" i="13"/>
  <c r="I405" i="13" s="1"/>
  <c r="G404" i="13"/>
  <c r="J404" i="13" s="1"/>
  <c r="F404" i="13"/>
  <c r="I404" i="13" s="1"/>
  <c r="G403" i="13"/>
  <c r="F403" i="13"/>
  <c r="F407" i="13" s="1"/>
  <c r="F418" i="13" s="1"/>
  <c r="G400" i="13"/>
  <c r="J400" i="13" s="1"/>
  <c r="F400" i="13"/>
  <c r="I400" i="13" s="1"/>
  <c r="G399" i="13"/>
  <c r="J399" i="13" s="1"/>
  <c r="F399" i="13"/>
  <c r="I399" i="13" s="1"/>
  <c r="G398" i="13"/>
  <c r="G401" i="13" s="1"/>
  <c r="F398" i="13"/>
  <c r="F401" i="13" s="1"/>
  <c r="G396" i="13"/>
  <c r="J396" i="13" s="1"/>
  <c r="F396" i="13"/>
  <c r="I396" i="13" s="1"/>
  <c r="G395" i="13"/>
  <c r="J395" i="13" s="1"/>
  <c r="F395" i="13"/>
  <c r="I395" i="13" s="1"/>
  <c r="G394" i="13"/>
  <c r="J394" i="13" s="1"/>
  <c r="F394" i="13"/>
  <c r="I394" i="13" s="1"/>
  <c r="G393" i="13"/>
  <c r="J393" i="13" s="1"/>
  <c r="F393" i="13"/>
  <c r="I393" i="13" s="1"/>
  <c r="G392" i="13"/>
  <c r="J392" i="13" s="1"/>
  <c r="F392" i="13"/>
  <c r="I392" i="13" s="1"/>
  <c r="G391" i="13"/>
  <c r="J391" i="13" s="1"/>
  <c r="F391" i="13"/>
  <c r="I391" i="13" s="1"/>
  <c r="G390" i="13"/>
  <c r="G397" i="13" s="1"/>
  <c r="F390" i="13"/>
  <c r="F397" i="13" s="1"/>
  <c r="G388" i="13"/>
  <c r="J388" i="13" s="1"/>
  <c r="F388" i="13"/>
  <c r="I388" i="13" s="1"/>
  <c r="G387" i="13"/>
  <c r="J387" i="13" s="1"/>
  <c r="F387" i="13"/>
  <c r="I387" i="13" s="1"/>
  <c r="G386" i="13"/>
  <c r="J386" i="13" s="1"/>
  <c r="F386" i="13"/>
  <c r="I386" i="13" s="1"/>
  <c r="G385" i="13"/>
  <c r="J385" i="13" s="1"/>
  <c r="F385" i="13"/>
  <c r="I385" i="13" s="1"/>
  <c r="G384" i="13"/>
  <c r="J384" i="13" s="1"/>
  <c r="F384" i="13"/>
  <c r="I384" i="13" s="1"/>
  <c r="G383" i="13"/>
  <c r="J383" i="13" s="1"/>
  <c r="F383" i="13"/>
  <c r="I383" i="13" s="1"/>
  <c r="G382" i="13"/>
  <c r="G389" i="13" s="1"/>
  <c r="F382" i="13"/>
  <c r="F389" i="13" s="1"/>
  <c r="G380" i="13"/>
  <c r="J380" i="13" s="1"/>
  <c r="F380" i="13"/>
  <c r="I380" i="13" s="1"/>
  <c r="G379" i="13"/>
  <c r="J379" i="13" s="1"/>
  <c r="F379" i="13"/>
  <c r="I379" i="13" s="1"/>
  <c r="G378" i="13"/>
  <c r="J378" i="13" s="1"/>
  <c r="F378" i="13"/>
  <c r="I378" i="13" s="1"/>
  <c r="G377" i="13"/>
  <c r="J377" i="13" s="1"/>
  <c r="F377" i="13"/>
  <c r="I377" i="13" s="1"/>
  <c r="F376" i="13"/>
  <c r="I376" i="13" s="1"/>
  <c r="G375" i="13"/>
  <c r="J375" i="13" s="1"/>
  <c r="F375" i="13"/>
  <c r="I375" i="13" s="1"/>
  <c r="G374" i="13"/>
  <c r="F374" i="13"/>
  <c r="F381" i="13" s="1"/>
  <c r="G372" i="13"/>
  <c r="J372" i="13" s="1"/>
  <c r="F372" i="13"/>
  <c r="I372" i="13" s="1"/>
  <c r="F371" i="13"/>
  <c r="I371" i="13" s="1"/>
  <c r="G370" i="13"/>
  <c r="J370" i="13" s="1"/>
  <c r="F370" i="13"/>
  <c r="I370" i="13" s="1"/>
  <c r="G369" i="13"/>
  <c r="F369" i="13"/>
  <c r="F373" i="13" s="1"/>
  <c r="F402" i="13" s="1"/>
  <c r="F419" i="13" s="1"/>
  <c r="F481" i="13" s="1"/>
  <c r="I470" i="1"/>
  <c r="F478" i="1"/>
  <c r="F479" i="1" s="1"/>
  <c r="M477" i="1"/>
  <c r="I477" i="1"/>
  <c r="H477" i="1"/>
  <c r="E477" i="1"/>
  <c r="O476" i="1"/>
  <c r="M476" i="1"/>
  <c r="L476" i="1"/>
  <c r="K476" i="1"/>
  <c r="N476" i="1" s="1"/>
  <c r="G476" i="1"/>
  <c r="J476" i="1" s="1"/>
  <c r="M475" i="1"/>
  <c r="L475" i="1"/>
  <c r="J475" i="1"/>
  <c r="G475" i="1"/>
  <c r="I474" i="1"/>
  <c r="H474" i="1"/>
  <c r="E474" i="1"/>
  <c r="M473" i="1"/>
  <c r="L473" i="1"/>
  <c r="K473" i="1"/>
  <c r="N473" i="1" s="1"/>
  <c r="G473" i="1"/>
  <c r="J473" i="1" s="1"/>
  <c r="M472" i="1"/>
  <c r="L472" i="1"/>
  <c r="K472" i="1" s="1"/>
  <c r="K474" i="1" s="1"/>
  <c r="N474" i="1" s="1"/>
  <c r="J472" i="1"/>
  <c r="G472" i="1"/>
  <c r="M471" i="1"/>
  <c r="L471" i="1"/>
  <c r="K471" i="1"/>
  <c r="N471" i="1" s="1"/>
  <c r="G471" i="1"/>
  <c r="J471" i="1" s="1"/>
  <c r="E470" i="1"/>
  <c r="M469" i="1"/>
  <c r="O469" i="1" s="1"/>
  <c r="L469" i="1"/>
  <c r="K469" i="1" s="1"/>
  <c r="N469" i="1" s="1"/>
  <c r="J469" i="1"/>
  <c r="G469" i="1"/>
  <c r="O468" i="1"/>
  <c r="M468" i="1"/>
  <c r="L468" i="1"/>
  <c r="K468" i="1"/>
  <c r="N468" i="1" s="1"/>
  <c r="G468" i="1"/>
  <c r="J468" i="1" s="1"/>
  <c r="M467" i="1"/>
  <c r="O467" i="1" s="1"/>
  <c r="L467" i="1"/>
  <c r="K467" i="1" s="1"/>
  <c r="N467" i="1" s="1"/>
  <c r="J467" i="1"/>
  <c r="G467" i="1"/>
  <c r="M466" i="1"/>
  <c r="L466" i="1"/>
  <c r="K466" i="1"/>
  <c r="N466" i="1" s="1"/>
  <c r="G466" i="1"/>
  <c r="J466" i="1" s="1"/>
  <c r="L465" i="1"/>
  <c r="G467" i="13" s="1"/>
  <c r="G471" i="13" s="1"/>
  <c r="G465" i="1"/>
  <c r="I464" i="1"/>
  <c r="H464" i="1"/>
  <c r="E464" i="1"/>
  <c r="M463" i="1"/>
  <c r="L463" i="1"/>
  <c r="K463" i="1"/>
  <c r="N463" i="1" s="1"/>
  <c r="G463" i="1"/>
  <c r="J463" i="1" s="1"/>
  <c r="M462" i="1"/>
  <c r="L462" i="1"/>
  <c r="J462" i="1"/>
  <c r="G462" i="1"/>
  <c r="M461" i="1"/>
  <c r="I461" i="1"/>
  <c r="H461" i="1"/>
  <c r="E461" i="1"/>
  <c r="O460" i="1"/>
  <c r="M460" i="1"/>
  <c r="L460" i="1"/>
  <c r="K460" i="1"/>
  <c r="N460" i="1" s="1"/>
  <c r="G460" i="1"/>
  <c r="J460" i="1" s="1"/>
  <c r="M459" i="1"/>
  <c r="O459" i="1" s="1"/>
  <c r="L459" i="1"/>
  <c r="K459" i="1" s="1"/>
  <c r="N459" i="1" s="1"/>
  <c r="J459" i="1"/>
  <c r="G459" i="1"/>
  <c r="O458" i="1"/>
  <c r="M458" i="1"/>
  <c r="L458" i="1"/>
  <c r="K458" i="1"/>
  <c r="N458" i="1" s="1"/>
  <c r="G458" i="1"/>
  <c r="J458" i="1" s="1"/>
  <c r="M457" i="1"/>
  <c r="L457" i="1"/>
  <c r="J457" i="1"/>
  <c r="G457" i="1"/>
  <c r="I456" i="1"/>
  <c r="H456" i="1"/>
  <c r="E456" i="1"/>
  <c r="M455" i="1"/>
  <c r="L455" i="1"/>
  <c r="K455" i="1"/>
  <c r="N455" i="1" s="1"/>
  <c r="G455" i="1"/>
  <c r="J455" i="1" s="1"/>
  <c r="M454" i="1"/>
  <c r="L454" i="1"/>
  <c r="K454" i="1" s="1"/>
  <c r="N454" i="1" s="1"/>
  <c r="J454" i="1"/>
  <c r="G454" i="1"/>
  <c r="M453" i="1"/>
  <c r="L453" i="1"/>
  <c r="K453" i="1"/>
  <c r="N453" i="1" s="1"/>
  <c r="G453" i="1"/>
  <c r="J453" i="1" s="1"/>
  <c r="F451" i="1"/>
  <c r="F452" i="1" s="1"/>
  <c r="M450" i="1"/>
  <c r="O450" i="1" s="1"/>
  <c r="L450" i="1"/>
  <c r="K450" i="1"/>
  <c r="N450" i="1" s="1"/>
  <c r="G450" i="1"/>
  <c r="J450" i="1" s="1"/>
  <c r="L448" i="1"/>
  <c r="I448" i="1"/>
  <c r="H448" i="1"/>
  <c r="E448" i="1"/>
  <c r="E449" i="1" s="1"/>
  <c r="M447" i="1"/>
  <c r="O447" i="1" s="1"/>
  <c r="L447" i="1"/>
  <c r="K447" i="1" s="1"/>
  <c r="N447" i="1" s="1"/>
  <c r="J447" i="1"/>
  <c r="G447" i="1"/>
  <c r="O446" i="1"/>
  <c r="M446" i="1"/>
  <c r="L446" i="1"/>
  <c r="K446" i="1"/>
  <c r="N446" i="1" s="1"/>
  <c r="G446" i="1"/>
  <c r="J446" i="1" s="1"/>
  <c r="M445" i="1"/>
  <c r="O445" i="1" s="1"/>
  <c r="L445" i="1"/>
  <c r="K445" i="1" s="1"/>
  <c r="N445" i="1" s="1"/>
  <c r="J445" i="1"/>
  <c r="G445" i="1"/>
  <c r="O444" i="1"/>
  <c r="M444" i="1"/>
  <c r="L444" i="1"/>
  <c r="K444" i="1"/>
  <c r="N444" i="1" s="1"/>
  <c r="G444" i="1"/>
  <c r="J444" i="1" s="1"/>
  <c r="M443" i="1"/>
  <c r="O443" i="1" s="1"/>
  <c r="L443" i="1"/>
  <c r="K443" i="1" s="1"/>
  <c r="N443" i="1" s="1"/>
  <c r="J443" i="1"/>
  <c r="G443" i="1"/>
  <c r="O442" i="1"/>
  <c r="M442" i="1"/>
  <c r="M448" i="1" s="1"/>
  <c r="L442" i="1"/>
  <c r="K442" i="1"/>
  <c r="G442" i="1"/>
  <c r="L441" i="1"/>
  <c r="L449" i="1" s="1"/>
  <c r="I441" i="1"/>
  <c r="I449" i="1" s="1"/>
  <c r="H441" i="1"/>
  <c r="H449" i="1" s="1"/>
  <c r="E441" i="1"/>
  <c r="M440" i="1"/>
  <c r="O440" i="1" s="1"/>
  <c r="L440" i="1"/>
  <c r="K440" i="1" s="1"/>
  <c r="N440" i="1" s="1"/>
  <c r="J440" i="1"/>
  <c r="G440" i="1"/>
  <c r="O439" i="1"/>
  <c r="M439" i="1"/>
  <c r="L439" i="1"/>
  <c r="K439" i="1"/>
  <c r="N439" i="1" s="1"/>
  <c r="G439" i="1"/>
  <c r="J439" i="1" s="1"/>
  <c r="M438" i="1"/>
  <c r="M441" i="1" s="1"/>
  <c r="L438" i="1"/>
  <c r="K438" i="1" s="1"/>
  <c r="K441" i="1" s="1"/>
  <c r="J438" i="1"/>
  <c r="G438" i="1"/>
  <c r="F437" i="1"/>
  <c r="I436" i="1"/>
  <c r="H436" i="1"/>
  <c r="E436" i="1"/>
  <c r="M435" i="1"/>
  <c r="L435" i="1"/>
  <c r="K435" i="1" s="1"/>
  <c r="N435" i="1" s="1"/>
  <c r="G435" i="1"/>
  <c r="J435" i="1" s="1"/>
  <c r="M434" i="1"/>
  <c r="L434" i="1"/>
  <c r="J434" i="1"/>
  <c r="M433" i="1"/>
  <c r="L433" i="1"/>
  <c r="K433" i="1"/>
  <c r="N433" i="1" s="1"/>
  <c r="G433" i="1"/>
  <c r="J433" i="1" s="1"/>
  <c r="M432" i="1"/>
  <c r="L432" i="1"/>
  <c r="K432" i="1" s="1"/>
  <c r="N432" i="1" s="1"/>
  <c r="J432" i="1"/>
  <c r="G432" i="1"/>
  <c r="M431" i="1"/>
  <c r="O431" i="1" s="1"/>
  <c r="L431" i="1"/>
  <c r="K431" i="1"/>
  <c r="N431" i="1" s="1"/>
  <c r="G431" i="1"/>
  <c r="J431" i="1" s="1"/>
  <c r="M430" i="1"/>
  <c r="L430" i="1"/>
  <c r="K430" i="1" s="1"/>
  <c r="N430" i="1" s="1"/>
  <c r="J430" i="1"/>
  <c r="G430" i="1"/>
  <c r="M429" i="1"/>
  <c r="L429" i="1"/>
  <c r="K429" i="1"/>
  <c r="G429" i="1"/>
  <c r="E428" i="1"/>
  <c r="L427" i="1"/>
  <c r="M427" i="1"/>
  <c r="G427" i="1"/>
  <c r="J427" i="1" s="1"/>
  <c r="O426" i="1"/>
  <c r="M426" i="1"/>
  <c r="L426" i="1"/>
  <c r="K426" i="1"/>
  <c r="N426" i="1" s="1"/>
  <c r="G426" i="1"/>
  <c r="J426" i="1" s="1"/>
  <c r="M425" i="1"/>
  <c r="O425" i="1" s="1"/>
  <c r="L425" i="1"/>
  <c r="K425" i="1" s="1"/>
  <c r="N425" i="1" s="1"/>
  <c r="J425" i="1"/>
  <c r="G425" i="1"/>
  <c r="I428" i="1"/>
  <c r="L424" i="1"/>
  <c r="G426" i="13" s="1"/>
  <c r="J426" i="13" s="1"/>
  <c r="G424" i="1"/>
  <c r="J424" i="1" s="1"/>
  <c r="M423" i="1"/>
  <c r="L423" i="1"/>
  <c r="J423" i="1"/>
  <c r="G423" i="1"/>
  <c r="M422" i="1"/>
  <c r="O422" i="1" s="1"/>
  <c r="L422" i="1"/>
  <c r="K422" i="1"/>
  <c r="N422" i="1" s="1"/>
  <c r="G422" i="1"/>
  <c r="J422" i="1" s="1"/>
  <c r="M421" i="1"/>
  <c r="L421" i="1"/>
  <c r="K421" i="1" s="1"/>
  <c r="N421" i="1" s="1"/>
  <c r="J421" i="1"/>
  <c r="G421" i="1"/>
  <c r="M420" i="1"/>
  <c r="O420" i="1" s="1"/>
  <c r="L420" i="1"/>
  <c r="K420" i="1"/>
  <c r="N420" i="1" s="1"/>
  <c r="G420" i="1"/>
  <c r="J420" i="1" s="1"/>
  <c r="M419" i="1"/>
  <c r="L419" i="1"/>
  <c r="K419" i="1" s="1"/>
  <c r="N419" i="1" s="1"/>
  <c r="J419" i="1"/>
  <c r="G419" i="1"/>
  <c r="M418" i="1"/>
  <c r="L418" i="1"/>
  <c r="K418" i="1"/>
  <c r="G418" i="1"/>
  <c r="F416" i="1"/>
  <c r="I415" i="1"/>
  <c r="H415" i="1"/>
  <c r="E415" i="1"/>
  <c r="E416" i="1" s="1"/>
  <c r="C64" i="15" s="1"/>
  <c r="M414" i="1"/>
  <c r="L414" i="1"/>
  <c r="K414" i="1" s="1"/>
  <c r="N414" i="1" s="1"/>
  <c r="J414" i="1"/>
  <c r="G414" i="1"/>
  <c r="M413" i="1"/>
  <c r="O413" i="1" s="1"/>
  <c r="L413" i="1"/>
  <c r="K413" i="1"/>
  <c r="N413" i="1" s="1"/>
  <c r="G413" i="1"/>
  <c r="J413" i="1" s="1"/>
  <c r="M412" i="1"/>
  <c r="L412" i="1"/>
  <c r="K412" i="1" s="1"/>
  <c r="N412" i="1" s="1"/>
  <c r="J412" i="1"/>
  <c r="G412" i="1"/>
  <c r="M411" i="1"/>
  <c r="O411" i="1" s="1"/>
  <c r="L411" i="1"/>
  <c r="K411" i="1"/>
  <c r="N411" i="1" s="1"/>
  <c r="G411" i="1"/>
  <c r="J411" i="1" s="1"/>
  <c r="M410" i="1"/>
  <c r="L410" i="1"/>
  <c r="K410" i="1" s="1"/>
  <c r="N410" i="1" s="1"/>
  <c r="J410" i="1"/>
  <c r="G410" i="1"/>
  <c r="M409" i="1"/>
  <c r="O409" i="1" s="1"/>
  <c r="L409" i="1"/>
  <c r="K409" i="1"/>
  <c r="N409" i="1" s="1"/>
  <c r="G409" i="1"/>
  <c r="J409" i="1" s="1"/>
  <c r="M408" i="1"/>
  <c r="L408" i="1"/>
  <c r="K408" i="1" s="1"/>
  <c r="N408" i="1" s="1"/>
  <c r="J408" i="1"/>
  <c r="G408" i="1"/>
  <c r="M407" i="1"/>
  <c r="L407" i="1"/>
  <c r="G409" i="13" s="1"/>
  <c r="J409" i="13" s="1"/>
  <c r="K407" i="1"/>
  <c r="N407" i="1" s="1"/>
  <c r="G407" i="1"/>
  <c r="J407" i="1" s="1"/>
  <c r="M406" i="1"/>
  <c r="L406" i="1"/>
  <c r="K406" i="1" s="1"/>
  <c r="J406" i="1"/>
  <c r="G406" i="1"/>
  <c r="G415" i="1" s="1"/>
  <c r="I405" i="1"/>
  <c r="H405" i="1"/>
  <c r="E405" i="1"/>
  <c r="M404" i="1"/>
  <c r="L404" i="1"/>
  <c r="G406" i="13" s="1"/>
  <c r="J406" i="13" s="1"/>
  <c r="G404" i="1"/>
  <c r="J404" i="1" s="1"/>
  <c r="M403" i="1"/>
  <c r="O403" i="1" s="1"/>
  <c r="L403" i="1"/>
  <c r="K403" i="1" s="1"/>
  <c r="N403" i="1" s="1"/>
  <c r="J403" i="1"/>
  <c r="G403" i="1"/>
  <c r="O402" i="1"/>
  <c r="M402" i="1"/>
  <c r="L402" i="1"/>
  <c r="K402" i="1"/>
  <c r="N402" i="1" s="1"/>
  <c r="G402" i="1"/>
  <c r="J402" i="1" s="1"/>
  <c r="M401" i="1"/>
  <c r="L401" i="1"/>
  <c r="K401" i="1"/>
  <c r="G401" i="1"/>
  <c r="J401" i="1" s="1"/>
  <c r="I399" i="1"/>
  <c r="H399" i="1"/>
  <c r="E399" i="1"/>
  <c r="M398" i="1"/>
  <c r="O398" i="1" s="1"/>
  <c r="L398" i="1"/>
  <c r="K398" i="1"/>
  <c r="N398" i="1" s="1"/>
  <c r="G398" i="1"/>
  <c r="J398" i="1" s="1"/>
  <c r="M397" i="1"/>
  <c r="O397" i="1" s="1"/>
  <c r="L397" i="1"/>
  <c r="K397" i="1" s="1"/>
  <c r="N397" i="1" s="1"/>
  <c r="J397" i="1"/>
  <c r="G397" i="1"/>
  <c r="M396" i="1"/>
  <c r="M399" i="1" s="1"/>
  <c r="L396" i="1"/>
  <c r="L399" i="1" s="1"/>
  <c r="K396" i="1"/>
  <c r="N396" i="1" s="1"/>
  <c r="G396" i="1"/>
  <c r="J396" i="1" s="1"/>
  <c r="I395" i="1"/>
  <c r="H395" i="1"/>
  <c r="F395" i="1"/>
  <c r="F400" i="1" s="1"/>
  <c r="F417" i="1" s="1"/>
  <c r="F480" i="1" s="1"/>
  <c r="E395" i="1"/>
  <c r="M394" i="1"/>
  <c r="O394" i="1" s="1"/>
  <c r="L394" i="1"/>
  <c r="K394" i="1"/>
  <c r="N394" i="1" s="1"/>
  <c r="G394" i="1"/>
  <c r="J394" i="1" s="1"/>
  <c r="M393" i="1"/>
  <c r="O393" i="1" s="1"/>
  <c r="L393" i="1"/>
  <c r="K393" i="1" s="1"/>
  <c r="N393" i="1" s="1"/>
  <c r="J393" i="1"/>
  <c r="G393" i="1"/>
  <c r="M392" i="1"/>
  <c r="L392" i="1"/>
  <c r="K392" i="1"/>
  <c r="N392" i="1" s="1"/>
  <c r="G392" i="1"/>
  <c r="J392" i="1" s="1"/>
  <c r="M391" i="1"/>
  <c r="O391" i="1" s="1"/>
  <c r="L391" i="1"/>
  <c r="K391" i="1" s="1"/>
  <c r="N391" i="1" s="1"/>
  <c r="J391" i="1"/>
  <c r="G391" i="1"/>
  <c r="M390" i="1"/>
  <c r="O390" i="1" s="1"/>
  <c r="L390" i="1"/>
  <c r="K390" i="1"/>
  <c r="N390" i="1" s="1"/>
  <c r="G390" i="1"/>
  <c r="J390" i="1" s="1"/>
  <c r="M389" i="1"/>
  <c r="O389" i="1" s="1"/>
  <c r="L389" i="1"/>
  <c r="K389" i="1" s="1"/>
  <c r="N389" i="1" s="1"/>
  <c r="J389" i="1"/>
  <c r="G389" i="1"/>
  <c r="M388" i="1"/>
  <c r="M395" i="1" s="1"/>
  <c r="L388" i="1"/>
  <c r="K388" i="1"/>
  <c r="K395" i="1" s="1"/>
  <c r="G388" i="1"/>
  <c r="G395" i="1" s="1"/>
  <c r="J395" i="1" s="1"/>
  <c r="I387" i="1"/>
  <c r="H387" i="1"/>
  <c r="E387" i="1"/>
  <c r="M386" i="1"/>
  <c r="L386" i="1"/>
  <c r="K386" i="1" s="1"/>
  <c r="N386" i="1" s="1"/>
  <c r="J386" i="1"/>
  <c r="G386" i="1"/>
  <c r="M385" i="1"/>
  <c r="O385" i="1" s="1"/>
  <c r="L385" i="1"/>
  <c r="K385" i="1"/>
  <c r="N385" i="1" s="1"/>
  <c r="G385" i="1"/>
  <c r="J385" i="1" s="1"/>
  <c r="M384" i="1"/>
  <c r="L384" i="1"/>
  <c r="K384" i="1" s="1"/>
  <c r="N384" i="1" s="1"/>
  <c r="J384" i="1"/>
  <c r="G384" i="1"/>
  <c r="M383" i="1"/>
  <c r="O383" i="1" s="1"/>
  <c r="L383" i="1"/>
  <c r="K383" i="1"/>
  <c r="N383" i="1" s="1"/>
  <c r="G383" i="1"/>
  <c r="J383" i="1" s="1"/>
  <c r="M382" i="1"/>
  <c r="L382" i="1"/>
  <c r="K382" i="1" s="1"/>
  <c r="N382" i="1" s="1"/>
  <c r="J382" i="1"/>
  <c r="G382" i="1"/>
  <c r="M381" i="1"/>
  <c r="O381" i="1" s="1"/>
  <c r="L381" i="1"/>
  <c r="K381" i="1"/>
  <c r="N381" i="1" s="1"/>
  <c r="G381" i="1"/>
  <c r="J381" i="1" s="1"/>
  <c r="M380" i="1"/>
  <c r="M387" i="1" s="1"/>
  <c r="L380" i="1"/>
  <c r="K380" i="1" s="1"/>
  <c r="J380" i="1"/>
  <c r="G380" i="1"/>
  <c r="G387" i="1" s="1"/>
  <c r="J387" i="1" s="1"/>
  <c r="I379" i="1"/>
  <c r="H379" i="1"/>
  <c r="E379" i="1"/>
  <c r="M378" i="1"/>
  <c r="O378" i="1" s="1"/>
  <c r="L378" i="1"/>
  <c r="K378" i="1"/>
  <c r="N378" i="1" s="1"/>
  <c r="G378" i="1"/>
  <c r="J378" i="1" s="1"/>
  <c r="M377" i="1"/>
  <c r="O377" i="1" s="1"/>
  <c r="L377" i="1"/>
  <c r="K377" i="1" s="1"/>
  <c r="N377" i="1" s="1"/>
  <c r="J377" i="1"/>
  <c r="G377" i="1"/>
  <c r="M376" i="1"/>
  <c r="O376" i="1" s="1"/>
  <c r="L376" i="1"/>
  <c r="K376" i="1"/>
  <c r="N376" i="1" s="1"/>
  <c r="G376" i="1"/>
  <c r="J376" i="1" s="1"/>
  <c r="M375" i="1"/>
  <c r="O375" i="1" s="1"/>
  <c r="L375" i="1"/>
  <c r="K375" i="1" s="1"/>
  <c r="N375" i="1" s="1"/>
  <c r="J375" i="1"/>
  <c r="G375" i="1"/>
  <c r="M374" i="1"/>
  <c r="L374" i="1"/>
  <c r="G374" i="1"/>
  <c r="J374" i="1" s="1"/>
  <c r="M373" i="1"/>
  <c r="O373" i="1" s="1"/>
  <c r="L373" i="1"/>
  <c r="K373" i="1" s="1"/>
  <c r="N373" i="1" s="1"/>
  <c r="J373" i="1"/>
  <c r="G373" i="1"/>
  <c r="M372" i="1"/>
  <c r="L372" i="1"/>
  <c r="L379" i="1" s="1"/>
  <c r="K372" i="1"/>
  <c r="N372" i="1" s="1"/>
  <c r="G372" i="1"/>
  <c r="J372" i="1" s="1"/>
  <c r="I371" i="1"/>
  <c r="I400" i="1" s="1"/>
  <c r="H371" i="1"/>
  <c r="E371" i="1"/>
  <c r="M370" i="1"/>
  <c r="L370" i="1"/>
  <c r="K370" i="1" s="1"/>
  <c r="N370" i="1" s="1"/>
  <c r="J370" i="1"/>
  <c r="G370" i="1"/>
  <c r="M369" i="1"/>
  <c r="L369" i="1"/>
  <c r="G369" i="1"/>
  <c r="J369" i="1" s="1"/>
  <c r="M368" i="1"/>
  <c r="L368" i="1"/>
  <c r="K368" i="1" s="1"/>
  <c r="N368" i="1" s="1"/>
  <c r="J368" i="1"/>
  <c r="G368" i="1"/>
  <c r="M367" i="1"/>
  <c r="L367" i="1"/>
  <c r="K367" i="1"/>
  <c r="G367" i="1"/>
  <c r="G371" i="1" s="1"/>
  <c r="L79" i="14"/>
  <c r="K79" i="14"/>
  <c r="O79" i="14" s="1"/>
  <c r="L78" i="14"/>
  <c r="K78" i="14" s="1"/>
  <c r="G78" i="14"/>
  <c r="C78" i="14"/>
  <c r="L77" i="14"/>
  <c r="K77" i="14" s="1"/>
  <c r="M77" i="14" s="1"/>
  <c r="G77" i="14"/>
  <c r="C77" i="14"/>
  <c r="L76" i="14"/>
  <c r="K76" i="14"/>
  <c r="O76" i="14" s="1"/>
  <c r="N76" i="14" s="1"/>
  <c r="G76" i="14"/>
  <c r="C76" i="14"/>
  <c r="L75" i="14"/>
  <c r="K75" i="14"/>
  <c r="O75" i="14" s="1"/>
  <c r="N75" i="14" s="1"/>
  <c r="G75" i="14"/>
  <c r="C75" i="14"/>
  <c r="L74" i="14"/>
  <c r="K74" i="14"/>
  <c r="O74" i="14" s="1"/>
  <c r="N74" i="14" s="1"/>
  <c r="G74" i="14"/>
  <c r="C74" i="14"/>
  <c r="L73" i="14"/>
  <c r="K73" i="14" s="1"/>
  <c r="O73" i="14" s="1"/>
  <c r="N73" i="14" s="1"/>
  <c r="G73" i="14"/>
  <c r="C73" i="14"/>
  <c r="L72" i="14"/>
  <c r="K72" i="14" s="1"/>
  <c r="G72" i="14"/>
  <c r="C72" i="14"/>
  <c r="L71" i="14"/>
  <c r="G71" i="14"/>
  <c r="C71" i="14"/>
  <c r="L70" i="14"/>
  <c r="K70" i="14" s="1"/>
  <c r="G70" i="14"/>
  <c r="C70" i="14"/>
  <c r="L69" i="14"/>
  <c r="K69" i="14" s="1"/>
  <c r="G69" i="14"/>
  <c r="C69" i="14"/>
  <c r="L68" i="14"/>
  <c r="K68" i="14" s="1"/>
  <c r="G68" i="14"/>
  <c r="C68" i="14"/>
  <c r="L67" i="14"/>
  <c r="K67" i="14" s="1"/>
  <c r="G67" i="14"/>
  <c r="C67" i="14"/>
  <c r="L66" i="14"/>
  <c r="K66" i="14" s="1"/>
  <c r="G66" i="14"/>
  <c r="L65" i="14"/>
  <c r="K65" i="14" s="1"/>
  <c r="G65" i="14"/>
  <c r="C65" i="14"/>
  <c r="L64" i="14"/>
  <c r="K64" i="14" s="1"/>
  <c r="G64" i="14"/>
  <c r="C64" i="14"/>
  <c r="L63" i="14"/>
  <c r="K63" i="14" s="1"/>
  <c r="G63" i="14"/>
  <c r="C63" i="14"/>
  <c r="D105" i="15" l="1"/>
  <c r="E105" i="15" s="1"/>
  <c r="E101" i="15"/>
  <c r="O716" i="1"/>
  <c r="H358" i="16"/>
  <c r="H416" i="16"/>
  <c r="H373" i="16"/>
  <c r="H442" i="16"/>
  <c r="Q291" i="17"/>
  <c r="H79" i="15"/>
  <c r="H82" i="15" s="1"/>
  <c r="H89" i="15" s="1"/>
  <c r="I537" i="13"/>
  <c r="I599" i="13" s="1"/>
  <c r="G537" i="13"/>
  <c r="G599" i="13" s="1"/>
  <c r="F79" i="15"/>
  <c r="F82" i="15" s="1"/>
  <c r="F89" i="15" s="1"/>
  <c r="J537" i="13"/>
  <c r="J599" i="13" s="1"/>
  <c r="I79" i="15"/>
  <c r="I82" i="15" s="1"/>
  <c r="I89" i="15" s="1"/>
  <c r="S40" i="14"/>
  <c r="T40" i="14" s="1"/>
  <c r="S44" i="14"/>
  <c r="T44" i="14" s="1"/>
  <c r="S41" i="14"/>
  <c r="T41" i="14" s="1"/>
  <c r="S45" i="14"/>
  <c r="T45" i="14" s="1"/>
  <c r="S38" i="14"/>
  <c r="T38" i="14" s="1"/>
  <c r="S42" i="14"/>
  <c r="T42" i="14" s="1"/>
  <c r="R46" i="14"/>
  <c r="P46" i="14"/>
  <c r="Q46" i="14"/>
  <c r="S46" i="14" s="1"/>
  <c r="S39" i="14"/>
  <c r="T39" i="14" s="1"/>
  <c r="S43" i="14"/>
  <c r="T43" i="14" s="1"/>
  <c r="M299" i="17"/>
  <c r="N299" i="17"/>
  <c r="J300" i="17"/>
  <c r="F337" i="17"/>
  <c r="I337" i="17" s="1"/>
  <c r="I336" i="17"/>
  <c r="J336" i="17"/>
  <c r="N336" i="17" s="1"/>
  <c r="M335" i="17"/>
  <c r="L337" i="17"/>
  <c r="Q337" i="17"/>
  <c r="M282" i="17"/>
  <c r="J291" i="17"/>
  <c r="M291" i="17" s="1"/>
  <c r="N282" i="17"/>
  <c r="N290" i="17"/>
  <c r="L598" i="1"/>
  <c r="K518" i="1"/>
  <c r="D79" i="15" s="1"/>
  <c r="N489" i="1"/>
  <c r="O489" i="1"/>
  <c r="K555" i="1"/>
  <c r="N546" i="1"/>
  <c r="O546" i="1"/>
  <c r="K597" i="1"/>
  <c r="D86" i="15" s="1"/>
  <c r="N596" i="1"/>
  <c r="N597" i="1" s="1"/>
  <c r="N582" i="1"/>
  <c r="O582" i="1"/>
  <c r="N595" i="1"/>
  <c r="O595" i="1"/>
  <c r="G597" i="1"/>
  <c r="J597" i="1" s="1"/>
  <c r="J596" i="1"/>
  <c r="N579" i="1"/>
  <c r="O579" i="1"/>
  <c r="J535" i="1"/>
  <c r="M535" i="1"/>
  <c r="O518" i="1"/>
  <c r="M569" i="1"/>
  <c r="O567" i="1"/>
  <c r="J555" i="1"/>
  <c r="G569" i="1"/>
  <c r="O596" i="1"/>
  <c r="O597" i="1" s="1"/>
  <c r="M597" i="1"/>
  <c r="N505" i="1"/>
  <c r="O505" i="1"/>
  <c r="J534" i="1"/>
  <c r="J533" i="1"/>
  <c r="N523" i="1"/>
  <c r="K534" i="1"/>
  <c r="O523" i="1"/>
  <c r="O533" i="1"/>
  <c r="L405" i="1"/>
  <c r="K404" i="1"/>
  <c r="N404" i="1" s="1"/>
  <c r="G407" i="13"/>
  <c r="N220" i="17"/>
  <c r="H225" i="17"/>
  <c r="H271" i="17" s="1"/>
  <c r="I217" i="17"/>
  <c r="P216" i="17"/>
  <c r="I416" i="1"/>
  <c r="G418" i="13"/>
  <c r="F64" i="15" s="1"/>
  <c r="G417" i="13"/>
  <c r="M379" i="1"/>
  <c r="K374" i="1"/>
  <c r="N374" i="1" s="1"/>
  <c r="G376" i="13"/>
  <c r="J376" i="13" s="1"/>
  <c r="M371" i="1"/>
  <c r="K369" i="1"/>
  <c r="N369" i="1" s="1"/>
  <c r="G371" i="13"/>
  <c r="J371" i="13" s="1"/>
  <c r="O369" i="1"/>
  <c r="M436" i="1"/>
  <c r="K434" i="1"/>
  <c r="N434" i="1" s="1"/>
  <c r="G436" i="13"/>
  <c r="J436" i="13" s="1"/>
  <c r="O434" i="1"/>
  <c r="G430" i="13"/>
  <c r="P269" i="17"/>
  <c r="P270" i="17" s="1"/>
  <c r="J244" i="17"/>
  <c r="M244" i="17" s="1"/>
  <c r="G479" i="13"/>
  <c r="G480" i="13" s="1"/>
  <c r="F70" i="15" s="1"/>
  <c r="F72" i="15" s="1"/>
  <c r="E478" i="1"/>
  <c r="E479" i="1" s="1"/>
  <c r="C70" i="15" s="1"/>
  <c r="C72" i="15" s="1"/>
  <c r="E437" i="1"/>
  <c r="E451" i="1" s="1"/>
  <c r="E452" i="1" s="1"/>
  <c r="C67" i="15" s="1"/>
  <c r="C69" i="15" s="1"/>
  <c r="E400" i="1"/>
  <c r="N395" i="1"/>
  <c r="E383" i="16"/>
  <c r="E445" i="16" s="1"/>
  <c r="H381" i="16"/>
  <c r="N215" i="17"/>
  <c r="M261" i="17"/>
  <c r="N261" i="17"/>
  <c r="M257" i="17"/>
  <c r="N257" i="17"/>
  <c r="Q257" i="17"/>
  <c r="Q261" i="17"/>
  <c r="M245" i="17"/>
  <c r="N245" i="17"/>
  <c r="N244" i="17"/>
  <c r="Q245" i="17"/>
  <c r="J247" i="17"/>
  <c r="M247" i="17" s="1"/>
  <c r="N247" i="17"/>
  <c r="N236" i="17"/>
  <c r="N240" i="17"/>
  <c r="N241" i="17"/>
  <c r="J238" i="17"/>
  <c r="M238" i="17" s="1"/>
  <c r="G225" i="17"/>
  <c r="M213" i="17"/>
  <c r="N213" i="17"/>
  <c r="Q213" i="17"/>
  <c r="P225" i="17"/>
  <c r="Q212" i="17"/>
  <c r="J212" i="17"/>
  <c r="M212" i="17" s="1"/>
  <c r="Q217" i="17"/>
  <c r="J217" i="17"/>
  <c r="Q221" i="17"/>
  <c r="J221" i="17"/>
  <c r="M221" i="17" s="1"/>
  <c r="N223" i="17"/>
  <c r="Q226" i="17"/>
  <c r="J226" i="17"/>
  <c r="N230" i="17"/>
  <c r="Q230" i="17"/>
  <c r="P271" i="17"/>
  <c r="D271" i="17"/>
  <c r="K216" i="17"/>
  <c r="Q210" i="17"/>
  <c r="J210" i="17"/>
  <c r="N211" i="17"/>
  <c r="N212" i="17"/>
  <c r="Q214" i="17"/>
  <c r="J214" i="17"/>
  <c r="M214" i="17" s="1"/>
  <c r="F216" i="17"/>
  <c r="L224" i="17"/>
  <c r="Q219" i="17"/>
  <c r="J219" i="17"/>
  <c r="M219" i="17" s="1"/>
  <c r="Q223" i="17"/>
  <c r="J223" i="17"/>
  <c r="M223" i="17" s="1"/>
  <c r="K224" i="17"/>
  <c r="G64" i="15" s="1"/>
  <c r="Q228" i="17"/>
  <c r="J228" i="17"/>
  <c r="M228" i="17" s="1"/>
  <c r="L229" i="17"/>
  <c r="Q231" i="17"/>
  <c r="J231" i="17"/>
  <c r="M231" i="17" s="1"/>
  <c r="I233" i="17"/>
  <c r="G271" i="17"/>
  <c r="Q248" i="17"/>
  <c r="J248" i="17"/>
  <c r="M248" i="17" s="1"/>
  <c r="L249" i="17"/>
  <c r="Q252" i="17"/>
  <c r="J252" i="17"/>
  <c r="M252" i="17" s="1"/>
  <c r="Q256" i="17"/>
  <c r="J256" i="17"/>
  <c r="M256" i="17" s="1"/>
  <c r="Q260" i="17"/>
  <c r="J260" i="17"/>
  <c r="M260" i="17" s="1"/>
  <c r="Q264" i="17"/>
  <c r="J264" i="17"/>
  <c r="M264" i="17" s="1"/>
  <c r="Q268" i="17"/>
  <c r="J268" i="17"/>
  <c r="M268" i="17" s="1"/>
  <c r="N217" i="17"/>
  <c r="K229" i="17"/>
  <c r="F269" i="17"/>
  <c r="J235" i="17"/>
  <c r="N235" i="17"/>
  <c r="Q235" i="17"/>
  <c r="J237" i="17"/>
  <c r="M237" i="17" s="1"/>
  <c r="J239" i="17"/>
  <c r="J243" i="17"/>
  <c r="M243" i="17" s="1"/>
  <c r="Q246" i="17"/>
  <c r="J246" i="17"/>
  <c r="M246" i="17" s="1"/>
  <c r="N248" i="17"/>
  <c r="Q250" i="17"/>
  <c r="J250" i="17"/>
  <c r="M250" i="17" s="1"/>
  <c r="N252" i="17"/>
  <c r="Q254" i="17"/>
  <c r="J254" i="17"/>
  <c r="M254" i="17" s="1"/>
  <c r="Q258" i="17"/>
  <c r="J258" i="17"/>
  <c r="M258" i="17" s="1"/>
  <c r="N260" i="17"/>
  <c r="Q262" i="17"/>
  <c r="J262" i="17"/>
  <c r="M262" i="17" s="1"/>
  <c r="Q266" i="17"/>
  <c r="J266" i="17"/>
  <c r="M266" i="17" s="1"/>
  <c r="N268" i="17"/>
  <c r="K249" i="17"/>
  <c r="K255" i="17"/>
  <c r="K259" i="17"/>
  <c r="I369" i="13"/>
  <c r="I373" i="13" s="1"/>
  <c r="I374" i="13"/>
  <c r="I381" i="13" s="1"/>
  <c r="I382" i="13"/>
  <c r="I389" i="13" s="1"/>
  <c r="I390" i="13"/>
  <c r="I397" i="13" s="1"/>
  <c r="I398" i="13"/>
  <c r="I401" i="13" s="1"/>
  <c r="I403" i="13"/>
  <c r="I407" i="13" s="1"/>
  <c r="I418" i="13" s="1"/>
  <c r="I408" i="13"/>
  <c r="I417" i="13" s="1"/>
  <c r="J369" i="13"/>
  <c r="J374" i="13"/>
  <c r="J381" i="13" s="1"/>
  <c r="J382" i="13"/>
  <c r="J389" i="13" s="1"/>
  <c r="J390" i="13"/>
  <c r="J397" i="13" s="1"/>
  <c r="J398" i="13"/>
  <c r="J401" i="13" s="1"/>
  <c r="J403" i="13"/>
  <c r="J407" i="13" s="1"/>
  <c r="J408" i="13"/>
  <c r="J417" i="13" s="1"/>
  <c r="I420" i="13"/>
  <c r="I430" i="13" s="1"/>
  <c r="I431" i="13"/>
  <c r="I438" i="13" s="1"/>
  <c r="I440" i="13"/>
  <c r="I443" i="13" s="1"/>
  <c r="I444" i="13"/>
  <c r="I450" i="13" s="1"/>
  <c r="I455" i="13"/>
  <c r="I458" i="13" s="1"/>
  <c r="I459" i="13"/>
  <c r="I463" i="13" s="1"/>
  <c r="I464" i="13"/>
  <c r="I466" i="13" s="1"/>
  <c r="I467" i="13"/>
  <c r="I471" i="13" s="1"/>
  <c r="I472" i="13"/>
  <c r="I475" i="13" s="1"/>
  <c r="I476" i="13"/>
  <c r="I478" i="13" s="1"/>
  <c r="J420" i="13"/>
  <c r="J430" i="13" s="1"/>
  <c r="J431" i="13"/>
  <c r="J440" i="13"/>
  <c r="J443" i="13" s="1"/>
  <c r="J444" i="13"/>
  <c r="J450" i="13" s="1"/>
  <c r="J455" i="13"/>
  <c r="J458" i="13" s="1"/>
  <c r="J459" i="13"/>
  <c r="J463" i="13" s="1"/>
  <c r="J464" i="13"/>
  <c r="J466" i="13" s="1"/>
  <c r="J467" i="13"/>
  <c r="J471" i="13" s="1"/>
  <c r="J472" i="13"/>
  <c r="J475" i="13" s="1"/>
  <c r="J476" i="13"/>
  <c r="J478" i="13" s="1"/>
  <c r="O466" i="1"/>
  <c r="O433" i="1"/>
  <c r="I437" i="1"/>
  <c r="I451" i="1" s="1"/>
  <c r="I452" i="1" s="1"/>
  <c r="O435" i="1"/>
  <c r="K423" i="1"/>
  <c r="N423" i="1" s="1"/>
  <c r="O407" i="1"/>
  <c r="I417" i="1"/>
  <c r="K415" i="1"/>
  <c r="N415" i="1" s="1"/>
  <c r="K405" i="1"/>
  <c r="O392" i="1"/>
  <c r="H400" i="1"/>
  <c r="J371" i="1"/>
  <c r="K387" i="1"/>
  <c r="N387" i="1" s="1"/>
  <c r="N380" i="1"/>
  <c r="O395" i="1"/>
  <c r="K371" i="1"/>
  <c r="M400" i="1"/>
  <c r="O371" i="1"/>
  <c r="O368" i="1"/>
  <c r="O370" i="1"/>
  <c r="O387" i="1"/>
  <c r="O382" i="1"/>
  <c r="O384" i="1"/>
  <c r="O386" i="1"/>
  <c r="N405" i="1"/>
  <c r="O367" i="1"/>
  <c r="L371" i="1"/>
  <c r="O372" i="1"/>
  <c r="G379" i="1"/>
  <c r="J379" i="1" s="1"/>
  <c r="K379" i="1"/>
  <c r="N379" i="1" s="1"/>
  <c r="L387" i="1"/>
  <c r="O388" i="1"/>
  <c r="L395" i="1"/>
  <c r="O396" i="1"/>
  <c r="G399" i="1"/>
  <c r="J399" i="1" s="1"/>
  <c r="K399" i="1"/>
  <c r="N399" i="1" s="1"/>
  <c r="O401" i="1"/>
  <c r="G405" i="1"/>
  <c r="M405" i="1"/>
  <c r="N406" i="1"/>
  <c r="N418" i="1"/>
  <c r="O427" i="1"/>
  <c r="K427" i="1"/>
  <c r="N427" i="1" s="1"/>
  <c r="K436" i="1"/>
  <c r="N436" i="1" s="1"/>
  <c r="N429" i="1"/>
  <c r="O436" i="1"/>
  <c r="L436" i="1"/>
  <c r="M449" i="1"/>
  <c r="O441" i="1"/>
  <c r="G448" i="1"/>
  <c r="J448" i="1" s="1"/>
  <c r="J442" i="1"/>
  <c r="M456" i="1"/>
  <c r="O453" i="1"/>
  <c r="G461" i="1"/>
  <c r="J461" i="1" s="1"/>
  <c r="L464" i="1"/>
  <c r="K462" i="1"/>
  <c r="M464" i="1"/>
  <c r="O463" i="1"/>
  <c r="L470" i="1"/>
  <c r="N472" i="1"/>
  <c r="O473" i="1"/>
  <c r="G477" i="1"/>
  <c r="J477" i="1" s="1"/>
  <c r="J367" i="1"/>
  <c r="N367" i="1"/>
  <c r="O380" i="1"/>
  <c r="J388" i="1"/>
  <c r="N388" i="1"/>
  <c r="N401" i="1"/>
  <c r="H416" i="1"/>
  <c r="M415" i="1"/>
  <c r="O415" i="1" s="1"/>
  <c r="O408" i="1"/>
  <c r="O410" i="1"/>
  <c r="O412" i="1"/>
  <c r="O414" i="1"/>
  <c r="L415" i="1"/>
  <c r="L416" i="1" s="1"/>
  <c r="G428" i="1"/>
  <c r="J418" i="1"/>
  <c r="O418" i="1"/>
  <c r="O419" i="1"/>
  <c r="O421" i="1"/>
  <c r="O423" i="1"/>
  <c r="M424" i="1"/>
  <c r="H428" i="1"/>
  <c r="H437" i="1" s="1"/>
  <c r="H451" i="1" s="1"/>
  <c r="H452" i="1" s="1"/>
  <c r="L428" i="1"/>
  <c r="G436" i="1"/>
  <c r="J436" i="1" s="1"/>
  <c r="J429" i="1"/>
  <c r="O429" i="1"/>
  <c r="O430" i="1"/>
  <c r="O432" i="1"/>
  <c r="G441" i="1"/>
  <c r="K449" i="1"/>
  <c r="N449" i="1" s="1"/>
  <c r="N438" i="1"/>
  <c r="N441" i="1"/>
  <c r="K448" i="1"/>
  <c r="N448" i="1" s="1"/>
  <c r="N442" i="1"/>
  <c r="O448" i="1"/>
  <c r="O455" i="1"/>
  <c r="K456" i="1"/>
  <c r="M474" i="1"/>
  <c r="O474" i="1" s="1"/>
  <c r="O471" i="1"/>
  <c r="O406" i="1"/>
  <c r="O438" i="1"/>
  <c r="L456" i="1"/>
  <c r="O454" i="1"/>
  <c r="G456" i="1"/>
  <c r="I478" i="1"/>
  <c r="I479" i="1" s="1"/>
  <c r="L461" i="1"/>
  <c r="K457" i="1"/>
  <c r="O462" i="1"/>
  <c r="G464" i="1"/>
  <c r="J464" i="1" s="1"/>
  <c r="G470" i="1"/>
  <c r="J470" i="1" s="1"/>
  <c r="J465" i="1"/>
  <c r="H470" i="1"/>
  <c r="H478" i="1" s="1"/>
  <c r="H479" i="1" s="1"/>
  <c r="L474" i="1"/>
  <c r="O472" i="1"/>
  <c r="G474" i="1"/>
  <c r="J474" i="1" s="1"/>
  <c r="L477" i="1"/>
  <c r="K475" i="1"/>
  <c r="M465" i="1"/>
  <c r="K465" i="1" s="1"/>
  <c r="O72" i="14"/>
  <c r="N72" i="14" s="1"/>
  <c r="M72" i="14"/>
  <c r="O70" i="14"/>
  <c r="N70" i="14" s="1"/>
  <c r="M70" i="14"/>
  <c r="R73" i="14"/>
  <c r="P73" i="14"/>
  <c r="Q73" i="14"/>
  <c r="S73" i="14" s="1"/>
  <c r="R74" i="14"/>
  <c r="P74" i="14"/>
  <c r="Q74" i="14"/>
  <c r="S74" i="14" s="1"/>
  <c r="R75" i="14"/>
  <c r="P75" i="14"/>
  <c r="Q75" i="14"/>
  <c r="S75" i="14" s="1"/>
  <c r="R76" i="14"/>
  <c r="P76" i="14"/>
  <c r="Q76" i="14"/>
  <c r="S76" i="14" s="1"/>
  <c r="O78" i="14"/>
  <c r="N78" i="14" s="1"/>
  <c r="M78" i="14"/>
  <c r="O63" i="14"/>
  <c r="N63" i="14" s="1"/>
  <c r="M63" i="14"/>
  <c r="O65" i="14"/>
  <c r="N65" i="14" s="1"/>
  <c r="M65" i="14"/>
  <c r="O67" i="14"/>
  <c r="N67" i="14" s="1"/>
  <c r="M67" i="14"/>
  <c r="O69" i="14"/>
  <c r="N69" i="14" s="1"/>
  <c r="M69" i="14"/>
  <c r="K71" i="14"/>
  <c r="M73" i="14"/>
  <c r="M74" i="14"/>
  <c r="T74" i="14" s="1"/>
  <c r="M75" i="14"/>
  <c r="M76" i="14"/>
  <c r="T76" i="14" s="1"/>
  <c r="O77" i="14"/>
  <c r="N77" i="14" s="1"/>
  <c r="O64" i="14"/>
  <c r="N64" i="14" s="1"/>
  <c r="M64" i="14"/>
  <c r="O66" i="14"/>
  <c r="N66" i="14" s="1"/>
  <c r="M66" i="14"/>
  <c r="O68" i="14"/>
  <c r="N68" i="14" s="1"/>
  <c r="M68" i="14"/>
  <c r="M79" i="14"/>
  <c r="H383" i="16" l="1"/>
  <c r="T46" i="14"/>
  <c r="N534" i="1"/>
  <c r="D80" i="15"/>
  <c r="E80" i="15" s="1"/>
  <c r="E79" i="15"/>
  <c r="D88" i="15"/>
  <c r="E86" i="15"/>
  <c r="M300" i="17"/>
  <c r="N300" i="17"/>
  <c r="J337" i="17"/>
  <c r="M337" i="17" s="1"/>
  <c r="M336" i="17"/>
  <c r="N291" i="17"/>
  <c r="G570" i="1"/>
  <c r="J569" i="1"/>
  <c r="M570" i="1"/>
  <c r="M598" i="1" s="1"/>
  <c r="N555" i="1"/>
  <c r="K569" i="1"/>
  <c r="O555" i="1"/>
  <c r="O534" i="1"/>
  <c r="K535" i="1"/>
  <c r="O535" i="1" s="1"/>
  <c r="N518" i="1"/>
  <c r="N221" i="17"/>
  <c r="O404" i="1"/>
  <c r="K416" i="1"/>
  <c r="N416" i="1" s="1"/>
  <c r="D64" i="15"/>
  <c r="E64" i="15" s="1"/>
  <c r="O374" i="1"/>
  <c r="G381" i="13"/>
  <c r="I480" i="1"/>
  <c r="J373" i="13"/>
  <c r="G373" i="13"/>
  <c r="G402" i="13" s="1"/>
  <c r="H417" i="1"/>
  <c r="L437" i="1"/>
  <c r="L451" i="1" s="1"/>
  <c r="L452" i="1" s="1"/>
  <c r="J438" i="13"/>
  <c r="G438" i="13"/>
  <c r="G439" i="13" s="1"/>
  <c r="G453" i="13" s="1"/>
  <c r="E417" i="1"/>
  <c r="E480" i="1" s="1"/>
  <c r="C63" i="15"/>
  <c r="N238" i="17"/>
  <c r="Q255" i="17"/>
  <c r="J255" i="17"/>
  <c r="M235" i="17"/>
  <c r="Q229" i="17"/>
  <c r="J229" i="17"/>
  <c r="M229" i="17" s="1"/>
  <c r="N262" i="17"/>
  <c r="N254" i="17"/>
  <c r="N243" i="17"/>
  <c r="M210" i="17"/>
  <c r="J216" i="17"/>
  <c r="K225" i="17"/>
  <c r="G66" i="15" s="1"/>
  <c r="N237" i="17"/>
  <c r="K269" i="17"/>
  <c r="K270" i="17" s="1"/>
  <c r="G70" i="15" s="1"/>
  <c r="G72" i="15" s="1"/>
  <c r="N231" i="17"/>
  <c r="M226" i="17"/>
  <c r="J224" i="17"/>
  <c r="M224" i="17" s="1"/>
  <c r="M217" i="17"/>
  <c r="N214" i="17"/>
  <c r="N210" i="17"/>
  <c r="Q259" i="17"/>
  <c r="J259" i="17"/>
  <c r="J249" i="17"/>
  <c r="M249" i="17" s="1"/>
  <c r="Q249" i="17"/>
  <c r="Q269" i="17" s="1"/>
  <c r="Q270" i="17" s="1"/>
  <c r="H70" i="15" s="1"/>
  <c r="H72" i="15" s="1"/>
  <c r="N264" i="17"/>
  <c r="N256" i="17"/>
  <c r="L269" i="17"/>
  <c r="F270" i="17"/>
  <c r="I269" i="17"/>
  <c r="N226" i="17"/>
  <c r="N266" i="17"/>
  <c r="N258" i="17"/>
  <c r="N250" i="17"/>
  <c r="N246" i="17"/>
  <c r="L233" i="17"/>
  <c r="I216" i="17"/>
  <c r="F225" i="17"/>
  <c r="I225" i="17" s="1"/>
  <c r="Q216" i="17"/>
  <c r="K233" i="17"/>
  <c r="K234" i="17" s="1"/>
  <c r="G67" i="15" s="1"/>
  <c r="G69" i="15" s="1"/>
  <c r="N228" i="17"/>
  <c r="Q233" i="17"/>
  <c r="Q234" i="17" s="1"/>
  <c r="H67" i="15" s="1"/>
  <c r="H69" i="15" s="1"/>
  <c r="N219" i="17"/>
  <c r="Q224" i="17"/>
  <c r="H64" i="15" s="1"/>
  <c r="L225" i="17"/>
  <c r="J402" i="13"/>
  <c r="I63" i="15" s="1"/>
  <c r="J479" i="13"/>
  <c r="J480" i="13" s="1"/>
  <c r="I70" i="15" s="1"/>
  <c r="I72" i="15" s="1"/>
  <c r="J451" i="13"/>
  <c r="J439" i="13"/>
  <c r="J453" i="13" s="1"/>
  <c r="I479" i="13"/>
  <c r="I480" i="13" s="1"/>
  <c r="I451" i="13"/>
  <c r="I439" i="13"/>
  <c r="J418" i="13"/>
  <c r="I64" i="15" s="1"/>
  <c r="I402" i="13"/>
  <c r="I419" i="13" s="1"/>
  <c r="H480" i="1"/>
  <c r="K477" i="1"/>
  <c r="N475" i="1"/>
  <c r="K461" i="1"/>
  <c r="N457" i="1"/>
  <c r="K470" i="1"/>
  <c r="N470" i="1" s="1"/>
  <c r="N465" i="1"/>
  <c r="O457" i="1"/>
  <c r="O456" i="1"/>
  <c r="O449" i="1"/>
  <c r="J405" i="1"/>
  <c r="G416" i="1"/>
  <c r="K400" i="1"/>
  <c r="D63" i="15" s="1"/>
  <c r="D66" i="15" s="1"/>
  <c r="N371" i="1"/>
  <c r="O399" i="1"/>
  <c r="O379" i="1"/>
  <c r="M470" i="1"/>
  <c r="O465" i="1"/>
  <c r="G478" i="1"/>
  <c r="J456" i="1"/>
  <c r="L478" i="1"/>
  <c r="L479" i="1" s="1"/>
  <c r="O475" i="1"/>
  <c r="N456" i="1"/>
  <c r="G449" i="1"/>
  <c r="J449" i="1" s="1"/>
  <c r="J441" i="1"/>
  <c r="G437" i="1"/>
  <c r="J428" i="1"/>
  <c r="K464" i="1"/>
  <c r="N464" i="1" s="1"/>
  <c r="N462" i="1"/>
  <c r="M428" i="1"/>
  <c r="O405" i="1"/>
  <c r="M416" i="1"/>
  <c r="L400" i="1"/>
  <c r="L417" i="1" s="1"/>
  <c r="L480" i="1" s="1"/>
  <c r="M417" i="1"/>
  <c r="O400" i="1"/>
  <c r="K424" i="1"/>
  <c r="O424" i="1" s="1"/>
  <c r="G400" i="1"/>
  <c r="Q68" i="14"/>
  <c r="P68" i="14"/>
  <c r="R68" i="14"/>
  <c r="Q66" i="14"/>
  <c r="P66" i="14"/>
  <c r="R66" i="14"/>
  <c r="Q64" i="14"/>
  <c r="P64" i="14"/>
  <c r="R64" i="14"/>
  <c r="O71" i="14"/>
  <c r="N71" i="14" s="1"/>
  <c r="M71" i="14"/>
  <c r="Q69" i="14"/>
  <c r="R69" i="14"/>
  <c r="P69" i="14"/>
  <c r="Q67" i="14"/>
  <c r="R67" i="14"/>
  <c r="P67" i="14"/>
  <c r="Q65" i="14"/>
  <c r="S65" i="14" s="1"/>
  <c r="R65" i="14"/>
  <c r="P65" i="14"/>
  <c r="T65" i="14" s="1"/>
  <c r="Q63" i="14"/>
  <c r="R63" i="14"/>
  <c r="P63" i="14"/>
  <c r="R78" i="14"/>
  <c r="P78" i="14"/>
  <c r="Q78" i="14"/>
  <c r="S78" i="14" s="1"/>
  <c r="T78" i="14" s="1"/>
  <c r="R77" i="14"/>
  <c r="P77" i="14"/>
  <c r="Q77" i="14"/>
  <c r="S77" i="14" s="1"/>
  <c r="T75" i="14"/>
  <c r="T73" i="14"/>
  <c r="R70" i="14"/>
  <c r="P70" i="14"/>
  <c r="Q70" i="14"/>
  <c r="S70" i="14" s="1"/>
  <c r="R72" i="14"/>
  <c r="P72" i="14"/>
  <c r="Q72" i="14"/>
  <c r="S72" i="14" s="1"/>
  <c r="D82" i="15" l="1"/>
  <c r="E82" i="15" s="1"/>
  <c r="E88" i="15"/>
  <c r="N337" i="17"/>
  <c r="K570" i="1"/>
  <c r="D83" i="15" s="1"/>
  <c r="N569" i="1"/>
  <c r="N570" i="1" s="1"/>
  <c r="O569" i="1"/>
  <c r="O570" i="1" s="1"/>
  <c r="N535" i="1"/>
  <c r="J570" i="1"/>
  <c r="G598" i="1"/>
  <c r="J598" i="1" s="1"/>
  <c r="S69" i="14"/>
  <c r="T69" i="14" s="1"/>
  <c r="H66" i="15"/>
  <c r="H73" i="15" s="1"/>
  <c r="G73" i="15"/>
  <c r="O416" i="1"/>
  <c r="I66" i="15"/>
  <c r="G419" i="13"/>
  <c r="F63" i="15"/>
  <c r="F66" i="15" s="1"/>
  <c r="T72" i="14"/>
  <c r="G454" i="13"/>
  <c r="F67" i="15"/>
  <c r="F69" i="15" s="1"/>
  <c r="J454" i="13"/>
  <c r="I67" i="15"/>
  <c r="I69" i="15" s="1"/>
  <c r="C66" i="15"/>
  <c r="E63" i="15"/>
  <c r="N224" i="17"/>
  <c r="L234" i="17"/>
  <c r="L270" i="17"/>
  <c r="M259" i="17"/>
  <c r="N259" i="17"/>
  <c r="M216" i="17"/>
  <c r="J225" i="17"/>
  <c r="M225" i="17" s="1"/>
  <c r="N216" i="17"/>
  <c r="M255" i="17"/>
  <c r="N255" i="17"/>
  <c r="N225" i="17"/>
  <c r="Q225" i="17"/>
  <c r="Q271" i="17" s="1"/>
  <c r="F271" i="17"/>
  <c r="I271" i="17" s="1"/>
  <c r="I270" i="17"/>
  <c r="J233" i="17"/>
  <c r="N233" i="17" s="1"/>
  <c r="K271" i="17"/>
  <c r="N229" i="17"/>
  <c r="N249" i="17"/>
  <c r="J269" i="17"/>
  <c r="N269" i="17" s="1"/>
  <c r="I453" i="13"/>
  <c r="I454" i="13" s="1"/>
  <c r="I481" i="13" s="1"/>
  <c r="J419" i="13"/>
  <c r="J481" i="13" s="1"/>
  <c r="K478" i="1"/>
  <c r="N478" i="1" s="1"/>
  <c r="N479" i="1" s="1"/>
  <c r="O470" i="1"/>
  <c r="G417" i="1"/>
  <c r="J400" i="1"/>
  <c r="K479" i="1"/>
  <c r="D70" i="15" s="1"/>
  <c r="G479" i="1"/>
  <c r="J479" i="1" s="1"/>
  <c r="J478" i="1"/>
  <c r="K417" i="1"/>
  <c r="N400" i="1"/>
  <c r="N424" i="1"/>
  <c r="K428" i="1"/>
  <c r="O417" i="1"/>
  <c r="M437" i="1"/>
  <c r="G451" i="1"/>
  <c r="J437" i="1"/>
  <c r="J416" i="1"/>
  <c r="J415" i="1"/>
  <c r="M478" i="1"/>
  <c r="O464" i="1"/>
  <c r="N461" i="1"/>
  <c r="O461" i="1"/>
  <c r="N477" i="1"/>
  <c r="O477" i="1"/>
  <c r="T70" i="14"/>
  <c r="Q71" i="14"/>
  <c r="R71" i="14"/>
  <c r="P71" i="14"/>
  <c r="S66" i="14"/>
  <c r="T66" i="14" s="1"/>
  <c r="T77" i="14"/>
  <c r="S63" i="14"/>
  <c r="T63" i="14" s="1"/>
  <c r="S67" i="14"/>
  <c r="T67" i="14" s="1"/>
  <c r="S64" i="14"/>
  <c r="T64" i="14" s="1"/>
  <c r="S68" i="14"/>
  <c r="T68" i="14" s="1"/>
  <c r="K598" i="1" l="1"/>
  <c r="D85" i="15"/>
  <c r="E83" i="15"/>
  <c r="I73" i="15"/>
  <c r="F73" i="15"/>
  <c r="G481" i="13"/>
  <c r="D72" i="15"/>
  <c r="E70" i="15"/>
  <c r="C73" i="15"/>
  <c r="E66" i="15"/>
  <c r="J270" i="17"/>
  <c r="N270" i="17" s="1"/>
  <c r="M269" i="17"/>
  <c r="M233" i="17"/>
  <c r="J234" i="17"/>
  <c r="M234" i="17" s="1"/>
  <c r="L271" i="17"/>
  <c r="M451" i="1"/>
  <c r="K437" i="1"/>
  <c r="O437" i="1" s="1"/>
  <c r="N428" i="1"/>
  <c r="O478" i="1"/>
  <c r="O479" i="1" s="1"/>
  <c r="M479" i="1"/>
  <c r="G452" i="1"/>
  <c r="J452" i="1" s="1"/>
  <c r="J451" i="1"/>
  <c r="O428" i="1"/>
  <c r="N417" i="1"/>
  <c r="G480" i="1"/>
  <c r="J480" i="1" s="1"/>
  <c r="J417" i="1"/>
  <c r="S71" i="14"/>
  <c r="T71" i="14" s="1"/>
  <c r="N598" i="1" l="1"/>
  <c r="O598" i="1"/>
  <c r="E85" i="15"/>
  <c r="D89" i="15"/>
  <c r="E89" i="15" s="1"/>
  <c r="E72" i="15"/>
  <c r="N234" i="17"/>
  <c r="J271" i="17"/>
  <c r="M270" i="17"/>
  <c r="K451" i="1"/>
  <c r="O451" i="1" s="1"/>
  <c r="O452" i="1" s="1"/>
  <c r="N437" i="1"/>
  <c r="M452" i="1"/>
  <c r="M480" i="1" s="1"/>
  <c r="M271" i="17" l="1"/>
  <c r="N271" i="17"/>
  <c r="K452" i="1"/>
  <c r="N451" i="1"/>
  <c r="N452" i="1" s="1"/>
  <c r="K480" i="1" l="1"/>
  <c r="N480" i="1" s="1"/>
  <c r="D67" i="15"/>
  <c r="O480" i="1"/>
  <c r="D69" i="15" l="1"/>
  <c r="E67" i="15"/>
  <c r="E94" i="14"/>
  <c r="D94" i="14"/>
  <c r="E95" i="14"/>
  <c r="D95" i="14"/>
  <c r="I95" i="14"/>
  <c r="H95" i="14"/>
  <c r="H94" i="14"/>
  <c r="J95" i="14"/>
  <c r="J94" i="14"/>
  <c r="I94" i="14"/>
  <c r="E69" i="15" l="1"/>
  <c r="D73" i="15"/>
  <c r="E73" i="15" s="1"/>
  <c r="L148" i="17"/>
  <c r="K148" i="17"/>
  <c r="P148" i="17"/>
  <c r="Q148" i="17"/>
  <c r="F148" i="17"/>
  <c r="I148" i="17" s="1"/>
  <c r="E96" i="14"/>
  <c r="D96" i="14"/>
  <c r="I96" i="14"/>
  <c r="H96" i="14"/>
  <c r="J96" i="14"/>
  <c r="I306" i="1"/>
  <c r="H306" i="1"/>
  <c r="H163" i="17"/>
  <c r="G163" i="17"/>
  <c r="I309" i="1"/>
  <c r="H309" i="1"/>
  <c r="J148" i="17" l="1"/>
  <c r="M148" i="17" s="1"/>
  <c r="D101" i="14"/>
  <c r="H101" i="14"/>
  <c r="J101" i="14"/>
  <c r="I101" i="14"/>
  <c r="H193" i="17"/>
  <c r="G193" i="17"/>
  <c r="H189" i="17"/>
  <c r="G189" i="17"/>
  <c r="H183" i="17"/>
  <c r="G183" i="17"/>
  <c r="I347" i="1"/>
  <c r="H347" i="1"/>
  <c r="D102" i="14"/>
  <c r="J102" i="14"/>
  <c r="N148" i="17" l="1"/>
  <c r="C54" i="15"/>
  <c r="C51" i="15"/>
  <c r="C48" i="15"/>
  <c r="C47" i="15"/>
  <c r="C56" i="15"/>
  <c r="E55" i="15"/>
  <c r="E52" i="15"/>
  <c r="C53" i="15"/>
  <c r="E49" i="15"/>
  <c r="H334" i="16"/>
  <c r="F334" i="16"/>
  <c r="I334" i="16" s="1"/>
  <c r="I335" i="16" s="1"/>
  <c r="E333" i="16"/>
  <c r="H332" i="16"/>
  <c r="H331" i="16"/>
  <c r="H330" i="16"/>
  <c r="I330" i="16" s="1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E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I273" i="16"/>
  <c r="E272" i="16"/>
  <c r="H271" i="16"/>
  <c r="H270" i="16"/>
  <c r="H269" i="16"/>
  <c r="H268" i="16"/>
  <c r="H267" i="16"/>
  <c r="H266" i="16"/>
  <c r="H265" i="16"/>
  <c r="E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E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E204" i="17"/>
  <c r="E205" i="17" s="1"/>
  <c r="H203" i="17"/>
  <c r="H204" i="17" s="1"/>
  <c r="G203" i="17"/>
  <c r="G204" i="17" s="1"/>
  <c r="D203" i="17"/>
  <c r="D204" i="17" s="1"/>
  <c r="P202" i="17"/>
  <c r="I202" i="17"/>
  <c r="F202" i="17"/>
  <c r="P201" i="17"/>
  <c r="F201" i="17"/>
  <c r="I201" i="17" s="1"/>
  <c r="P200" i="17"/>
  <c r="F200" i="17"/>
  <c r="I200" i="17" s="1"/>
  <c r="P199" i="17"/>
  <c r="F199" i="17"/>
  <c r="I199" i="17" s="1"/>
  <c r="P198" i="17"/>
  <c r="I198" i="17"/>
  <c r="F198" i="17"/>
  <c r="P197" i="17"/>
  <c r="F197" i="17"/>
  <c r="I197" i="17" s="1"/>
  <c r="P196" i="17"/>
  <c r="F196" i="17"/>
  <c r="I196" i="17" s="1"/>
  <c r="P195" i="17"/>
  <c r="F195" i="17"/>
  <c r="I195" i="17" s="1"/>
  <c r="P194" i="17"/>
  <c r="I194" i="17"/>
  <c r="F194" i="17"/>
  <c r="P193" i="17"/>
  <c r="F193" i="17"/>
  <c r="I193" i="17" s="1"/>
  <c r="P192" i="17"/>
  <c r="F192" i="17"/>
  <c r="I192" i="17" s="1"/>
  <c r="P191" i="17"/>
  <c r="F191" i="17"/>
  <c r="I191" i="17" s="1"/>
  <c r="P190" i="17"/>
  <c r="I190" i="17"/>
  <c r="F190" i="17"/>
  <c r="P189" i="17"/>
  <c r="F189" i="17"/>
  <c r="I189" i="17" s="1"/>
  <c r="P188" i="17"/>
  <c r="F188" i="17"/>
  <c r="I188" i="17" s="1"/>
  <c r="P187" i="17"/>
  <c r="F187" i="17"/>
  <c r="I187" i="17" s="1"/>
  <c r="P186" i="17"/>
  <c r="I186" i="17"/>
  <c r="F186" i="17"/>
  <c r="P185" i="17"/>
  <c r="F185" i="17"/>
  <c r="I185" i="17" s="1"/>
  <c r="P184" i="17"/>
  <c r="F184" i="17"/>
  <c r="I184" i="17" s="1"/>
  <c r="P183" i="17"/>
  <c r="F183" i="17"/>
  <c r="I183" i="17" s="1"/>
  <c r="P182" i="17"/>
  <c r="I182" i="17"/>
  <c r="F182" i="17"/>
  <c r="P181" i="17"/>
  <c r="F181" i="17"/>
  <c r="I181" i="17" s="1"/>
  <c r="P180" i="17"/>
  <c r="F180" i="17"/>
  <c r="I180" i="17" s="1"/>
  <c r="P179" i="17"/>
  <c r="F179" i="17"/>
  <c r="I179" i="17" s="1"/>
  <c r="P178" i="17"/>
  <c r="F178" i="17"/>
  <c r="I178" i="17" s="1"/>
  <c r="P177" i="17"/>
  <c r="F177" i="17"/>
  <c r="I177" i="17" s="1"/>
  <c r="P176" i="17"/>
  <c r="F176" i="17"/>
  <c r="I176" i="17" s="1"/>
  <c r="P175" i="17"/>
  <c r="F175" i="17"/>
  <c r="P174" i="17"/>
  <c r="F174" i="17"/>
  <c r="I174" i="17" s="1"/>
  <c r="P173" i="17"/>
  <c r="I173" i="17"/>
  <c r="F173" i="17"/>
  <c r="P172" i="17"/>
  <c r="F172" i="17"/>
  <c r="I172" i="17" s="1"/>
  <c r="P171" i="17"/>
  <c r="F171" i="17"/>
  <c r="I171" i="17" s="1"/>
  <c r="P170" i="17"/>
  <c r="F170" i="17"/>
  <c r="I170" i="17" s="1"/>
  <c r="P169" i="17"/>
  <c r="I169" i="17"/>
  <c r="F169" i="17"/>
  <c r="E168" i="17"/>
  <c r="D168" i="17"/>
  <c r="H167" i="17"/>
  <c r="H168" i="17" s="1"/>
  <c r="G167" i="17"/>
  <c r="G168" i="17" s="1"/>
  <c r="P166" i="17"/>
  <c r="F166" i="17"/>
  <c r="I166" i="17" s="1"/>
  <c r="P165" i="17"/>
  <c r="F165" i="17"/>
  <c r="I165" i="17" s="1"/>
  <c r="P164" i="17"/>
  <c r="I164" i="17"/>
  <c r="F164" i="17"/>
  <c r="P163" i="17"/>
  <c r="F163" i="17"/>
  <c r="I163" i="17" s="1"/>
  <c r="P162" i="17"/>
  <c r="F162" i="17"/>
  <c r="I162" i="17" s="1"/>
  <c r="P161" i="17"/>
  <c r="F161" i="17"/>
  <c r="I161" i="17" s="1"/>
  <c r="P160" i="17"/>
  <c r="I160" i="17"/>
  <c r="F160" i="17"/>
  <c r="E159" i="17"/>
  <c r="H158" i="17"/>
  <c r="G158" i="17"/>
  <c r="D158" i="17"/>
  <c r="P157" i="17"/>
  <c r="F157" i="17"/>
  <c r="I157" i="17" s="1"/>
  <c r="P156" i="17"/>
  <c r="F156" i="17"/>
  <c r="I156" i="17" s="1"/>
  <c r="P155" i="17"/>
  <c r="I155" i="17"/>
  <c r="F155" i="17"/>
  <c r="P154" i="17"/>
  <c r="F154" i="17"/>
  <c r="I154" i="17" s="1"/>
  <c r="P153" i="17"/>
  <c r="F153" i="17"/>
  <c r="I153" i="17" s="1"/>
  <c r="P152" i="17"/>
  <c r="F152" i="17"/>
  <c r="I152" i="17" s="1"/>
  <c r="P151" i="17"/>
  <c r="I151" i="17"/>
  <c r="F151" i="17"/>
  <c r="H150" i="17"/>
  <c r="H159" i="17" s="1"/>
  <c r="G150" i="17"/>
  <c r="D150" i="17"/>
  <c r="D159" i="17" s="1"/>
  <c r="P149" i="17"/>
  <c r="F149" i="17"/>
  <c r="I149" i="17" s="1"/>
  <c r="P147" i="17"/>
  <c r="F147" i="17"/>
  <c r="I147" i="17" s="1"/>
  <c r="P146" i="17"/>
  <c r="F146" i="17"/>
  <c r="I146" i="17" s="1"/>
  <c r="P145" i="17"/>
  <c r="F145" i="17"/>
  <c r="I145" i="17" s="1"/>
  <c r="P144" i="17"/>
  <c r="F144" i="17"/>
  <c r="I144" i="17" s="1"/>
  <c r="G359" i="13"/>
  <c r="J359" i="13" s="1"/>
  <c r="F359" i="13"/>
  <c r="I359" i="13" s="1"/>
  <c r="F358" i="13"/>
  <c r="F360" i="13" s="1"/>
  <c r="G356" i="13"/>
  <c r="J356" i="13" s="1"/>
  <c r="F356" i="13"/>
  <c r="I356" i="13" s="1"/>
  <c r="G355" i="13"/>
  <c r="J355" i="13" s="1"/>
  <c r="F355" i="13"/>
  <c r="F357" i="13" s="1"/>
  <c r="G354" i="13"/>
  <c r="G357" i="13" s="1"/>
  <c r="F354" i="13"/>
  <c r="I354" i="13" s="1"/>
  <c r="G352" i="13"/>
  <c r="J352" i="13" s="1"/>
  <c r="F352" i="13"/>
  <c r="I352" i="13" s="1"/>
  <c r="F351" i="13"/>
  <c r="I351" i="13" s="1"/>
  <c r="G350" i="13"/>
  <c r="J350" i="13" s="1"/>
  <c r="F350" i="13"/>
  <c r="I350" i="13" s="1"/>
  <c r="F349" i="13"/>
  <c r="F353" i="13" s="1"/>
  <c r="G347" i="13"/>
  <c r="J347" i="13" s="1"/>
  <c r="F347" i="13"/>
  <c r="I347" i="13" s="1"/>
  <c r="G346" i="13"/>
  <c r="G348" i="13" s="1"/>
  <c r="F346" i="13"/>
  <c r="F348" i="13" s="1"/>
  <c r="G344" i="13"/>
  <c r="J344" i="13" s="1"/>
  <c r="F344" i="13"/>
  <c r="I344" i="13" s="1"/>
  <c r="G343" i="13"/>
  <c r="J343" i="13" s="1"/>
  <c r="F343" i="13"/>
  <c r="I343" i="13" s="1"/>
  <c r="G342" i="13"/>
  <c r="J342" i="13" s="1"/>
  <c r="F342" i="13"/>
  <c r="I342" i="13" s="1"/>
  <c r="G341" i="13"/>
  <c r="G345" i="13" s="1"/>
  <c r="F341" i="13"/>
  <c r="F345" i="13" s="1"/>
  <c r="F340" i="13"/>
  <c r="G339" i="13"/>
  <c r="J339" i="13" s="1"/>
  <c r="F339" i="13"/>
  <c r="I339" i="13" s="1"/>
  <c r="G338" i="13"/>
  <c r="J338" i="13" s="1"/>
  <c r="F338" i="13"/>
  <c r="I338" i="13" s="1"/>
  <c r="G337" i="13"/>
  <c r="G340" i="13" s="1"/>
  <c r="F337" i="13"/>
  <c r="I337" i="13" s="1"/>
  <c r="G334" i="13"/>
  <c r="J334" i="13" s="1"/>
  <c r="F334" i="13"/>
  <c r="I334" i="13" s="1"/>
  <c r="G331" i="13"/>
  <c r="J331" i="13" s="1"/>
  <c r="F331" i="13"/>
  <c r="I331" i="13" s="1"/>
  <c r="G330" i="13"/>
  <c r="J330" i="13" s="1"/>
  <c r="F330" i="13"/>
  <c r="I330" i="13" s="1"/>
  <c r="G329" i="13"/>
  <c r="J329" i="13" s="1"/>
  <c r="F329" i="13"/>
  <c r="I329" i="13" s="1"/>
  <c r="G328" i="13"/>
  <c r="J328" i="13" s="1"/>
  <c r="F328" i="13"/>
  <c r="F332" i="13" s="1"/>
  <c r="G327" i="13"/>
  <c r="J327" i="13" s="1"/>
  <c r="F327" i="13"/>
  <c r="I327" i="13" s="1"/>
  <c r="G326" i="13"/>
  <c r="G332" i="13" s="1"/>
  <c r="F326" i="13"/>
  <c r="I326" i="13" s="1"/>
  <c r="F325" i="13"/>
  <c r="G324" i="13"/>
  <c r="J324" i="13" s="1"/>
  <c r="F324" i="13"/>
  <c r="I324" i="13" s="1"/>
  <c r="G323" i="13"/>
  <c r="J323" i="13" s="1"/>
  <c r="F323" i="13"/>
  <c r="I323" i="13" s="1"/>
  <c r="G322" i="13"/>
  <c r="G325" i="13" s="1"/>
  <c r="G333" i="13" s="1"/>
  <c r="F322" i="13"/>
  <c r="I322" i="13" s="1"/>
  <c r="F319" i="13"/>
  <c r="I319" i="13" s="1"/>
  <c r="G318" i="13"/>
  <c r="J318" i="13" s="1"/>
  <c r="F318" i="13"/>
  <c r="I318" i="13" s="1"/>
  <c r="F317" i="13"/>
  <c r="I317" i="13" s="1"/>
  <c r="G316" i="13"/>
  <c r="J316" i="13" s="1"/>
  <c r="F316" i="13"/>
  <c r="I316" i="13" s="1"/>
  <c r="G315" i="13"/>
  <c r="J315" i="13" s="1"/>
  <c r="F315" i="13"/>
  <c r="I315" i="13" s="1"/>
  <c r="G314" i="13"/>
  <c r="J314" i="13" s="1"/>
  <c r="F314" i="13"/>
  <c r="I314" i="13" s="1"/>
  <c r="G313" i="13"/>
  <c r="F313" i="13"/>
  <c r="F311" i="13"/>
  <c r="I311" i="13" s="1"/>
  <c r="G310" i="13"/>
  <c r="J310" i="13" s="1"/>
  <c r="F310" i="13"/>
  <c r="I310" i="13" s="1"/>
  <c r="G309" i="13"/>
  <c r="J309" i="13" s="1"/>
  <c r="F309" i="13"/>
  <c r="I309" i="13" s="1"/>
  <c r="F308" i="13"/>
  <c r="I308" i="13" s="1"/>
  <c r="F307" i="13"/>
  <c r="I307" i="13" s="1"/>
  <c r="G306" i="13"/>
  <c r="J306" i="13" s="1"/>
  <c r="F306" i="13"/>
  <c r="I306" i="13" s="1"/>
  <c r="G305" i="13"/>
  <c r="J305" i="13" s="1"/>
  <c r="F305" i="13"/>
  <c r="I305" i="13" s="1"/>
  <c r="G304" i="13"/>
  <c r="J304" i="13" s="1"/>
  <c r="F304" i="13"/>
  <c r="G303" i="13"/>
  <c r="J303" i="13" s="1"/>
  <c r="F303" i="13"/>
  <c r="I303" i="13" s="1"/>
  <c r="G302" i="13"/>
  <c r="F302" i="13"/>
  <c r="I302" i="13" s="1"/>
  <c r="G298" i="13"/>
  <c r="J298" i="13" s="1"/>
  <c r="F298" i="13"/>
  <c r="I298" i="13" s="1"/>
  <c r="G297" i="13"/>
  <c r="J297" i="13" s="1"/>
  <c r="F297" i="13"/>
  <c r="I297" i="13" s="1"/>
  <c r="G296" i="13"/>
  <c r="J296" i="13" s="1"/>
  <c r="F296" i="13"/>
  <c r="I296" i="13" s="1"/>
  <c r="G295" i="13"/>
  <c r="J295" i="13" s="1"/>
  <c r="F295" i="13"/>
  <c r="I295" i="13" s="1"/>
  <c r="G294" i="13"/>
  <c r="J294" i="13" s="1"/>
  <c r="F294" i="13"/>
  <c r="I294" i="13" s="1"/>
  <c r="G293" i="13"/>
  <c r="J293" i="13" s="1"/>
  <c r="F293" i="13"/>
  <c r="I293" i="13" s="1"/>
  <c r="G292" i="13"/>
  <c r="J292" i="13" s="1"/>
  <c r="F292" i="13"/>
  <c r="I292" i="13" s="1"/>
  <c r="F291" i="13"/>
  <c r="F299" i="13" s="1"/>
  <c r="G290" i="13"/>
  <c r="F290" i="13"/>
  <c r="I290" i="13" s="1"/>
  <c r="G288" i="13"/>
  <c r="J288" i="13" s="1"/>
  <c r="F288" i="13"/>
  <c r="I288" i="13" s="1"/>
  <c r="G287" i="13"/>
  <c r="J287" i="13" s="1"/>
  <c r="F287" i="13"/>
  <c r="I287" i="13" s="1"/>
  <c r="G286" i="13"/>
  <c r="J286" i="13" s="1"/>
  <c r="F286" i="13"/>
  <c r="I286" i="13" s="1"/>
  <c r="G285" i="13"/>
  <c r="G289" i="13" s="1"/>
  <c r="F285" i="13"/>
  <c r="F289" i="13" s="1"/>
  <c r="F300" i="13" s="1"/>
  <c r="G282" i="13"/>
  <c r="J282" i="13" s="1"/>
  <c r="F282" i="13"/>
  <c r="I282" i="13" s="1"/>
  <c r="G281" i="13"/>
  <c r="J281" i="13" s="1"/>
  <c r="F281" i="13"/>
  <c r="I281" i="13" s="1"/>
  <c r="G280" i="13"/>
  <c r="G283" i="13" s="1"/>
  <c r="F280" i="13"/>
  <c r="F283" i="13" s="1"/>
  <c r="G278" i="13"/>
  <c r="J278" i="13" s="1"/>
  <c r="F278" i="13"/>
  <c r="I278" i="13" s="1"/>
  <c r="G277" i="13"/>
  <c r="J277" i="13" s="1"/>
  <c r="F277" i="13"/>
  <c r="I277" i="13" s="1"/>
  <c r="G276" i="13"/>
  <c r="J276" i="13" s="1"/>
  <c r="F276" i="13"/>
  <c r="I276" i="13" s="1"/>
  <c r="G275" i="13"/>
  <c r="J275" i="13" s="1"/>
  <c r="F275" i="13"/>
  <c r="I275" i="13" s="1"/>
  <c r="G274" i="13"/>
  <c r="J274" i="13" s="1"/>
  <c r="F274" i="13"/>
  <c r="I274" i="13" s="1"/>
  <c r="G273" i="13"/>
  <c r="J273" i="13" s="1"/>
  <c r="F273" i="13"/>
  <c r="G272" i="13"/>
  <c r="G279" i="13" s="1"/>
  <c r="F272" i="13"/>
  <c r="I272" i="13" s="1"/>
  <c r="G270" i="13"/>
  <c r="J270" i="13" s="1"/>
  <c r="F270" i="13"/>
  <c r="I270" i="13" s="1"/>
  <c r="G269" i="13"/>
  <c r="J269" i="13" s="1"/>
  <c r="F269" i="13"/>
  <c r="I269" i="13" s="1"/>
  <c r="G268" i="13"/>
  <c r="J268" i="13" s="1"/>
  <c r="F268" i="13"/>
  <c r="I268" i="13" s="1"/>
  <c r="G267" i="13"/>
  <c r="J267" i="13" s="1"/>
  <c r="F267" i="13"/>
  <c r="I267" i="13" s="1"/>
  <c r="G266" i="13"/>
  <c r="J266" i="13" s="1"/>
  <c r="F266" i="13"/>
  <c r="I266" i="13" s="1"/>
  <c r="G265" i="13"/>
  <c r="J265" i="13" s="1"/>
  <c r="F265" i="13"/>
  <c r="I265" i="13" s="1"/>
  <c r="G264" i="13"/>
  <c r="G271" i="13" s="1"/>
  <c r="F264" i="13"/>
  <c r="F271" i="13" s="1"/>
  <c r="G262" i="13"/>
  <c r="J262" i="13" s="1"/>
  <c r="F262" i="13"/>
  <c r="I262" i="13" s="1"/>
  <c r="G261" i="13"/>
  <c r="J261" i="13" s="1"/>
  <c r="F261" i="13"/>
  <c r="I261" i="13" s="1"/>
  <c r="G260" i="13"/>
  <c r="J260" i="13" s="1"/>
  <c r="F260" i="13"/>
  <c r="I260" i="13" s="1"/>
  <c r="G259" i="13"/>
  <c r="J259" i="13" s="1"/>
  <c r="F259" i="13"/>
  <c r="I259" i="13" s="1"/>
  <c r="F258" i="13"/>
  <c r="I258" i="13" s="1"/>
  <c r="G257" i="13"/>
  <c r="J257" i="13" s="1"/>
  <c r="F257" i="13"/>
  <c r="I257" i="13" s="1"/>
  <c r="G256" i="13"/>
  <c r="F256" i="13"/>
  <c r="F263" i="13" s="1"/>
  <c r="G254" i="13"/>
  <c r="J254" i="13" s="1"/>
  <c r="F254" i="13"/>
  <c r="I254" i="13" s="1"/>
  <c r="G253" i="13"/>
  <c r="J253" i="13" s="1"/>
  <c r="F253" i="13"/>
  <c r="I253" i="13" s="1"/>
  <c r="G252" i="13"/>
  <c r="J252" i="13" s="1"/>
  <c r="F252" i="13"/>
  <c r="I252" i="13" s="1"/>
  <c r="G251" i="13"/>
  <c r="G255" i="13" s="1"/>
  <c r="F251" i="13"/>
  <c r="F255" i="13" s="1"/>
  <c r="M297" i="1"/>
  <c r="F360" i="1"/>
  <c r="F361" i="1" s="1"/>
  <c r="I359" i="1"/>
  <c r="H359" i="1"/>
  <c r="E359" i="1"/>
  <c r="O358" i="1"/>
  <c r="M358" i="1"/>
  <c r="L358" i="1"/>
  <c r="K358" i="1"/>
  <c r="N358" i="1" s="1"/>
  <c r="G358" i="1"/>
  <c r="J358" i="1" s="1"/>
  <c r="J357" i="1"/>
  <c r="G357" i="1"/>
  <c r="I356" i="1"/>
  <c r="H356" i="1"/>
  <c r="E356" i="1"/>
  <c r="M355" i="1"/>
  <c r="L355" i="1"/>
  <c r="K355" i="1"/>
  <c r="N355" i="1" s="1"/>
  <c r="G355" i="1"/>
  <c r="J355" i="1" s="1"/>
  <c r="M354" i="1"/>
  <c r="L354" i="1"/>
  <c r="K354" i="1" s="1"/>
  <c r="K356" i="1" s="1"/>
  <c r="N356" i="1" s="1"/>
  <c r="J354" i="1"/>
  <c r="G354" i="1"/>
  <c r="M353" i="1"/>
  <c r="L353" i="1"/>
  <c r="K353" i="1"/>
  <c r="N353" i="1" s="1"/>
  <c r="G353" i="1"/>
  <c r="J353" i="1" s="1"/>
  <c r="I352" i="1"/>
  <c r="H352" i="1"/>
  <c r="H360" i="1" s="1"/>
  <c r="H361" i="1" s="1"/>
  <c r="E352" i="1"/>
  <c r="M351" i="1"/>
  <c r="L351" i="1"/>
  <c r="K351" i="1" s="1"/>
  <c r="N351" i="1" s="1"/>
  <c r="J351" i="1"/>
  <c r="G351" i="1"/>
  <c r="M350" i="1"/>
  <c r="L350" i="1"/>
  <c r="K350" i="1"/>
  <c r="N350" i="1" s="1"/>
  <c r="G350" i="1"/>
  <c r="J350" i="1" s="1"/>
  <c r="J349" i="1"/>
  <c r="G349" i="1"/>
  <c r="M348" i="1"/>
  <c r="L348" i="1"/>
  <c r="K348" i="1"/>
  <c r="N348" i="1" s="1"/>
  <c r="G348" i="1"/>
  <c r="J348" i="1" s="1"/>
  <c r="G347" i="1"/>
  <c r="G352" i="1" s="1"/>
  <c r="J352" i="1" s="1"/>
  <c r="M346" i="1"/>
  <c r="I346" i="1"/>
  <c r="H346" i="1"/>
  <c r="E346" i="1"/>
  <c r="O345" i="1"/>
  <c r="M345" i="1"/>
  <c r="L345" i="1"/>
  <c r="K345" i="1"/>
  <c r="N345" i="1" s="1"/>
  <c r="G345" i="1"/>
  <c r="J345" i="1" s="1"/>
  <c r="M344" i="1"/>
  <c r="L344" i="1"/>
  <c r="J344" i="1"/>
  <c r="G344" i="1"/>
  <c r="I343" i="1"/>
  <c r="H343" i="1"/>
  <c r="E343" i="1"/>
  <c r="M342" i="1"/>
  <c r="L342" i="1"/>
  <c r="K342" i="1"/>
  <c r="N342" i="1" s="1"/>
  <c r="G342" i="1"/>
  <c r="J342" i="1" s="1"/>
  <c r="M341" i="1"/>
  <c r="L341" i="1"/>
  <c r="K341" i="1" s="1"/>
  <c r="N341" i="1" s="1"/>
  <c r="J341" i="1"/>
  <c r="G341" i="1"/>
  <c r="M340" i="1"/>
  <c r="L340" i="1"/>
  <c r="K340" i="1"/>
  <c r="N340" i="1" s="1"/>
  <c r="G340" i="1"/>
  <c r="J340" i="1" s="1"/>
  <c r="M339" i="1"/>
  <c r="L339" i="1"/>
  <c r="J339" i="1"/>
  <c r="G339" i="1"/>
  <c r="M338" i="1"/>
  <c r="I338" i="1"/>
  <c r="H338" i="1"/>
  <c r="E338" i="1"/>
  <c r="E360" i="1" s="1"/>
  <c r="E361" i="1" s="1"/>
  <c r="O337" i="1"/>
  <c r="M337" i="1"/>
  <c r="L337" i="1"/>
  <c r="K337" i="1"/>
  <c r="N337" i="1" s="1"/>
  <c r="G337" i="1"/>
  <c r="J337" i="1" s="1"/>
  <c r="M336" i="1"/>
  <c r="O336" i="1" s="1"/>
  <c r="L336" i="1"/>
  <c r="K336" i="1" s="1"/>
  <c r="N336" i="1" s="1"/>
  <c r="J336" i="1"/>
  <c r="G336" i="1"/>
  <c r="O335" i="1"/>
  <c r="M335" i="1"/>
  <c r="L335" i="1"/>
  <c r="L338" i="1" s="1"/>
  <c r="K335" i="1"/>
  <c r="N335" i="1" s="1"/>
  <c r="G335" i="1"/>
  <c r="J335" i="1" s="1"/>
  <c r="O332" i="1"/>
  <c r="M332" i="1"/>
  <c r="L332" i="1"/>
  <c r="K332" i="1"/>
  <c r="N332" i="1" s="1"/>
  <c r="G332" i="1"/>
  <c r="J332" i="1" s="1"/>
  <c r="I330" i="1"/>
  <c r="H330" i="1"/>
  <c r="E330" i="1"/>
  <c r="E331" i="1" s="1"/>
  <c r="M329" i="1"/>
  <c r="L329" i="1"/>
  <c r="K329" i="1" s="1"/>
  <c r="N329" i="1" s="1"/>
  <c r="J329" i="1"/>
  <c r="G329" i="1"/>
  <c r="M328" i="1"/>
  <c r="O328" i="1" s="1"/>
  <c r="L328" i="1"/>
  <c r="K328" i="1"/>
  <c r="N328" i="1" s="1"/>
  <c r="G328" i="1"/>
  <c r="J328" i="1" s="1"/>
  <c r="M327" i="1"/>
  <c r="L327" i="1"/>
  <c r="K327" i="1" s="1"/>
  <c r="N327" i="1" s="1"/>
  <c r="J327" i="1"/>
  <c r="G327" i="1"/>
  <c r="M326" i="1"/>
  <c r="O326" i="1" s="1"/>
  <c r="L326" i="1"/>
  <c r="K326" i="1"/>
  <c r="N326" i="1" s="1"/>
  <c r="G326" i="1"/>
  <c r="J326" i="1" s="1"/>
  <c r="M325" i="1"/>
  <c r="L325" i="1"/>
  <c r="K325" i="1" s="1"/>
  <c r="N325" i="1" s="1"/>
  <c r="J325" i="1"/>
  <c r="G325" i="1"/>
  <c r="M324" i="1"/>
  <c r="M330" i="1" s="1"/>
  <c r="L324" i="1"/>
  <c r="K324" i="1"/>
  <c r="G324" i="1"/>
  <c r="I323" i="1"/>
  <c r="I331" i="1" s="1"/>
  <c r="H323" i="1"/>
  <c r="H331" i="1" s="1"/>
  <c r="E323" i="1"/>
  <c r="M322" i="1"/>
  <c r="L322" i="1"/>
  <c r="K322" i="1" s="1"/>
  <c r="N322" i="1" s="1"/>
  <c r="J322" i="1"/>
  <c r="G322" i="1"/>
  <c r="M321" i="1"/>
  <c r="O321" i="1" s="1"/>
  <c r="L321" i="1"/>
  <c r="K321" i="1"/>
  <c r="N321" i="1" s="1"/>
  <c r="G321" i="1"/>
  <c r="J321" i="1" s="1"/>
  <c r="M320" i="1"/>
  <c r="L320" i="1"/>
  <c r="K320" i="1" s="1"/>
  <c r="K323" i="1" s="1"/>
  <c r="J320" i="1"/>
  <c r="G320" i="1"/>
  <c r="G323" i="1" s="1"/>
  <c r="F319" i="1"/>
  <c r="F333" i="1" s="1"/>
  <c r="F334" i="1" s="1"/>
  <c r="I318" i="1"/>
  <c r="H318" i="1"/>
  <c r="E318" i="1"/>
  <c r="E319" i="1" s="1"/>
  <c r="E333" i="1" s="1"/>
  <c r="E334" i="1" s="1"/>
  <c r="M317" i="1"/>
  <c r="L317" i="1"/>
  <c r="G319" i="13" s="1"/>
  <c r="J319" i="13" s="1"/>
  <c r="G317" i="1"/>
  <c r="J317" i="1" s="1"/>
  <c r="M316" i="1"/>
  <c r="L316" i="1"/>
  <c r="K316" i="1"/>
  <c r="N316" i="1" s="1"/>
  <c r="J316" i="1"/>
  <c r="M315" i="1"/>
  <c r="L315" i="1"/>
  <c r="G317" i="13" s="1"/>
  <c r="J317" i="13" s="1"/>
  <c r="G315" i="1"/>
  <c r="J315" i="1" s="1"/>
  <c r="M314" i="1"/>
  <c r="O314" i="1" s="1"/>
  <c r="L314" i="1"/>
  <c r="K314" i="1" s="1"/>
  <c r="N314" i="1" s="1"/>
  <c r="J314" i="1"/>
  <c r="G314" i="1"/>
  <c r="O313" i="1"/>
  <c r="M313" i="1"/>
  <c r="L313" i="1"/>
  <c r="K313" i="1"/>
  <c r="N313" i="1" s="1"/>
  <c r="G313" i="1"/>
  <c r="J313" i="1" s="1"/>
  <c r="M312" i="1"/>
  <c r="O312" i="1" s="1"/>
  <c r="L312" i="1"/>
  <c r="K312" i="1" s="1"/>
  <c r="N312" i="1" s="1"/>
  <c r="J312" i="1"/>
  <c r="G312" i="1"/>
  <c r="O311" i="1"/>
  <c r="M311" i="1"/>
  <c r="L311" i="1"/>
  <c r="K311" i="1"/>
  <c r="G311" i="1"/>
  <c r="I310" i="1"/>
  <c r="H310" i="1"/>
  <c r="E310" i="1"/>
  <c r="M309" i="1"/>
  <c r="L309" i="1"/>
  <c r="G311" i="13" s="1"/>
  <c r="J311" i="13" s="1"/>
  <c r="G309" i="1"/>
  <c r="J309" i="1" s="1"/>
  <c r="O308" i="1"/>
  <c r="M308" i="1"/>
  <c r="L308" i="1"/>
  <c r="K308" i="1"/>
  <c r="N308" i="1" s="1"/>
  <c r="G308" i="1"/>
  <c r="J308" i="1" s="1"/>
  <c r="M307" i="1"/>
  <c r="O307" i="1" s="1"/>
  <c r="L307" i="1"/>
  <c r="K307" i="1" s="1"/>
  <c r="N307" i="1" s="1"/>
  <c r="J307" i="1"/>
  <c r="G307" i="1"/>
  <c r="M306" i="1"/>
  <c r="L306" i="1"/>
  <c r="G308" i="13" s="1"/>
  <c r="J308" i="13" s="1"/>
  <c r="G306" i="1"/>
  <c r="J306" i="1" s="1"/>
  <c r="M305" i="1"/>
  <c r="L305" i="1"/>
  <c r="G307" i="13" s="1"/>
  <c r="J307" i="13" s="1"/>
  <c r="G305" i="1"/>
  <c r="J305" i="1" s="1"/>
  <c r="O304" i="1"/>
  <c r="M304" i="1"/>
  <c r="L304" i="1"/>
  <c r="K304" i="1"/>
  <c r="N304" i="1" s="1"/>
  <c r="G304" i="1"/>
  <c r="J304" i="1" s="1"/>
  <c r="M303" i="1"/>
  <c r="O303" i="1" s="1"/>
  <c r="L303" i="1"/>
  <c r="K303" i="1" s="1"/>
  <c r="N303" i="1" s="1"/>
  <c r="J303" i="1"/>
  <c r="G303" i="1"/>
  <c r="O302" i="1"/>
  <c r="M302" i="1"/>
  <c r="L302" i="1"/>
  <c r="K302" i="1"/>
  <c r="N302" i="1" s="1"/>
  <c r="G302" i="1"/>
  <c r="J302" i="1" s="1"/>
  <c r="M301" i="1"/>
  <c r="O301" i="1" s="1"/>
  <c r="L301" i="1"/>
  <c r="K301" i="1" s="1"/>
  <c r="N301" i="1" s="1"/>
  <c r="J301" i="1"/>
  <c r="G301" i="1"/>
  <c r="O300" i="1"/>
  <c r="M300" i="1"/>
  <c r="L300" i="1"/>
  <c r="K300" i="1"/>
  <c r="G300" i="1"/>
  <c r="F298" i="1"/>
  <c r="I297" i="1"/>
  <c r="H297" i="1"/>
  <c r="E297" i="1"/>
  <c r="E298" i="1" s="1"/>
  <c r="M296" i="1"/>
  <c r="O296" i="1" s="1"/>
  <c r="L296" i="1"/>
  <c r="K296" i="1" s="1"/>
  <c r="N296" i="1" s="1"/>
  <c r="J296" i="1"/>
  <c r="G296" i="1"/>
  <c r="O295" i="1"/>
  <c r="M295" i="1"/>
  <c r="L295" i="1"/>
  <c r="K295" i="1"/>
  <c r="N295" i="1" s="1"/>
  <c r="G295" i="1"/>
  <c r="J295" i="1" s="1"/>
  <c r="M294" i="1"/>
  <c r="O294" i="1" s="1"/>
  <c r="L294" i="1"/>
  <c r="K294" i="1" s="1"/>
  <c r="N294" i="1" s="1"/>
  <c r="J294" i="1"/>
  <c r="G294" i="1"/>
  <c r="O293" i="1"/>
  <c r="M293" i="1"/>
  <c r="L293" i="1"/>
  <c r="K293" i="1"/>
  <c r="N293" i="1" s="1"/>
  <c r="G293" i="1"/>
  <c r="J293" i="1" s="1"/>
  <c r="M292" i="1"/>
  <c r="O292" i="1" s="1"/>
  <c r="L292" i="1"/>
  <c r="K292" i="1" s="1"/>
  <c r="N292" i="1" s="1"/>
  <c r="J292" i="1"/>
  <c r="G292" i="1"/>
  <c r="O291" i="1"/>
  <c r="M291" i="1"/>
  <c r="L291" i="1"/>
  <c r="K291" i="1"/>
  <c r="N291" i="1" s="1"/>
  <c r="G291" i="1"/>
  <c r="J291" i="1" s="1"/>
  <c r="M290" i="1"/>
  <c r="O290" i="1" s="1"/>
  <c r="L290" i="1"/>
  <c r="K290" i="1" s="1"/>
  <c r="N290" i="1" s="1"/>
  <c r="J290" i="1"/>
  <c r="G290" i="1"/>
  <c r="M289" i="1"/>
  <c r="L289" i="1"/>
  <c r="G291" i="13" s="1"/>
  <c r="J291" i="13" s="1"/>
  <c r="K289" i="1"/>
  <c r="N289" i="1" s="1"/>
  <c r="G289" i="1"/>
  <c r="J289" i="1" s="1"/>
  <c r="M288" i="1"/>
  <c r="O288" i="1" s="1"/>
  <c r="L288" i="1"/>
  <c r="K288" i="1" s="1"/>
  <c r="J288" i="1"/>
  <c r="G288" i="1"/>
  <c r="I287" i="1"/>
  <c r="I298" i="1" s="1"/>
  <c r="H287" i="1"/>
  <c r="E287" i="1"/>
  <c r="M286" i="1"/>
  <c r="L286" i="1"/>
  <c r="G286" i="1"/>
  <c r="J286" i="1" s="1"/>
  <c r="M285" i="1"/>
  <c r="L285" i="1"/>
  <c r="K285" i="1" s="1"/>
  <c r="N285" i="1" s="1"/>
  <c r="J285" i="1"/>
  <c r="G285" i="1"/>
  <c r="M284" i="1"/>
  <c r="L284" i="1"/>
  <c r="K284" i="1"/>
  <c r="N284" i="1" s="1"/>
  <c r="G284" i="1"/>
  <c r="J284" i="1" s="1"/>
  <c r="M283" i="1"/>
  <c r="L283" i="1"/>
  <c r="J283" i="1"/>
  <c r="G283" i="1"/>
  <c r="I281" i="1"/>
  <c r="H281" i="1"/>
  <c r="E281" i="1"/>
  <c r="M280" i="1"/>
  <c r="O280" i="1" s="1"/>
  <c r="L280" i="1"/>
  <c r="K280" i="1"/>
  <c r="N280" i="1" s="1"/>
  <c r="G280" i="1"/>
  <c r="J280" i="1" s="1"/>
  <c r="M279" i="1"/>
  <c r="O279" i="1" s="1"/>
  <c r="L279" i="1"/>
  <c r="K279" i="1" s="1"/>
  <c r="N279" i="1" s="1"/>
  <c r="J279" i="1"/>
  <c r="G279" i="1"/>
  <c r="M278" i="1"/>
  <c r="M281" i="1" s="1"/>
  <c r="L278" i="1"/>
  <c r="K278" i="1"/>
  <c r="G278" i="1"/>
  <c r="J278" i="1" s="1"/>
  <c r="I277" i="1"/>
  <c r="H277" i="1"/>
  <c r="F277" i="1"/>
  <c r="F282" i="1" s="1"/>
  <c r="F299" i="1" s="1"/>
  <c r="F362" i="1" s="1"/>
  <c r="E277" i="1"/>
  <c r="M276" i="1"/>
  <c r="O276" i="1" s="1"/>
  <c r="L276" i="1"/>
  <c r="K276" i="1"/>
  <c r="N276" i="1" s="1"/>
  <c r="G276" i="1"/>
  <c r="J276" i="1" s="1"/>
  <c r="M275" i="1"/>
  <c r="O275" i="1" s="1"/>
  <c r="L275" i="1"/>
  <c r="K275" i="1" s="1"/>
  <c r="N275" i="1" s="1"/>
  <c r="J275" i="1"/>
  <c r="G275" i="1"/>
  <c r="M274" i="1"/>
  <c r="L274" i="1"/>
  <c r="K274" i="1"/>
  <c r="N274" i="1" s="1"/>
  <c r="G274" i="1"/>
  <c r="J274" i="1" s="1"/>
  <c r="M273" i="1"/>
  <c r="O273" i="1" s="1"/>
  <c r="L273" i="1"/>
  <c r="K273" i="1" s="1"/>
  <c r="N273" i="1" s="1"/>
  <c r="J273" i="1"/>
  <c r="G273" i="1"/>
  <c r="M272" i="1"/>
  <c r="O272" i="1" s="1"/>
  <c r="L272" i="1"/>
  <c r="K272" i="1"/>
  <c r="N272" i="1" s="1"/>
  <c r="G272" i="1"/>
  <c r="J272" i="1" s="1"/>
  <c r="M271" i="1"/>
  <c r="O271" i="1" s="1"/>
  <c r="L271" i="1"/>
  <c r="K271" i="1" s="1"/>
  <c r="N271" i="1" s="1"/>
  <c r="J271" i="1"/>
  <c r="G271" i="1"/>
  <c r="M270" i="1"/>
  <c r="M277" i="1" s="1"/>
  <c r="L270" i="1"/>
  <c r="K270" i="1"/>
  <c r="K277" i="1" s="1"/>
  <c r="N277" i="1" s="1"/>
  <c r="G270" i="1"/>
  <c r="G277" i="1" s="1"/>
  <c r="J277" i="1" s="1"/>
  <c r="I269" i="1"/>
  <c r="H269" i="1"/>
  <c r="E269" i="1"/>
  <c r="M268" i="1"/>
  <c r="L268" i="1"/>
  <c r="K268" i="1" s="1"/>
  <c r="N268" i="1" s="1"/>
  <c r="J268" i="1"/>
  <c r="G268" i="1"/>
  <c r="M267" i="1"/>
  <c r="O267" i="1" s="1"/>
  <c r="L267" i="1"/>
  <c r="K267" i="1"/>
  <c r="N267" i="1" s="1"/>
  <c r="G267" i="1"/>
  <c r="J267" i="1" s="1"/>
  <c r="M266" i="1"/>
  <c r="L266" i="1"/>
  <c r="K266" i="1" s="1"/>
  <c r="N266" i="1" s="1"/>
  <c r="J266" i="1"/>
  <c r="G266" i="1"/>
  <c r="M265" i="1"/>
  <c r="O265" i="1" s="1"/>
  <c r="L265" i="1"/>
  <c r="K265" i="1"/>
  <c r="N265" i="1" s="1"/>
  <c r="G265" i="1"/>
  <c r="J265" i="1" s="1"/>
  <c r="M264" i="1"/>
  <c r="L264" i="1"/>
  <c r="K264" i="1" s="1"/>
  <c r="N264" i="1" s="1"/>
  <c r="J264" i="1"/>
  <c r="G264" i="1"/>
  <c r="M263" i="1"/>
  <c r="O263" i="1" s="1"/>
  <c r="L263" i="1"/>
  <c r="K263" i="1"/>
  <c r="N263" i="1" s="1"/>
  <c r="G263" i="1"/>
  <c r="J263" i="1" s="1"/>
  <c r="M262" i="1"/>
  <c r="M269" i="1" s="1"/>
  <c r="L262" i="1"/>
  <c r="K262" i="1" s="1"/>
  <c r="J262" i="1"/>
  <c r="G262" i="1"/>
  <c r="G269" i="1" s="1"/>
  <c r="J269" i="1" s="1"/>
  <c r="I261" i="1"/>
  <c r="H261" i="1"/>
  <c r="E261" i="1"/>
  <c r="M260" i="1"/>
  <c r="O260" i="1" s="1"/>
  <c r="L260" i="1"/>
  <c r="K260" i="1"/>
  <c r="N260" i="1" s="1"/>
  <c r="G260" i="1"/>
  <c r="J260" i="1" s="1"/>
  <c r="M259" i="1"/>
  <c r="O259" i="1" s="1"/>
  <c r="L259" i="1"/>
  <c r="K259" i="1" s="1"/>
  <c r="N259" i="1" s="1"/>
  <c r="J259" i="1"/>
  <c r="G259" i="1"/>
  <c r="M258" i="1"/>
  <c r="O258" i="1" s="1"/>
  <c r="L258" i="1"/>
  <c r="K258" i="1"/>
  <c r="N258" i="1" s="1"/>
  <c r="G258" i="1"/>
  <c r="J258" i="1" s="1"/>
  <c r="M257" i="1"/>
  <c r="O257" i="1" s="1"/>
  <c r="L257" i="1"/>
  <c r="K257" i="1" s="1"/>
  <c r="N257" i="1" s="1"/>
  <c r="J257" i="1"/>
  <c r="G257" i="1"/>
  <c r="M256" i="1"/>
  <c r="L256" i="1"/>
  <c r="G256" i="1"/>
  <c r="J256" i="1" s="1"/>
  <c r="M255" i="1"/>
  <c r="O255" i="1" s="1"/>
  <c r="L255" i="1"/>
  <c r="K255" i="1" s="1"/>
  <c r="N255" i="1" s="1"/>
  <c r="J255" i="1"/>
  <c r="G255" i="1"/>
  <c r="M254" i="1"/>
  <c r="L254" i="1"/>
  <c r="L261" i="1" s="1"/>
  <c r="K254" i="1"/>
  <c r="N254" i="1" s="1"/>
  <c r="G254" i="1"/>
  <c r="J254" i="1" s="1"/>
  <c r="I253" i="1"/>
  <c r="H253" i="1"/>
  <c r="E253" i="1"/>
  <c r="E282" i="1" s="1"/>
  <c r="E299" i="1" s="1"/>
  <c r="E362" i="1" s="1"/>
  <c r="M252" i="1"/>
  <c r="L252" i="1"/>
  <c r="K252" i="1" s="1"/>
  <c r="N252" i="1" s="1"/>
  <c r="J252" i="1"/>
  <c r="G252" i="1"/>
  <c r="M251" i="1"/>
  <c r="O251" i="1" s="1"/>
  <c r="L251" i="1"/>
  <c r="K251" i="1"/>
  <c r="N251" i="1" s="1"/>
  <c r="G251" i="1"/>
  <c r="J251" i="1" s="1"/>
  <c r="M250" i="1"/>
  <c r="L250" i="1"/>
  <c r="K250" i="1" s="1"/>
  <c r="N250" i="1" s="1"/>
  <c r="J250" i="1"/>
  <c r="G250" i="1"/>
  <c r="M249" i="1"/>
  <c r="M253" i="1" s="1"/>
  <c r="L249" i="1"/>
  <c r="K249" i="1"/>
  <c r="G249" i="1"/>
  <c r="G253" i="1" s="1"/>
  <c r="L103" i="14"/>
  <c r="K103" i="14"/>
  <c r="O103" i="14" s="1"/>
  <c r="L102" i="14"/>
  <c r="K102" i="14" s="1"/>
  <c r="O102" i="14" s="1"/>
  <c r="G102" i="14"/>
  <c r="C102" i="14"/>
  <c r="L101" i="14"/>
  <c r="K101" i="14" s="1"/>
  <c r="O101" i="14" s="1"/>
  <c r="G101" i="14"/>
  <c r="C101" i="14"/>
  <c r="L100" i="14"/>
  <c r="K100" i="14"/>
  <c r="O100" i="14" s="1"/>
  <c r="N100" i="14" s="1"/>
  <c r="G100" i="14"/>
  <c r="C100" i="14"/>
  <c r="L99" i="14"/>
  <c r="K99" i="14"/>
  <c r="O99" i="14" s="1"/>
  <c r="N99" i="14" s="1"/>
  <c r="G99" i="14"/>
  <c r="C99" i="14"/>
  <c r="L98" i="14"/>
  <c r="K98" i="14"/>
  <c r="O98" i="14" s="1"/>
  <c r="G98" i="14"/>
  <c r="C98" i="14"/>
  <c r="L97" i="14"/>
  <c r="K97" i="14" s="1"/>
  <c r="G97" i="14"/>
  <c r="C97" i="14"/>
  <c r="L96" i="14"/>
  <c r="K96" i="14" s="1"/>
  <c r="M96" i="14" s="1"/>
  <c r="G96" i="14"/>
  <c r="C96" i="14"/>
  <c r="L95" i="14"/>
  <c r="K95" i="14" s="1"/>
  <c r="G95" i="14"/>
  <c r="C95" i="14"/>
  <c r="L94" i="14"/>
  <c r="K94" i="14" s="1"/>
  <c r="M94" i="14" s="1"/>
  <c r="G94" i="14"/>
  <c r="C94" i="14"/>
  <c r="L93" i="14"/>
  <c r="K93" i="14" s="1"/>
  <c r="G93" i="14"/>
  <c r="C93" i="14"/>
  <c r="L92" i="14"/>
  <c r="K92" i="14" s="1"/>
  <c r="M92" i="14" s="1"/>
  <c r="G92" i="14"/>
  <c r="C92" i="14"/>
  <c r="L91" i="14"/>
  <c r="K91" i="14" s="1"/>
  <c r="G91" i="14"/>
  <c r="C91" i="14"/>
  <c r="L90" i="14"/>
  <c r="K90" i="14" s="1"/>
  <c r="M90" i="14" s="1"/>
  <c r="G90" i="14"/>
  <c r="C90" i="14"/>
  <c r="L89" i="14"/>
  <c r="K89" i="14" s="1"/>
  <c r="G89" i="14"/>
  <c r="C89" i="14"/>
  <c r="L88" i="14"/>
  <c r="K88" i="14" s="1"/>
  <c r="M88" i="14" s="1"/>
  <c r="G88" i="14"/>
  <c r="C88" i="14"/>
  <c r="O87" i="14"/>
  <c r="N87" i="14" s="1"/>
  <c r="L87" i="14"/>
  <c r="K87" i="14"/>
  <c r="M87" i="14" s="1"/>
  <c r="G87" i="14"/>
  <c r="C87" i="14"/>
  <c r="C50" i="15" l="1"/>
  <c r="H249" i="16"/>
  <c r="H333" i="16"/>
  <c r="H272" i="16"/>
  <c r="F158" i="17"/>
  <c r="I158" i="17" s="1"/>
  <c r="P158" i="17"/>
  <c r="F167" i="17"/>
  <c r="O289" i="1"/>
  <c r="L297" i="1"/>
  <c r="G300" i="13"/>
  <c r="F48" i="15" s="1"/>
  <c r="G299" i="13"/>
  <c r="M287" i="1"/>
  <c r="K286" i="1"/>
  <c r="N286" i="1" s="1"/>
  <c r="F279" i="13"/>
  <c r="F284" i="13" s="1"/>
  <c r="F301" i="13" s="1"/>
  <c r="O274" i="1"/>
  <c r="M261" i="1"/>
  <c r="K256" i="1"/>
  <c r="N256" i="1" s="1"/>
  <c r="G263" i="13"/>
  <c r="G284" i="13" s="1"/>
  <c r="G258" i="13"/>
  <c r="J258" i="13" s="1"/>
  <c r="O316" i="1"/>
  <c r="K306" i="1"/>
  <c r="K310" i="1" s="1"/>
  <c r="P167" i="17"/>
  <c r="P168" i="17" s="1"/>
  <c r="K315" i="1"/>
  <c r="N315" i="1" s="1"/>
  <c r="O315" i="1"/>
  <c r="G320" i="13"/>
  <c r="L310" i="1"/>
  <c r="I319" i="1"/>
  <c r="I333" i="1" s="1"/>
  <c r="I334" i="1" s="1"/>
  <c r="F312" i="13"/>
  <c r="G312" i="13"/>
  <c r="G321" i="13" s="1"/>
  <c r="G335" i="13" s="1"/>
  <c r="G336" i="13" s="1"/>
  <c r="F51" i="15" s="1"/>
  <c r="F53" i="15" s="1"/>
  <c r="N102" i="14"/>
  <c r="P102" i="14" s="1"/>
  <c r="N101" i="14"/>
  <c r="R101" i="14" s="1"/>
  <c r="P203" i="17"/>
  <c r="P204" i="17" s="1"/>
  <c r="J347" i="1"/>
  <c r="C57" i="15"/>
  <c r="E274" i="16"/>
  <c r="E336" i="16" s="1"/>
  <c r="H264" i="16"/>
  <c r="H274" i="16" s="1"/>
  <c r="H307" i="16"/>
  <c r="G159" i="17"/>
  <c r="P150" i="17"/>
  <c r="P159" i="17" s="1"/>
  <c r="F150" i="17"/>
  <c r="F168" i="17"/>
  <c r="I168" i="17" s="1"/>
  <c r="I167" i="17"/>
  <c r="G205" i="17"/>
  <c r="D205" i="17"/>
  <c r="F203" i="17"/>
  <c r="H205" i="17"/>
  <c r="F333" i="13"/>
  <c r="I251" i="13"/>
  <c r="I255" i="13" s="1"/>
  <c r="I256" i="13"/>
  <c r="I263" i="13" s="1"/>
  <c r="I264" i="13"/>
  <c r="I271" i="13" s="1"/>
  <c r="I273" i="13"/>
  <c r="I279" i="13" s="1"/>
  <c r="I280" i="13"/>
  <c r="I283" i="13" s="1"/>
  <c r="I291" i="13"/>
  <c r="I299" i="13" s="1"/>
  <c r="I304" i="13"/>
  <c r="I312" i="13" s="1"/>
  <c r="I328" i="13"/>
  <c r="I332" i="13" s="1"/>
  <c r="F361" i="13"/>
  <c r="F362" i="13" s="1"/>
  <c r="I346" i="13"/>
  <c r="I348" i="13" s="1"/>
  <c r="I349" i="13"/>
  <c r="I353" i="13" s="1"/>
  <c r="J251" i="13"/>
  <c r="J255" i="13" s="1"/>
  <c r="J256" i="13"/>
  <c r="J263" i="13" s="1"/>
  <c r="I285" i="13"/>
  <c r="I289" i="13" s="1"/>
  <c r="F320" i="13"/>
  <c r="I313" i="13"/>
  <c r="I320" i="13" s="1"/>
  <c r="I325" i="13"/>
  <c r="I340" i="13"/>
  <c r="I341" i="13"/>
  <c r="I345" i="13" s="1"/>
  <c r="J264" i="13"/>
  <c r="J271" i="13" s="1"/>
  <c r="J272" i="13"/>
  <c r="J279" i="13" s="1"/>
  <c r="J280" i="13"/>
  <c r="J283" i="13" s="1"/>
  <c r="J285" i="13"/>
  <c r="J289" i="13" s="1"/>
  <c r="J290" i="13"/>
  <c r="J299" i="13" s="1"/>
  <c r="I355" i="13"/>
  <c r="I357" i="13" s="1"/>
  <c r="I358" i="13"/>
  <c r="I360" i="13" s="1"/>
  <c r="J302" i="13"/>
  <c r="J312" i="13" s="1"/>
  <c r="J321" i="13" s="1"/>
  <c r="J313" i="13"/>
  <c r="J320" i="13" s="1"/>
  <c r="J322" i="13"/>
  <c r="J325" i="13" s="1"/>
  <c r="J333" i="13" s="1"/>
  <c r="J326" i="13"/>
  <c r="J332" i="13" s="1"/>
  <c r="J337" i="13"/>
  <c r="J340" i="13" s="1"/>
  <c r="J341" i="13"/>
  <c r="J345" i="13" s="1"/>
  <c r="J346" i="13"/>
  <c r="J348" i="13" s="1"/>
  <c r="J354" i="13"/>
  <c r="J357" i="13" s="1"/>
  <c r="K317" i="1"/>
  <c r="N317" i="1" s="1"/>
  <c r="K309" i="1"/>
  <c r="N309" i="1" s="1"/>
  <c r="M310" i="1"/>
  <c r="K305" i="1"/>
  <c r="N305" i="1" s="1"/>
  <c r="H298" i="1"/>
  <c r="K297" i="1"/>
  <c r="N297" i="1" s="1"/>
  <c r="I282" i="1"/>
  <c r="H282" i="1"/>
  <c r="J253" i="1"/>
  <c r="K269" i="1"/>
  <c r="N269" i="1" s="1"/>
  <c r="N262" i="1"/>
  <c r="O277" i="1"/>
  <c r="K253" i="1"/>
  <c r="O253" i="1"/>
  <c r="M282" i="1"/>
  <c r="O250" i="1"/>
  <c r="O252" i="1"/>
  <c r="I299" i="1"/>
  <c r="O269" i="1"/>
  <c r="O264" i="1"/>
  <c r="O266" i="1"/>
  <c r="O268" i="1"/>
  <c r="M298" i="1"/>
  <c r="O249" i="1"/>
  <c r="L253" i="1"/>
  <c r="O254" i="1"/>
  <c r="G261" i="1"/>
  <c r="J261" i="1" s="1"/>
  <c r="K261" i="1"/>
  <c r="N261" i="1" s="1"/>
  <c r="L269" i="1"/>
  <c r="O270" i="1"/>
  <c r="L277" i="1"/>
  <c r="K281" i="1"/>
  <c r="N281" i="1" s="1"/>
  <c r="O278" i="1"/>
  <c r="G281" i="1"/>
  <c r="J281" i="1" s="1"/>
  <c r="L281" i="1"/>
  <c r="L287" i="1"/>
  <c r="L298" i="1" s="1"/>
  <c r="K283" i="1"/>
  <c r="G310" i="1"/>
  <c r="J300" i="1"/>
  <c r="G318" i="1"/>
  <c r="J318" i="1" s="1"/>
  <c r="J311" i="1"/>
  <c r="G331" i="1"/>
  <c r="J331" i="1" s="1"/>
  <c r="N320" i="1"/>
  <c r="J323" i="1"/>
  <c r="N323" i="1"/>
  <c r="K330" i="1"/>
  <c r="N330" i="1" s="1"/>
  <c r="N324" i="1"/>
  <c r="O330" i="1"/>
  <c r="O342" i="1"/>
  <c r="G346" i="1"/>
  <c r="J346" i="1" s="1"/>
  <c r="O348" i="1"/>
  <c r="N354" i="1"/>
  <c r="O355" i="1"/>
  <c r="G359" i="1"/>
  <c r="J359" i="1" s="1"/>
  <c r="J249" i="1"/>
  <c r="N249" i="1"/>
  <c r="O262" i="1"/>
  <c r="J270" i="1"/>
  <c r="N270" i="1"/>
  <c r="N278" i="1"/>
  <c r="O284" i="1"/>
  <c r="O285" i="1"/>
  <c r="G287" i="1"/>
  <c r="G297" i="1"/>
  <c r="N288" i="1"/>
  <c r="N300" i="1"/>
  <c r="H319" i="1"/>
  <c r="H333" i="1" s="1"/>
  <c r="H334" i="1" s="1"/>
  <c r="K318" i="1"/>
  <c r="N318" i="1" s="1"/>
  <c r="N311" i="1"/>
  <c r="M318" i="1"/>
  <c r="L318" i="1"/>
  <c r="M323" i="1"/>
  <c r="O322" i="1"/>
  <c r="L323" i="1"/>
  <c r="L331" i="1" s="1"/>
  <c r="G330" i="1"/>
  <c r="J330" i="1" s="1"/>
  <c r="J324" i="1"/>
  <c r="O324" i="1"/>
  <c r="O325" i="1"/>
  <c r="O327" i="1"/>
  <c r="O329" i="1"/>
  <c r="L330" i="1"/>
  <c r="G338" i="1"/>
  <c r="I360" i="1"/>
  <c r="I361" i="1" s="1"/>
  <c r="L343" i="1"/>
  <c r="K339" i="1"/>
  <c r="M343" i="1"/>
  <c r="O340" i="1"/>
  <c r="O344" i="1"/>
  <c r="O350" i="1"/>
  <c r="M356" i="1"/>
  <c r="O356" i="1" s="1"/>
  <c r="O353" i="1"/>
  <c r="O320" i="1"/>
  <c r="K338" i="1"/>
  <c r="O339" i="1"/>
  <c r="O341" i="1"/>
  <c r="G343" i="1"/>
  <c r="J343" i="1" s="1"/>
  <c r="L346" i="1"/>
  <c r="K344" i="1"/>
  <c r="O351" i="1"/>
  <c r="L356" i="1"/>
  <c r="O354" i="1"/>
  <c r="G356" i="1"/>
  <c r="J356" i="1" s="1"/>
  <c r="M97" i="14"/>
  <c r="O97" i="14"/>
  <c r="N97" i="14" s="1"/>
  <c r="P97" i="14" s="1"/>
  <c r="T97" i="14" s="1"/>
  <c r="M91" i="14"/>
  <c r="O91" i="14"/>
  <c r="N91" i="14" s="1"/>
  <c r="P91" i="14" s="1"/>
  <c r="M95" i="14"/>
  <c r="O95" i="14"/>
  <c r="N95" i="14" s="1"/>
  <c r="P95" i="14" s="1"/>
  <c r="M89" i="14"/>
  <c r="O89" i="14"/>
  <c r="N89" i="14" s="1"/>
  <c r="P89" i="14" s="1"/>
  <c r="M93" i="14"/>
  <c r="O93" i="14"/>
  <c r="N93" i="14" s="1"/>
  <c r="P93" i="14" s="1"/>
  <c r="O88" i="14"/>
  <c r="N88" i="14" s="1"/>
  <c r="O90" i="14"/>
  <c r="N90" i="14" s="1"/>
  <c r="P90" i="14" s="1"/>
  <c r="O92" i="14"/>
  <c r="N92" i="14" s="1"/>
  <c r="O94" i="14"/>
  <c r="N94" i="14" s="1"/>
  <c r="P94" i="14" s="1"/>
  <c r="O96" i="14"/>
  <c r="N96" i="14" s="1"/>
  <c r="P96" i="14" s="1"/>
  <c r="R87" i="14"/>
  <c r="P87" i="14"/>
  <c r="R88" i="14"/>
  <c r="P88" i="14"/>
  <c r="R89" i="14"/>
  <c r="R92" i="14"/>
  <c r="P92" i="14"/>
  <c r="R96" i="14"/>
  <c r="R97" i="14"/>
  <c r="R99" i="14"/>
  <c r="P99" i="14"/>
  <c r="Q99" i="14"/>
  <c r="S99" i="14" s="1"/>
  <c r="R100" i="14"/>
  <c r="P100" i="14"/>
  <c r="Q100" i="14"/>
  <c r="S100" i="14" s="1"/>
  <c r="R102" i="14"/>
  <c r="Q102" i="14"/>
  <c r="S102" i="14" s="1"/>
  <c r="Q87" i="14"/>
  <c r="S87" i="14" s="1"/>
  <c r="T87" i="14" s="1"/>
  <c r="Q88" i="14"/>
  <c r="Q89" i="14"/>
  <c r="S89" i="14" s="1"/>
  <c r="Q92" i="14"/>
  <c r="Q96" i="14"/>
  <c r="Q97" i="14"/>
  <c r="S97" i="14" s="1"/>
  <c r="N98" i="14"/>
  <c r="M98" i="14"/>
  <c r="M99" i="14"/>
  <c r="M100" i="14"/>
  <c r="T100" i="14" s="1"/>
  <c r="M101" i="14"/>
  <c r="M102" i="14"/>
  <c r="M103" i="14"/>
  <c r="D35" i="15"/>
  <c r="I35" i="15"/>
  <c r="F35" i="15"/>
  <c r="F32" i="17"/>
  <c r="Q95" i="14" l="1"/>
  <c r="R94" i="14"/>
  <c r="R91" i="14"/>
  <c r="H299" i="1"/>
  <c r="O286" i="1"/>
  <c r="O256" i="1"/>
  <c r="G301" i="13"/>
  <c r="F47" i="15"/>
  <c r="F50" i="15" s="1"/>
  <c r="N306" i="1"/>
  <c r="O306" i="1"/>
  <c r="O317" i="1"/>
  <c r="I321" i="13"/>
  <c r="L319" i="1"/>
  <c r="L333" i="1" s="1"/>
  <c r="L334" i="1" s="1"/>
  <c r="O309" i="1"/>
  <c r="O310" i="1"/>
  <c r="F321" i="13"/>
  <c r="F335" i="13" s="1"/>
  <c r="F336" i="13" s="1"/>
  <c r="F363" i="13" s="1"/>
  <c r="P101" i="14"/>
  <c r="Q101" i="14"/>
  <c r="S101" i="14" s="1"/>
  <c r="T102" i="14"/>
  <c r="P205" i="17"/>
  <c r="F204" i="17"/>
  <c r="I203" i="17"/>
  <c r="I150" i="17"/>
  <c r="F159" i="17"/>
  <c r="I159" i="17" s="1"/>
  <c r="J300" i="13"/>
  <c r="I48" i="15" s="1"/>
  <c r="I361" i="13"/>
  <c r="I362" i="13" s="1"/>
  <c r="I300" i="13"/>
  <c r="J284" i="13"/>
  <c r="J335" i="13"/>
  <c r="J336" i="13" s="1"/>
  <c r="I51" i="15" s="1"/>
  <c r="I53" i="15" s="1"/>
  <c r="I333" i="13"/>
  <c r="I284" i="13"/>
  <c r="I301" i="13" s="1"/>
  <c r="O305" i="1"/>
  <c r="O297" i="1"/>
  <c r="H362" i="1"/>
  <c r="N338" i="1"/>
  <c r="O343" i="1"/>
  <c r="G360" i="1"/>
  <c r="J338" i="1"/>
  <c r="M331" i="1"/>
  <c r="O323" i="1"/>
  <c r="J287" i="1"/>
  <c r="G298" i="1"/>
  <c r="O338" i="1"/>
  <c r="K287" i="1"/>
  <c r="N283" i="1"/>
  <c r="K346" i="1"/>
  <c r="N344" i="1"/>
  <c r="N339" i="1"/>
  <c r="K343" i="1"/>
  <c r="N343" i="1" s="1"/>
  <c r="O318" i="1"/>
  <c r="M319" i="1"/>
  <c r="K319" i="1"/>
  <c r="N310" i="1"/>
  <c r="O283" i="1"/>
  <c r="K331" i="1"/>
  <c r="N331" i="1" s="1"/>
  <c r="G319" i="1"/>
  <c r="J310" i="1"/>
  <c r="O281" i="1"/>
  <c r="L282" i="1"/>
  <c r="L299" i="1" s="1"/>
  <c r="I362" i="1"/>
  <c r="M299" i="1"/>
  <c r="K282" i="1"/>
  <c r="D47" i="15" s="1"/>
  <c r="N253" i="1"/>
  <c r="O261" i="1"/>
  <c r="G282" i="1"/>
  <c r="T89" i="14"/>
  <c r="Q93" i="14"/>
  <c r="S93" i="14" s="1"/>
  <c r="T93" i="14" s="1"/>
  <c r="Q91" i="14"/>
  <c r="R95" i="14"/>
  <c r="S95" i="14" s="1"/>
  <c r="T95" i="14" s="1"/>
  <c r="R93" i="14"/>
  <c r="R90" i="14"/>
  <c r="Q94" i="14"/>
  <c r="S94" i="14" s="1"/>
  <c r="T94" i="14" s="1"/>
  <c r="Q90" i="14"/>
  <c r="S90" i="14" s="1"/>
  <c r="T90" i="14" s="1"/>
  <c r="T99" i="14"/>
  <c r="R98" i="14"/>
  <c r="P98" i="14"/>
  <c r="T98" i="14" s="1"/>
  <c r="Q98" i="14"/>
  <c r="S98" i="14" s="1"/>
  <c r="S96" i="14"/>
  <c r="T96" i="14" s="1"/>
  <c r="S92" i="14"/>
  <c r="T92" i="14" s="1"/>
  <c r="S88" i="14"/>
  <c r="T88" i="14" s="1"/>
  <c r="L126" i="14"/>
  <c r="K126" i="14"/>
  <c r="O126" i="14" s="1"/>
  <c r="L125" i="14"/>
  <c r="K125" i="14"/>
  <c r="O125" i="14" s="1"/>
  <c r="G125" i="14"/>
  <c r="C125" i="14"/>
  <c r="L124" i="14"/>
  <c r="K124" i="14"/>
  <c r="O124" i="14" s="1"/>
  <c r="G124" i="14"/>
  <c r="C124" i="14"/>
  <c r="L123" i="14"/>
  <c r="K123" i="14" s="1"/>
  <c r="G123" i="14"/>
  <c r="C123" i="14"/>
  <c r="L122" i="14"/>
  <c r="K122" i="14"/>
  <c r="M122" i="14" s="1"/>
  <c r="G122" i="14"/>
  <c r="C122" i="14"/>
  <c r="L121" i="14"/>
  <c r="K121" i="14" s="1"/>
  <c r="G121" i="14"/>
  <c r="C121" i="14"/>
  <c r="L120" i="14"/>
  <c r="K120" i="14"/>
  <c r="M120" i="14" s="1"/>
  <c r="G120" i="14"/>
  <c r="C120" i="14"/>
  <c r="L119" i="14"/>
  <c r="K119" i="14" s="1"/>
  <c r="G119" i="14"/>
  <c r="C119" i="14"/>
  <c r="G118" i="14"/>
  <c r="L117" i="14"/>
  <c r="K117" i="14" s="1"/>
  <c r="G117" i="14"/>
  <c r="C117" i="14"/>
  <c r="L116" i="14"/>
  <c r="K116" i="14" s="1"/>
  <c r="G116" i="14"/>
  <c r="C116" i="14"/>
  <c r="L115" i="14"/>
  <c r="K115" i="14" s="1"/>
  <c r="G115" i="14"/>
  <c r="C115" i="14"/>
  <c r="L114" i="14"/>
  <c r="K114" i="14" s="1"/>
  <c r="G114" i="14"/>
  <c r="C114" i="14"/>
  <c r="L113" i="14"/>
  <c r="K113" i="14" s="1"/>
  <c r="G113" i="14"/>
  <c r="C113" i="14"/>
  <c r="L112" i="14"/>
  <c r="K112" i="14" s="1"/>
  <c r="G112" i="14"/>
  <c r="C112" i="14"/>
  <c r="L111" i="14"/>
  <c r="K111" i="14" s="1"/>
  <c r="G111" i="14"/>
  <c r="C111" i="14"/>
  <c r="L110" i="14"/>
  <c r="K110" i="14" s="1"/>
  <c r="G110" i="14"/>
  <c r="C110" i="14"/>
  <c r="C38" i="15"/>
  <c r="C35" i="15"/>
  <c r="C32" i="15"/>
  <c r="C31" i="15"/>
  <c r="C40" i="15"/>
  <c r="E39" i="15"/>
  <c r="E36" i="15"/>
  <c r="C37" i="15"/>
  <c r="E33" i="15"/>
  <c r="C34" i="15"/>
  <c r="C41" i="15" s="1"/>
  <c r="H225" i="16"/>
  <c r="F225" i="16"/>
  <c r="I225" i="16" s="1"/>
  <c r="I226" i="16" s="1"/>
  <c r="E224" i="16"/>
  <c r="H223" i="16"/>
  <c r="H222" i="16"/>
  <c r="H221" i="16"/>
  <c r="I221" i="16" s="1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E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I164" i="16"/>
  <c r="E163" i="16"/>
  <c r="H162" i="16"/>
  <c r="H161" i="16"/>
  <c r="H160" i="16"/>
  <c r="H159" i="16"/>
  <c r="H158" i="16"/>
  <c r="H157" i="16"/>
  <c r="H156" i="16"/>
  <c r="E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E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E138" i="17"/>
  <c r="H137" i="17"/>
  <c r="H138" i="17" s="1"/>
  <c r="G137" i="17"/>
  <c r="G138" i="17" s="1"/>
  <c r="D137" i="17"/>
  <c r="D138" i="17" s="1"/>
  <c r="P136" i="17"/>
  <c r="F136" i="17"/>
  <c r="I136" i="17" s="1"/>
  <c r="P135" i="17"/>
  <c r="F135" i="17"/>
  <c r="I135" i="17" s="1"/>
  <c r="P134" i="17"/>
  <c r="F134" i="17"/>
  <c r="I134" i="17" s="1"/>
  <c r="P133" i="17"/>
  <c r="F133" i="17"/>
  <c r="I133" i="17" s="1"/>
  <c r="P132" i="17"/>
  <c r="F132" i="17"/>
  <c r="I132" i="17" s="1"/>
  <c r="P131" i="17"/>
  <c r="F131" i="17"/>
  <c r="I131" i="17" s="1"/>
  <c r="P130" i="17"/>
  <c r="F130" i="17"/>
  <c r="I130" i="17" s="1"/>
  <c r="P129" i="17"/>
  <c r="F129" i="17"/>
  <c r="I129" i="17" s="1"/>
  <c r="P128" i="17"/>
  <c r="F128" i="17"/>
  <c r="I128" i="17" s="1"/>
  <c r="P127" i="17"/>
  <c r="F127" i="17"/>
  <c r="I127" i="17" s="1"/>
  <c r="P126" i="17"/>
  <c r="F126" i="17"/>
  <c r="I126" i="17" s="1"/>
  <c r="P125" i="17"/>
  <c r="F125" i="17"/>
  <c r="I125" i="17" s="1"/>
  <c r="P124" i="17"/>
  <c r="F124" i="17"/>
  <c r="I124" i="17" s="1"/>
  <c r="P123" i="17"/>
  <c r="F123" i="17"/>
  <c r="I123" i="17" s="1"/>
  <c r="P122" i="17"/>
  <c r="F122" i="17"/>
  <c r="I122" i="17" s="1"/>
  <c r="P121" i="17"/>
  <c r="F121" i="17"/>
  <c r="I121" i="17" s="1"/>
  <c r="P120" i="17"/>
  <c r="F120" i="17"/>
  <c r="I120" i="17" s="1"/>
  <c r="P119" i="17"/>
  <c r="F119" i="17"/>
  <c r="I119" i="17" s="1"/>
  <c r="P118" i="17"/>
  <c r="I118" i="17"/>
  <c r="F118" i="17"/>
  <c r="P117" i="17"/>
  <c r="F117" i="17"/>
  <c r="I117" i="17" s="1"/>
  <c r="P116" i="17"/>
  <c r="F116" i="17"/>
  <c r="I116" i="17" s="1"/>
  <c r="P115" i="17"/>
  <c r="F115" i="17"/>
  <c r="I115" i="17" s="1"/>
  <c r="P114" i="17"/>
  <c r="F114" i="17"/>
  <c r="I114" i="17" s="1"/>
  <c r="P113" i="17"/>
  <c r="F113" i="17"/>
  <c r="I113" i="17" s="1"/>
  <c r="P112" i="17"/>
  <c r="F112" i="17"/>
  <c r="I112" i="17" s="1"/>
  <c r="P111" i="17"/>
  <c r="F111" i="17"/>
  <c r="I111" i="17" s="1"/>
  <c r="P110" i="17"/>
  <c r="F110" i="17"/>
  <c r="I110" i="17" s="1"/>
  <c r="P109" i="17"/>
  <c r="F109" i="17"/>
  <c r="P108" i="17"/>
  <c r="F108" i="17"/>
  <c r="I108" i="17" s="1"/>
  <c r="P107" i="17"/>
  <c r="F107" i="17"/>
  <c r="I107" i="17" s="1"/>
  <c r="P106" i="17"/>
  <c r="F106" i="17"/>
  <c r="I106" i="17" s="1"/>
  <c r="P105" i="17"/>
  <c r="F105" i="17"/>
  <c r="I105" i="17" s="1"/>
  <c r="P104" i="17"/>
  <c r="F104" i="17"/>
  <c r="I104" i="17" s="1"/>
  <c r="P103" i="17"/>
  <c r="F103" i="17"/>
  <c r="I103" i="17" s="1"/>
  <c r="E102" i="17"/>
  <c r="D102" i="17"/>
  <c r="H101" i="17"/>
  <c r="H102" i="17" s="1"/>
  <c r="G101" i="17"/>
  <c r="G102" i="17" s="1"/>
  <c r="P100" i="17"/>
  <c r="F100" i="17"/>
  <c r="I100" i="17" s="1"/>
  <c r="P99" i="17"/>
  <c r="F99" i="17"/>
  <c r="I99" i="17" s="1"/>
  <c r="P98" i="17"/>
  <c r="F98" i="17"/>
  <c r="I98" i="17" s="1"/>
  <c r="P97" i="17"/>
  <c r="F97" i="17"/>
  <c r="I97" i="17" s="1"/>
  <c r="P96" i="17"/>
  <c r="F96" i="17"/>
  <c r="I96" i="17" s="1"/>
  <c r="P95" i="17"/>
  <c r="F95" i="17"/>
  <c r="I95" i="17" s="1"/>
  <c r="P94" i="17"/>
  <c r="I94" i="17"/>
  <c r="F94" i="17"/>
  <c r="E93" i="17"/>
  <c r="H92" i="17"/>
  <c r="G92" i="17"/>
  <c r="D92" i="17"/>
  <c r="P91" i="17"/>
  <c r="F91" i="17"/>
  <c r="I91" i="17" s="1"/>
  <c r="P90" i="17"/>
  <c r="F90" i="17"/>
  <c r="I90" i="17" s="1"/>
  <c r="P89" i="17"/>
  <c r="F89" i="17"/>
  <c r="I89" i="17" s="1"/>
  <c r="P88" i="17"/>
  <c r="F88" i="17"/>
  <c r="I88" i="17" s="1"/>
  <c r="P87" i="17"/>
  <c r="F87" i="17"/>
  <c r="I87" i="17" s="1"/>
  <c r="P86" i="17"/>
  <c r="F86" i="17"/>
  <c r="I86" i="17" s="1"/>
  <c r="P85" i="17"/>
  <c r="P92" i="17" s="1"/>
  <c r="F85" i="17"/>
  <c r="I85" i="17" s="1"/>
  <c r="H84" i="17"/>
  <c r="H93" i="17" s="1"/>
  <c r="G84" i="17"/>
  <c r="D84" i="17"/>
  <c r="P83" i="17"/>
  <c r="F83" i="17"/>
  <c r="I83" i="17" s="1"/>
  <c r="P82" i="17"/>
  <c r="F82" i="17"/>
  <c r="I82" i="17" s="1"/>
  <c r="P81" i="17"/>
  <c r="F81" i="17"/>
  <c r="I81" i="17" s="1"/>
  <c r="P80" i="17"/>
  <c r="F80" i="17"/>
  <c r="I80" i="17" s="1"/>
  <c r="P79" i="17"/>
  <c r="F79" i="17"/>
  <c r="I79" i="17" s="1"/>
  <c r="G241" i="13"/>
  <c r="J241" i="13" s="1"/>
  <c r="F241" i="13"/>
  <c r="I241" i="13" s="1"/>
  <c r="F240" i="13"/>
  <c r="F242" i="13" s="1"/>
  <c r="G238" i="13"/>
  <c r="J238" i="13" s="1"/>
  <c r="F238" i="13"/>
  <c r="I238" i="13" s="1"/>
  <c r="G237" i="13"/>
  <c r="J237" i="13" s="1"/>
  <c r="F237" i="13"/>
  <c r="I237" i="13" s="1"/>
  <c r="G236" i="13"/>
  <c r="G239" i="13" s="1"/>
  <c r="F236" i="13"/>
  <c r="G234" i="13"/>
  <c r="J234" i="13" s="1"/>
  <c r="F234" i="13"/>
  <c r="I234" i="13" s="1"/>
  <c r="F233" i="13"/>
  <c r="I233" i="13" s="1"/>
  <c r="G232" i="13"/>
  <c r="J232" i="13" s="1"/>
  <c r="F232" i="13"/>
  <c r="I232" i="13" s="1"/>
  <c r="F231" i="13"/>
  <c r="G229" i="13"/>
  <c r="J229" i="13" s="1"/>
  <c r="F229" i="13"/>
  <c r="I229" i="13" s="1"/>
  <c r="G228" i="13"/>
  <c r="G230" i="13" s="1"/>
  <c r="F228" i="13"/>
  <c r="F230" i="13" s="1"/>
  <c r="G226" i="13"/>
  <c r="J226" i="13" s="1"/>
  <c r="F226" i="13"/>
  <c r="I226" i="13" s="1"/>
  <c r="G225" i="13"/>
  <c r="J225" i="13" s="1"/>
  <c r="F225" i="13"/>
  <c r="I225" i="13" s="1"/>
  <c r="G224" i="13"/>
  <c r="J224" i="13" s="1"/>
  <c r="F224" i="13"/>
  <c r="I224" i="13" s="1"/>
  <c r="G223" i="13"/>
  <c r="G227" i="13" s="1"/>
  <c r="F223" i="13"/>
  <c r="F227" i="13" s="1"/>
  <c r="F222" i="13"/>
  <c r="G221" i="13"/>
  <c r="J221" i="13" s="1"/>
  <c r="F221" i="13"/>
  <c r="I221" i="13" s="1"/>
  <c r="G220" i="13"/>
  <c r="J220" i="13" s="1"/>
  <c r="F220" i="13"/>
  <c r="I220" i="13" s="1"/>
  <c r="G219" i="13"/>
  <c r="G222" i="13" s="1"/>
  <c r="F219" i="13"/>
  <c r="I219" i="13" s="1"/>
  <c r="G216" i="13"/>
  <c r="J216" i="13" s="1"/>
  <c r="F216" i="13"/>
  <c r="I216" i="13" s="1"/>
  <c r="G213" i="13"/>
  <c r="J213" i="13" s="1"/>
  <c r="F213" i="13"/>
  <c r="I213" i="13" s="1"/>
  <c r="G212" i="13"/>
  <c r="J212" i="13" s="1"/>
  <c r="F212" i="13"/>
  <c r="I212" i="13" s="1"/>
  <c r="G211" i="13"/>
  <c r="J211" i="13" s="1"/>
  <c r="F211" i="13"/>
  <c r="I211" i="13" s="1"/>
  <c r="G210" i="13"/>
  <c r="J210" i="13" s="1"/>
  <c r="F210" i="13"/>
  <c r="F214" i="13" s="1"/>
  <c r="G209" i="13"/>
  <c r="J209" i="13" s="1"/>
  <c r="F209" i="13"/>
  <c r="I209" i="13" s="1"/>
  <c r="G208" i="13"/>
  <c r="G214" i="13" s="1"/>
  <c r="F208" i="13"/>
  <c r="I208" i="13" s="1"/>
  <c r="F207" i="13"/>
  <c r="F215" i="13" s="1"/>
  <c r="F206" i="13"/>
  <c r="I206" i="13" s="1"/>
  <c r="G205" i="13"/>
  <c r="J205" i="13" s="1"/>
  <c r="F205" i="13"/>
  <c r="I205" i="13" s="1"/>
  <c r="G204" i="13"/>
  <c r="F204" i="13"/>
  <c r="I204" i="13" s="1"/>
  <c r="F201" i="13"/>
  <c r="I201" i="13" s="1"/>
  <c r="G200" i="13"/>
  <c r="J200" i="13" s="1"/>
  <c r="F200" i="13"/>
  <c r="I200" i="13" s="1"/>
  <c r="F199" i="13"/>
  <c r="I199" i="13" s="1"/>
  <c r="G198" i="13"/>
  <c r="J198" i="13" s="1"/>
  <c r="F198" i="13"/>
  <c r="I198" i="13" s="1"/>
  <c r="G197" i="13"/>
  <c r="J197" i="13" s="1"/>
  <c r="F197" i="13"/>
  <c r="I197" i="13" s="1"/>
  <c r="G196" i="13"/>
  <c r="J196" i="13" s="1"/>
  <c r="F196" i="13"/>
  <c r="I196" i="13" s="1"/>
  <c r="G195" i="13"/>
  <c r="F195" i="13"/>
  <c r="F193" i="13"/>
  <c r="I193" i="13" s="1"/>
  <c r="G192" i="13"/>
  <c r="J192" i="13" s="1"/>
  <c r="F192" i="13"/>
  <c r="I192" i="13" s="1"/>
  <c r="G191" i="13"/>
  <c r="J191" i="13" s="1"/>
  <c r="F191" i="13"/>
  <c r="I191" i="13" s="1"/>
  <c r="G190" i="13"/>
  <c r="J190" i="13" s="1"/>
  <c r="F190" i="13"/>
  <c r="I190" i="13" s="1"/>
  <c r="F189" i="13"/>
  <c r="I189" i="13" s="1"/>
  <c r="G188" i="13"/>
  <c r="J188" i="13" s="1"/>
  <c r="F188" i="13"/>
  <c r="I188" i="13" s="1"/>
  <c r="G187" i="13"/>
  <c r="J187" i="13" s="1"/>
  <c r="F187" i="13"/>
  <c r="I187" i="13" s="1"/>
  <c r="G186" i="13"/>
  <c r="J186" i="13" s="1"/>
  <c r="F186" i="13"/>
  <c r="G185" i="13"/>
  <c r="J185" i="13" s="1"/>
  <c r="F185" i="13"/>
  <c r="I185" i="13" s="1"/>
  <c r="G184" i="13"/>
  <c r="F184" i="13"/>
  <c r="I184" i="13" s="1"/>
  <c r="G180" i="13"/>
  <c r="J180" i="13" s="1"/>
  <c r="F180" i="13"/>
  <c r="I180" i="13" s="1"/>
  <c r="G179" i="13"/>
  <c r="J179" i="13" s="1"/>
  <c r="F179" i="13"/>
  <c r="I179" i="13" s="1"/>
  <c r="G178" i="13"/>
  <c r="J178" i="13" s="1"/>
  <c r="F178" i="13"/>
  <c r="I178" i="13" s="1"/>
  <c r="G177" i="13"/>
  <c r="J177" i="13" s="1"/>
  <c r="F177" i="13"/>
  <c r="I177" i="13" s="1"/>
  <c r="G176" i="13"/>
  <c r="J176" i="13" s="1"/>
  <c r="F176" i="13"/>
  <c r="I176" i="13" s="1"/>
  <c r="G175" i="13"/>
  <c r="J175" i="13" s="1"/>
  <c r="F175" i="13"/>
  <c r="I175" i="13" s="1"/>
  <c r="G174" i="13"/>
  <c r="J174" i="13" s="1"/>
  <c r="F174" i="13"/>
  <c r="I174" i="13" s="1"/>
  <c r="G173" i="13"/>
  <c r="J173" i="13" s="1"/>
  <c r="F173" i="13"/>
  <c r="F181" i="13" s="1"/>
  <c r="G172" i="13"/>
  <c r="G181" i="13" s="1"/>
  <c r="F172" i="13"/>
  <c r="I172" i="13" s="1"/>
  <c r="G170" i="13"/>
  <c r="J170" i="13" s="1"/>
  <c r="F170" i="13"/>
  <c r="I170" i="13" s="1"/>
  <c r="G169" i="13"/>
  <c r="J169" i="13" s="1"/>
  <c r="F169" i="13"/>
  <c r="I169" i="13" s="1"/>
  <c r="G168" i="13"/>
  <c r="J168" i="13" s="1"/>
  <c r="F168" i="13"/>
  <c r="I168" i="13" s="1"/>
  <c r="G167" i="13"/>
  <c r="G171" i="13" s="1"/>
  <c r="G182" i="13" s="1"/>
  <c r="F32" i="15" s="1"/>
  <c r="F167" i="13"/>
  <c r="F171" i="13" s="1"/>
  <c r="F182" i="13" s="1"/>
  <c r="G164" i="13"/>
  <c r="J164" i="13" s="1"/>
  <c r="F164" i="13"/>
  <c r="I164" i="13" s="1"/>
  <c r="G163" i="13"/>
  <c r="J163" i="13" s="1"/>
  <c r="F163" i="13"/>
  <c r="I163" i="13" s="1"/>
  <c r="G162" i="13"/>
  <c r="G165" i="13" s="1"/>
  <c r="F162" i="13"/>
  <c r="F165" i="13" s="1"/>
  <c r="G160" i="13"/>
  <c r="J160" i="13" s="1"/>
  <c r="F160" i="13"/>
  <c r="I160" i="13" s="1"/>
  <c r="G159" i="13"/>
  <c r="J159" i="13" s="1"/>
  <c r="F159" i="13"/>
  <c r="I159" i="13" s="1"/>
  <c r="G158" i="13"/>
  <c r="J158" i="13" s="1"/>
  <c r="F158" i="13"/>
  <c r="I158" i="13" s="1"/>
  <c r="G157" i="13"/>
  <c r="J157" i="13" s="1"/>
  <c r="F157" i="13"/>
  <c r="I157" i="13" s="1"/>
  <c r="G156" i="13"/>
  <c r="J156" i="13" s="1"/>
  <c r="F156" i="13"/>
  <c r="I156" i="13" s="1"/>
  <c r="F155" i="13"/>
  <c r="F154" i="13"/>
  <c r="I154" i="13" s="1"/>
  <c r="G152" i="13"/>
  <c r="J152" i="13" s="1"/>
  <c r="F152" i="13"/>
  <c r="I152" i="13" s="1"/>
  <c r="G151" i="13"/>
  <c r="J151" i="13" s="1"/>
  <c r="F151" i="13"/>
  <c r="I151" i="13" s="1"/>
  <c r="G150" i="13"/>
  <c r="J150" i="13" s="1"/>
  <c r="F150" i="13"/>
  <c r="I150" i="13" s="1"/>
  <c r="G149" i="13"/>
  <c r="J149" i="13" s="1"/>
  <c r="F149" i="13"/>
  <c r="I149" i="13" s="1"/>
  <c r="G148" i="13"/>
  <c r="J148" i="13" s="1"/>
  <c r="F148" i="13"/>
  <c r="I148" i="13" s="1"/>
  <c r="G147" i="13"/>
  <c r="J147" i="13" s="1"/>
  <c r="F147" i="13"/>
  <c r="I147" i="13" s="1"/>
  <c r="G146" i="13"/>
  <c r="G153" i="13" s="1"/>
  <c r="F146" i="13"/>
  <c r="F153" i="13" s="1"/>
  <c r="G144" i="13"/>
  <c r="J144" i="13" s="1"/>
  <c r="F144" i="13"/>
  <c r="I144" i="13" s="1"/>
  <c r="G143" i="13"/>
  <c r="J143" i="13" s="1"/>
  <c r="F143" i="13"/>
  <c r="I143" i="13" s="1"/>
  <c r="G142" i="13"/>
  <c r="J142" i="13" s="1"/>
  <c r="F142" i="13"/>
  <c r="I142" i="13" s="1"/>
  <c r="G141" i="13"/>
  <c r="J141" i="13" s="1"/>
  <c r="F141" i="13"/>
  <c r="G140" i="13"/>
  <c r="J140" i="13" s="1"/>
  <c r="F140" i="13"/>
  <c r="I140" i="13" s="1"/>
  <c r="G139" i="13"/>
  <c r="J139" i="13" s="1"/>
  <c r="F139" i="13"/>
  <c r="I139" i="13" s="1"/>
  <c r="G138" i="13"/>
  <c r="G145" i="13" s="1"/>
  <c r="F138" i="13"/>
  <c r="I138" i="13" s="1"/>
  <c r="G136" i="13"/>
  <c r="J136" i="13" s="1"/>
  <c r="F136" i="13"/>
  <c r="I136" i="13" s="1"/>
  <c r="G135" i="13"/>
  <c r="J135" i="13" s="1"/>
  <c r="F135" i="13"/>
  <c r="I135" i="13" s="1"/>
  <c r="G134" i="13"/>
  <c r="J134" i="13" s="1"/>
  <c r="F134" i="13"/>
  <c r="I134" i="13" s="1"/>
  <c r="G133" i="13"/>
  <c r="G137" i="13" s="1"/>
  <c r="F133" i="13"/>
  <c r="F137" i="13" s="1"/>
  <c r="M240" i="1"/>
  <c r="L240" i="1"/>
  <c r="K240" i="1" s="1"/>
  <c r="M239" i="1"/>
  <c r="M357" i="1" s="1"/>
  <c r="M359" i="1" s="1"/>
  <c r="L239" i="1"/>
  <c r="L357" i="1" s="1"/>
  <c r="M237" i="1"/>
  <c r="L237" i="1"/>
  <c r="K237" i="1" s="1"/>
  <c r="N237" i="1" s="1"/>
  <c r="M236" i="1"/>
  <c r="L236" i="1"/>
  <c r="K236" i="1" s="1"/>
  <c r="K238" i="1" s="1"/>
  <c r="N238" i="1" s="1"/>
  <c r="M235" i="1"/>
  <c r="L235" i="1"/>
  <c r="M233" i="1"/>
  <c r="L233" i="1"/>
  <c r="M232" i="1"/>
  <c r="L232" i="1"/>
  <c r="K232" i="1" s="1"/>
  <c r="N232" i="1" s="1"/>
  <c r="M231" i="1"/>
  <c r="M349" i="1" s="1"/>
  <c r="L231" i="1"/>
  <c r="M230" i="1"/>
  <c r="L230" i="1"/>
  <c r="K230" i="1" s="1"/>
  <c r="N230" i="1" s="1"/>
  <c r="M229" i="1"/>
  <c r="M347" i="1" s="1"/>
  <c r="M352" i="1" s="1"/>
  <c r="M360" i="1" s="1"/>
  <c r="L229" i="1"/>
  <c r="L347" i="1" s="1"/>
  <c r="M227" i="1"/>
  <c r="L227" i="1"/>
  <c r="M226" i="1"/>
  <c r="L226" i="1"/>
  <c r="M224" i="1"/>
  <c r="L224" i="1"/>
  <c r="K224" i="1" s="1"/>
  <c r="N224" i="1" s="1"/>
  <c r="M223" i="1"/>
  <c r="L223" i="1"/>
  <c r="K223" i="1" s="1"/>
  <c r="N223" i="1" s="1"/>
  <c r="M222" i="1"/>
  <c r="L222" i="1"/>
  <c r="M221" i="1"/>
  <c r="L221" i="1"/>
  <c r="M219" i="1"/>
  <c r="L219" i="1"/>
  <c r="M218" i="1"/>
  <c r="L218" i="1"/>
  <c r="K218" i="1" s="1"/>
  <c r="M217" i="1"/>
  <c r="L217" i="1"/>
  <c r="L220" i="1" s="1"/>
  <c r="M214" i="1"/>
  <c r="L214" i="1"/>
  <c r="M211" i="1"/>
  <c r="L211" i="1"/>
  <c r="K211" i="1" s="1"/>
  <c r="N211" i="1" s="1"/>
  <c r="M210" i="1"/>
  <c r="L210" i="1"/>
  <c r="K210" i="1" s="1"/>
  <c r="M209" i="1"/>
  <c r="L209" i="1"/>
  <c r="K209" i="1" s="1"/>
  <c r="N209" i="1" s="1"/>
  <c r="M208" i="1"/>
  <c r="L208" i="1"/>
  <c r="K208" i="1" s="1"/>
  <c r="M207" i="1"/>
  <c r="L207" i="1"/>
  <c r="K207" i="1" s="1"/>
  <c r="N207" i="1" s="1"/>
  <c r="M206" i="1"/>
  <c r="L206" i="1"/>
  <c r="K206" i="1" s="1"/>
  <c r="M203" i="1"/>
  <c r="L203" i="1"/>
  <c r="M202" i="1"/>
  <c r="L202" i="1"/>
  <c r="M199" i="1"/>
  <c r="L199" i="1"/>
  <c r="M198" i="1"/>
  <c r="L198" i="1"/>
  <c r="K198" i="1" s="1"/>
  <c r="M196" i="1"/>
  <c r="L196" i="1"/>
  <c r="K196" i="1" s="1"/>
  <c r="M195" i="1"/>
  <c r="L195" i="1"/>
  <c r="K195" i="1" s="1"/>
  <c r="M194" i="1"/>
  <c r="L194" i="1"/>
  <c r="M193" i="1"/>
  <c r="L193" i="1"/>
  <c r="M191" i="1"/>
  <c r="L191" i="1"/>
  <c r="K191" i="1" s="1"/>
  <c r="M190" i="1"/>
  <c r="L190" i="1"/>
  <c r="K190" i="1" s="1"/>
  <c r="M189" i="1"/>
  <c r="L189" i="1"/>
  <c r="M188" i="1"/>
  <c r="L188" i="1"/>
  <c r="M186" i="1"/>
  <c r="L186" i="1"/>
  <c r="K186" i="1" s="1"/>
  <c r="M185" i="1"/>
  <c r="L185" i="1"/>
  <c r="M184" i="1"/>
  <c r="L184" i="1"/>
  <c r="M183" i="1"/>
  <c r="L183" i="1"/>
  <c r="K183" i="1" s="1"/>
  <c r="M182" i="1"/>
  <c r="L182" i="1"/>
  <c r="M178" i="1"/>
  <c r="L178" i="1"/>
  <c r="K178" i="1" s="1"/>
  <c r="M177" i="1"/>
  <c r="L177" i="1"/>
  <c r="K177" i="1" s="1"/>
  <c r="M176" i="1"/>
  <c r="L176" i="1"/>
  <c r="M175" i="1"/>
  <c r="L175" i="1"/>
  <c r="M174" i="1"/>
  <c r="L174" i="1"/>
  <c r="K174" i="1" s="1"/>
  <c r="M173" i="1"/>
  <c r="L173" i="1"/>
  <c r="K173" i="1" s="1"/>
  <c r="M172" i="1"/>
  <c r="L172" i="1"/>
  <c r="M171" i="1"/>
  <c r="K171" i="1" s="1"/>
  <c r="N171" i="1" s="1"/>
  <c r="L171" i="1"/>
  <c r="M170" i="1"/>
  <c r="L170" i="1"/>
  <c r="K170" i="1" s="1"/>
  <c r="M168" i="1"/>
  <c r="L168" i="1"/>
  <c r="M167" i="1"/>
  <c r="L167" i="1"/>
  <c r="K167" i="1" s="1"/>
  <c r="N167" i="1" s="1"/>
  <c r="M166" i="1"/>
  <c r="L166" i="1"/>
  <c r="K166" i="1" s="1"/>
  <c r="N166" i="1" s="1"/>
  <c r="M165" i="1"/>
  <c r="L165" i="1"/>
  <c r="M162" i="1"/>
  <c r="L162" i="1"/>
  <c r="M161" i="1"/>
  <c r="L161" i="1"/>
  <c r="K161" i="1" s="1"/>
  <c r="M160" i="1"/>
  <c r="L160" i="1"/>
  <c r="K160" i="1" s="1"/>
  <c r="M158" i="1"/>
  <c r="L158" i="1"/>
  <c r="M157" i="1"/>
  <c r="L157" i="1"/>
  <c r="K157" i="1" s="1"/>
  <c r="M156" i="1"/>
  <c r="L156" i="1"/>
  <c r="K156" i="1" s="1"/>
  <c r="M155" i="1"/>
  <c r="L155" i="1"/>
  <c r="M154" i="1"/>
  <c r="L154" i="1"/>
  <c r="M153" i="1"/>
  <c r="L153" i="1"/>
  <c r="K153" i="1" s="1"/>
  <c r="M152" i="1"/>
  <c r="L152" i="1"/>
  <c r="K152" i="1" s="1"/>
  <c r="K159" i="1" s="1"/>
  <c r="N159" i="1" s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K144" i="1" s="1"/>
  <c r="M142" i="1"/>
  <c r="L142" i="1"/>
  <c r="M141" i="1"/>
  <c r="L141" i="1"/>
  <c r="K141" i="1" s="1"/>
  <c r="M140" i="1"/>
  <c r="L140" i="1"/>
  <c r="K140" i="1" s="1"/>
  <c r="M139" i="1"/>
  <c r="L139" i="1"/>
  <c r="M138" i="1"/>
  <c r="L138" i="1"/>
  <c r="K138" i="1" s="1"/>
  <c r="N138" i="1" s="1"/>
  <c r="M137" i="1"/>
  <c r="L137" i="1"/>
  <c r="M136" i="1"/>
  <c r="L136" i="1"/>
  <c r="K136" i="1" s="1"/>
  <c r="N136" i="1" s="1"/>
  <c r="M134" i="1"/>
  <c r="L134" i="1"/>
  <c r="M133" i="1"/>
  <c r="L133" i="1"/>
  <c r="K133" i="1" s="1"/>
  <c r="N133" i="1" s="1"/>
  <c r="M132" i="1"/>
  <c r="L132" i="1"/>
  <c r="K132" i="1" s="1"/>
  <c r="N132" i="1" s="1"/>
  <c r="M131" i="1"/>
  <c r="L131" i="1"/>
  <c r="F242" i="1"/>
  <c r="F243" i="1" s="1"/>
  <c r="I241" i="1"/>
  <c r="H241" i="1"/>
  <c r="E241" i="1"/>
  <c r="G240" i="1"/>
  <c r="J240" i="1" s="1"/>
  <c r="G239" i="1"/>
  <c r="J239" i="1" s="1"/>
  <c r="I238" i="1"/>
  <c r="H238" i="1"/>
  <c r="E238" i="1"/>
  <c r="G237" i="1"/>
  <c r="J237" i="1" s="1"/>
  <c r="J236" i="1"/>
  <c r="G236" i="1"/>
  <c r="K235" i="1"/>
  <c r="N235" i="1" s="1"/>
  <c r="G235" i="1"/>
  <c r="J235" i="1" s="1"/>
  <c r="I234" i="1"/>
  <c r="H234" i="1"/>
  <c r="E234" i="1"/>
  <c r="K233" i="1"/>
  <c r="N233" i="1" s="1"/>
  <c r="J233" i="1"/>
  <c r="G233" i="1"/>
  <c r="G232" i="1"/>
  <c r="J232" i="1" s="1"/>
  <c r="G231" i="1"/>
  <c r="J231" i="1" s="1"/>
  <c r="G230" i="1"/>
  <c r="J230" i="1" s="1"/>
  <c r="G229" i="1"/>
  <c r="G234" i="1" s="1"/>
  <c r="J234" i="1" s="1"/>
  <c r="M228" i="1"/>
  <c r="I228" i="1"/>
  <c r="H228" i="1"/>
  <c r="E228" i="1"/>
  <c r="O227" i="1"/>
  <c r="K227" i="1"/>
  <c r="N227" i="1" s="1"/>
  <c r="G227" i="1"/>
  <c r="J227" i="1" s="1"/>
  <c r="J226" i="1"/>
  <c r="G226" i="1"/>
  <c r="I225" i="1"/>
  <c r="H225" i="1"/>
  <c r="E225" i="1"/>
  <c r="G224" i="1"/>
  <c r="J224" i="1" s="1"/>
  <c r="J223" i="1"/>
  <c r="G223" i="1"/>
  <c r="K222" i="1"/>
  <c r="N222" i="1" s="1"/>
  <c r="G222" i="1"/>
  <c r="J222" i="1" s="1"/>
  <c r="J221" i="1"/>
  <c r="G221" i="1"/>
  <c r="M220" i="1"/>
  <c r="I220" i="1"/>
  <c r="H220" i="1"/>
  <c r="E220" i="1"/>
  <c r="E242" i="1" s="1"/>
  <c r="E243" i="1" s="1"/>
  <c r="K219" i="1"/>
  <c r="N219" i="1" s="1"/>
  <c r="G219" i="1"/>
  <c r="J219" i="1" s="1"/>
  <c r="J218" i="1"/>
  <c r="G218" i="1"/>
  <c r="K217" i="1"/>
  <c r="N217" i="1" s="1"/>
  <c r="G217" i="1"/>
  <c r="J217" i="1" s="1"/>
  <c r="K214" i="1"/>
  <c r="N214" i="1" s="1"/>
  <c r="G214" i="1"/>
  <c r="J214" i="1" s="1"/>
  <c r="I212" i="1"/>
  <c r="H212" i="1"/>
  <c r="E212" i="1"/>
  <c r="E213" i="1" s="1"/>
  <c r="J211" i="1"/>
  <c r="G211" i="1"/>
  <c r="G210" i="1"/>
  <c r="J210" i="1" s="1"/>
  <c r="J209" i="1"/>
  <c r="G209" i="1"/>
  <c r="G208" i="1"/>
  <c r="J208" i="1" s="1"/>
  <c r="J207" i="1"/>
  <c r="G207" i="1"/>
  <c r="M212" i="1"/>
  <c r="G206" i="1"/>
  <c r="I205" i="1"/>
  <c r="I213" i="1" s="1"/>
  <c r="H205" i="1"/>
  <c r="H213" i="1" s="1"/>
  <c r="E205" i="1"/>
  <c r="J204" i="1"/>
  <c r="G204" i="1"/>
  <c r="K203" i="1"/>
  <c r="N203" i="1" s="1"/>
  <c r="G203" i="1"/>
  <c r="J203" i="1" s="1"/>
  <c r="K202" i="1"/>
  <c r="J202" i="1"/>
  <c r="G202" i="1"/>
  <c r="G205" i="1" s="1"/>
  <c r="F201" i="1"/>
  <c r="F215" i="1" s="1"/>
  <c r="F216" i="1" s="1"/>
  <c r="I200" i="1"/>
  <c r="H200" i="1"/>
  <c r="E200" i="1"/>
  <c r="E201" i="1" s="1"/>
  <c r="E215" i="1" s="1"/>
  <c r="E216" i="1" s="1"/>
  <c r="G199" i="1"/>
  <c r="J199" i="1" s="1"/>
  <c r="J198" i="1"/>
  <c r="G197" i="1"/>
  <c r="J197" i="1" s="1"/>
  <c r="J196" i="1"/>
  <c r="G196" i="1"/>
  <c r="G195" i="1"/>
  <c r="J195" i="1" s="1"/>
  <c r="K194" i="1"/>
  <c r="N194" i="1" s="1"/>
  <c r="J194" i="1"/>
  <c r="G194" i="1"/>
  <c r="K193" i="1"/>
  <c r="O193" i="1" s="1"/>
  <c r="G193" i="1"/>
  <c r="I192" i="1"/>
  <c r="I201" i="1" s="1"/>
  <c r="I215" i="1" s="1"/>
  <c r="I216" i="1" s="1"/>
  <c r="H192" i="1"/>
  <c r="E192" i="1"/>
  <c r="G191" i="1"/>
  <c r="J191" i="1" s="1"/>
  <c r="G190" i="1"/>
  <c r="J190" i="1" s="1"/>
  <c r="K189" i="1"/>
  <c r="N189" i="1" s="1"/>
  <c r="J189" i="1"/>
  <c r="G189" i="1"/>
  <c r="K188" i="1"/>
  <c r="N188" i="1" s="1"/>
  <c r="G188" i="1"/>
  <c r="J188" i="1" s="1"/>
  <c r="J187" i="1"/>
  <c r="G187" i="1"/>
  <c r="G186" i="1"/>
  <c r="J186" i="1" s="1"/>
  <c r="K185" i="1"/>
  <c r="N185" i="1" s="1"/>
  <c r="J185" i="1"/>
  <c r="G185" i="1"/>
  <c r="K184" i="1"/>
  <c r="N184" i="1" s="1"/>
  <c r="G184" i="1"/>
  <c r="J184" i="1" s="1"/>
  <c r="J183" i="1"/>
  <c r="G183" i="1"/>
  <c r="K182" i="1"/>
  <c r="O182" i="1" s="1"/>
  <c r="G182" i="1"/>
  <c r="F180" i="1"/>
  <c r="I179" i="1"/>
  <c r="M179" i="1" s="1"/>
  <c r="H179" i="1"/>
  <c r="L179" i="1" s="1"/>
  <c r="E179" i="1"/>
  <c r="E180" i="1" s="1"/>
  <c r="J178" i="1"/>
  <c r="G178" i="1"/>
  <c r="G177" i="1"/>
  <c r="J177" i="1" s="1"/>
  <c r="K176" i="1"/>
  <c r="N176" i="1" s="1"/>
  <c r="J176" i="1"/>
  <c r="G176" i="1"/>
  <c r="K175" i="1"/>
  <c r="N175" i="1" s="1"/>
  <c r="G175" i="1"/>
  <c r="J175" i="1" s="1"/>
  <c r="J174" i="1"/>
  <c r="G174" i="1"/>
  <c r="G173" i="1"/>
  <c r="J173" i="1" s="1"/>
  <c r="K172" i="1"/>
  <c r="N172" i="1" s="1"/>
  <c r="J172" i="1"/>
  <c r="G172" i="1"/>
  <c r="G171" i="1"/>
  <c r="J171" i="1" s="1"/>
  <c r="J170" i="1"/>
  <c r="G170" i="1"/>
  <c r="I169" i="1"/>
  <c r="H169" i="1"/>
  <c r="E169" i="1"/>
  <c r="G168" i="1"/>
  <c r="J168" i="1" s="1"/>
  <c r="J167" i="1"/>
  <c r="G167" i="1"/>
  <c r="M169" i="1"/>
  <c r="G166" i="1"/>
  <c r="J166" i="1" s="1"/>
  <c r="J165" i="1"/>
  <c r="G165" i="1"/>
  <c r="I163" i="1"/>
  <c r="H163" i="1"/>
  <c r="E163" i="1"/>
  <c r="K162" i="1"/>
  <c r="N162" i="1" s="1"/>
  <c r="G162" i="1"/>
  <c r="J162" i="1" s="1"/>
  <c r="J161" i="1"/>
  <c r="G161" i="1"/>
  <c r="M163" i="1"/>
  <c r="G160" i="1"/>
  <c r="J160" i="1" s="1"/>
  <c r="I159" i="1"/>
  <c r="H159" i="1"/>
  <c r="F159" i="1"/>
  <c r="F164" i="1" s="1"/>
  <c r="F181" i="1" s="1"/>
  <c r="F244" i="1" s="1"/>
  <c r="E159" i="1"/>
  <c r="K158" i="1"/>
  <c r="N158" i="1" s="1"/>
  <c r="G158" i="1"/>
  <c r="J158" i="1" s="1"/>
  <c r="J157" i="1"/>
  <c r="G157" i="1"/>
  <c r="G156" i="1"/>
  <c r="J156" i="1" s="1"/>
  <c r="K155" i="1"/>
  <c r="N155" i="1" s="1"/>
  <c r="J155" i="1"/>
  <c r="G155" i="1"/>
  <c r="K154" i="1"/>
  <c r="N154" i="1" s="1"/>
  <c r="G154" i="1"/>
  <c r="J154" i="1" s="1"/>
  <c r="G153" i="1"/>
  <c r="J153" i="1" s="1"/>
  <c r="M159" i="1"/>
  <c r="G152" i="1"/>
  <c r="G159" i="1" s="1"/>
  <c r="J159" i="1" s="1"/>
  <c r="I151" i="1"/>
  <c r="H151" i="1"/>
  <c r="E151" i="1"/>
  <c r="K150" i="1"/>
  <c r="N150" i="1" s="1"/>
  <c r="J150" i="1"/>
  <c r="G150" i="1"/>
  <c r="K149" i="1"/>
  <c r="N149" i="1" s="1"/>
  <c r="G149" i="1"/>
  <c r="J149" i="1" s="1"/>
  <c r="K148" i="1"/>
  <c r="N148" i="1" s="1"/>
  <c r="J148" i="1"/>
  <c r="G148" i="1"/>
  <c r="K147" i="1"/>
  <c r="N147" i="1" s="1"/>
  <c r="G147" i="1"/>
  <c r="J147" i="1" s="1"/>
  <c r="K146" i="1"/>
  <c r="N146" i="1" s="1"/>
  <c r="J146" i="1"/>
  <c r="G146" i="1"/>
  <c r="K145" i="1"/>
  <c r="N145" i="1" s="1"/>
  <c r="G145" i="1"/>
  <c r="J145" i="1" s="1"/>
  <c r="M151" i="1"/>
  <c r="J144" i="1"/>
  <c r="G144" i="1"/>
  <c r="G151" i="1" s="1"/>
  <c r="J151" i="1" s="1"/>
  <c r="I143" i="1"/>
  <c r="H143" i="1"/>
  <c r="E143" i="1"/>
  <c r="K142" i="1"/>
  <c r="N142" i="1" s="1"/>
  <c r="G142" i="1"/>
  <c r="J142" i="1" s="1"/>
  <c r="J141" i="1"/>
  <c r="G141" i="1"/>
  <c r="G140" i="1"/>
  <c r="J140" i="1" s="1"/>
  <c r="K139" i="1"/>
  <c r="N139" i="1" s="1"/>
  <c r="J139" i="1"/>
  <c r="G139" i="1"/>
  <c r="G138" i="1"/>
  <c r="J138" i="1" s="1"/>
  <c r="K137" i="1"/>
  <c r="N137" i="1" s="1"/>
  <c r="J137" i="1"/>
  <c r="G137" i="1"/>
  <c r="M143" i="1"/>
  <c r="L143" i="1"/>
  <c r="G136" i="1"/>
  <c r="J136" i="1" s="1"/>
  <c r="I135" i="1"/>
  <c r="H135" i="1"/>
  <c r="E135" i="1"/>
  <c r="E164" i="1" s="1"/>
  <c r="E181" i="1" s="1"/>
  <c r="E244" i="1" s="1"/>
  <c r="K134" i="1"/>
  <c r="N134" i="1" s="1"/>
  <c r="J134" i="1"/>
  <c r="G134" i="1"/>
  <c r="G133" i="1"/>
  <c r="J133" i="1" s="1"/>
  <c r="J132" i="1"/>
  <c r="G132" i="1"/>
  <c r="M135" i="1"/>
  <c r="K131" i="1"/>
  <c r="G131" i="1"/>
  <c r="G135" i="1" s="1"/>
  <c r="E165" i="16" l="1"/>
  <c r="H140" i="16"/>
  <c r="H155" i="16"/>
  <c r="H198" i="16"/>
  <c r="S91" i="14"/>
  <c r="T91" i="14" s="1"/>
  <c r="E139" i="17"/>
  <c r="E47" i="15"/>
  <c r="J301" i="13"/>
  <c r="I47" i="15"/>
  <c r="I50" i="15" s="1"/>
  <c r="I335" i="13"/>
  <c r="I336" i="13" s="1"/>
  <c r="I363" i="13" s="1"/>
  <c r="T101" i="14"/>
  <c r="H224" i="16"/>
  <c r="M241" i="1"/>
  <c r="G358" i="13"/>
  <c r="L359" i="1"/>
  <c r="K357" i="1"/>
  <c r="G240" i="13"/>
  <c r="G242" i="13" s="1"/>
  <c r="K231" i="1"/>
  <c r="N231" i="1" s="1"/>
  <c r="L349" i="1"/>
  <c r="F235" i="13"/>
  <c r="G233" i="13"/>
  <c r="J233" i="13" s="1"/>
  <c r="G349" i="13"/>
  <c r="L352" i="1"/>
  <c r="L360" i="1" s="1"/>
  <c r="L361" i="1" s="1"/>
  <c r="L362" i="1" s="1"/>
  <c r="K347" i="1"/>
  <c r="G231" i="13"/>
  <c r="G235" i="13" s="1"/>
  <c r="J229" i="1"/>
  <c r="G243" i="13"/>
  <c r="G244" i="13" s="1"/>
  <c r="F38" i="15" s="1"/>
  <c r="F40" i="15" s="1"/>
  <c r="F205" i="17"/>
  <c r="I205" i="17" s="1"/>
  <c r="I204" i="17"/>
  <c r="N282" i="1"/>
  <c r="N319" i="1"/>
  <c r="K333" i="1"/>
  <c r="N287" i="1"/>
  <c r="K298" i="1"/>
  <c r="D48" i="15" s="1"/>
  <c r="E48" i="15" s="1"/>
  <c r="O287" i="1"/>
  <c r="J298" i="1"/>
  <c r="J297" i="1"/>
  <c r="G299" i="1"/>
  <c r="J282" i="1"/>
  <c r="O282" i="1"/>
  <c r="J319" i="1"/>
  <c r="G333" i="1"/>
  <c r="M361" i="1"/>
  <c r="M333" i="1"/>
  <c r="O319" i="1"/>
  <c r="N346" i="1"/>
  <c r="O346" i="1"/>
  <c r="O331" i="1"/>
  <c r="G361" i="1"/>
  <c r="J361" i="1" s="1"/>
  <c r="J360" i="1"/>
  <c r="I180" i="1"/>
  <c r="H180" i="1"/>
  <c r="K168" i="1"/>
  <c r="N168" i="1" s="1"/>
  <c r="G155" i="13"/>
  <c r="J155" i="13" s="1"/>
  <c r="F161" i="13"/>
  <c r="G154" i="13"/>
  <c r="F145" i="13"/>
  <c r="F166" i="13" s="1"/>
  <c r="F183" i="13" s="1"/>
  <c r="K199" i="1"/>
  <c r="N199" i="1" s="1"/>
  <c r="G201" i="13"/>
  <c r="J201" i="13" s="1"/>
  <c r="G193" i="13"/>
  <c r="J193" i="13" s="1"/>
  <c r="F194" i="13"/>
  <c r="G93" i="17"/>
  <c r="G139" i="17" s="1"/>
  <c r="D93" i="17"/>
  <c r="D139" i="17" s="1"/>
  <c r="F101" i="17"/>
  <c r="I101" i="17" s="1"/>
  <c r="P137" i="17"/>
  <c r="P138" i="17" s="1"/>
  <c r="P101" i="17"/>
  <c r="P102" i="17" s="1"/>
  <c r="M121" i="14"/>
  <c r="O121" i="14"/>
  <c r="N121" i="14" s="1"/>
  <c r="P121" i="14" s="1"/>
  <c r="M123" i="14"/>
  <c r="O123" i="14"/>
  <c r="N123" i="14" s="1"/>
  <c r="P123" i="14" s="1"/>
  <c r="O120" i="14"/>
  <c r="N120" i="14" s="1"/>
  <c r="O122" i="14"/>
  <c r="N122" i="14" s="1"/>
  <c r="P122" i="14" s="1"/>
  <c r="N124" i="14"/>
  <c r="N125" i="14"/>
  <c r="R125" i="14" s="1"/>
  <c r="M119" i="14"/>
  <c r="O119" i="14"/>
  <c r="N119" i="14" s="1"/>
  <c r="R119" i="14" s="1"/>
  <c r="O110" i="14"/>
  <c r="N110" i="14" s="1"/>
  <c r="M110" i="14"/>
  <c r="O112" i="14"/>
  <c r="N112" i="14" s="1"/>
  <c r="M112" i="14"/>
  <c r="O114" i="14"/>
  <c r="N114" i="14" s="1"/>
  <c r="M114" i="14"/>
  <c r="O116" i="14"/>
  <c r="N116" i="14" s="1"/>
  <c r="M116" i="14"/>
  <c r="L118" i="14"/>
  <c r="K118" i="14" s="1"/>
  <c r="C118" i="14"/>
  <c r="R120" i="14"/>
  <c r="P120" i="14"/>
  <c r="R121" i="14"/>
  <c r="R122" i="14"/>
  <c r="R123" i="14"/>
  <c r="R124" i="14"/>
  <c r="P124" i="14"/>
  <c r="Q124" i="14"/>
  <c r="S124" i="14" s="1"/>
  <c r="O111" i="14"/>
  <c r="N111" i="14" s="1"/>
  <c r="M111" i="14"/>
  <c r="O113" i="14"/>
  <c r="N113" i="14" s="1"/>
  <c r="M113" i="14"/>
  <c r="O115" i="14"/>
  <c r="N115" i="14" s="1"/>
  <c r="M115" i="14"/>
  <c r="O117" i="14"/>
  <c r="N117" i="14" s="1"/>
  <c r="M117" i="14"/>
  <c r="Q120" i="14"/>
  <c r="Q122" i="14"/>
  <c r="M124" i="14"/>
  <c r="M125" i="14"/>
  <c r="M126" i="14"/>
  <c r="H163" i="16"/>
  <c r="E227" i="16"/>
  <c r="F84" i="17"/>
  <c r="F102" i="17"/>
  <c r="I102" i="17" s="1"/>
  <c r="P84" i="17"/>
  <c r="P93" i="17" s="1"/>
  <c r="F92" i="17"/>
  <c r="I92" i="17" s="1"/>
  <c r="P139" i="17"/>
  <c r="F137" i="17"/>
  <c r="H139" i="17"/>
  <c r="I145" i="13"/>
  <c r="I214" i="13"/>
  <c r="J133" i="13"/>
  <c r="J137" i="13" s="1"/>
  <c r="J138" i="13"/>
  <c r="J145" i="13" s="1"/>
  <c r="I141" i="13"/>
  <c r="I146" i="13"/>
  <c r="I153" i="13" s="1"/>
  <c r="I155" i="13"/>
  <c r="I161" i="13" s="1"/>
  <c r="I162" i="13"/>
  <c r="I165" i="13" s="1"/>
  <c r="I173" i="13"/>
  <c r="I181" i="13" s="1"/>
  <c r="I186" i="13"/>
  <c r="I194" i="13" s="1"/>
  <c r="I210" i="13"/>
  <c r="I228" i="13"/>
  <c r="I230" i="13" s="1"/>
  <c r="I231" i="13"/>
  <c r="I235" i="13" s="1"/>
  <c r="I133" i="13"/>
  <c r="I137" i="13" s="1"/>
  <c r="I167" i="13"/>
  <c r="I171" i="13" s="1"/>
  <c r="F202" i="13"/>
  <c r="F203" i="13" s="1"/>
  <c r="F217" i="13" s="1"/>
  <c r="F218" i="13" s="1"/>
  <c r="I195" i="13"/>
  <c r="I202" i="13" s="1"/>
  <c r="I207" i="13"/>
  <c r="I222" i="13"/>
  <c r="I223" i="13"/>
  <c r="I227" i="13" s="1"/>
  <c r="F239" i="13"/>
  <c r="F243" i="13" s="1"/>
  <c r="F244" i="13" s="1"/>
  <c r="I236" i="13"/>
  <c r="I239" i="13" s="1"/>
  <c r="J146" i="13"/>
  <c r="J153" i="13" s="1"/>
  <c r="J154" i="13"/>
  <c r="J161" i="13" s="1"/>
  <c r="J162" i="13"/>
  <c r="J165" i="13" s="1"/>
  <c r="J167" i="13"/>
  <c r="J171" i="13" s="1"/>
  <c r="J172" i="13"/>
  <c r="J181" i="13" s="1"/>
  <c r="I240" i="13"/>
  <c r="I242" i="13" s="1"/>
  <c r="J184" i="13"/>
  <c r="J195" i="13"/>
  <c r="J204" i="13"/>
  <c r="J208" i="13"/>
  <c r="J214" i="13" s="1"/>
  <c r="J219" i="13"/>
  <c r="J222" i="13" s="1"/>
  <c r="J223" i="13"/>
  <c r="J227" i="13" s="1"/>
  <c r="J228" i="13"/>
  <c r="J230" i="13" s="1"/>
  <c r="J231" i="13"/>
  <c r="J236" i="13"/>
  <c r="J239" i="13" s="1"/>
  <c r="N240" i="1"/>
  <c r="O240" i="1"/>
  <c r="N218" i="1"/>
  <c r="O218" i="1"/>
  <c r="O217" i="1"/>
  <c r="O219" i="1"/>
  <c r="O214" i="1"/>
  <c r="N208" i="1"/>
  <c r="O208" i="1"/>
  <c r="N210" i="1"/>
  <c r="O210" i="1"/>
  <c r="O203" i="1"/>
  <c r="N195" i="1"/>
  <c r="O195" i="1"/>
  <c r="N196" i="1"/>
  <c r="O196" i="1"/>
  <c r="N198" i="1"/>
  <c r="O198" i="1"/>
  <c r="O194" i="1"/>
  <c r="N183" i="1"/>
  <c r="O183" i="1"/>
  <c r="N186" i="1"/>
  <c r="O186" i="1"/>
  <c r="N190" i="1"/>
  <c r="O190" i="1"/>
  <c r="N191" i="1"/>
  <c r="O191" i="1"/>
  <c r="O184" i="1"/>
  <c r="O185" i="1"/>
  <c r="O188" i="1"/>
  <c r="O189" i="1"/>
  <c r="K179" i="1"/>
  <c r="N179" i="1" s="1"/>
  <c r="O170" i="1"/>
  <c r="N173" i="1"/>
  <c r="O173" i="1"/>
  <c r="N174" i="1"/>
  <c r="O174" i="1"/>
  <c r="N177" i="1"/>
  <c r="O177" i="1"/>
  <c r="N178" i="1"/>
  <c r="O178" i="1"/>
  <c r="O171" i="1"/>
  <c r="O172" i="1"/>
  <c r="O175" i="1"/>
  <c r="O176" i="1"/>
  <c r="O179" i="1"/>
  <c r="N161" i="1"/>
  <c r="O161" i="1"/>
  <c r="O162" i="1"/>
  <c r="N153" i="1"/>
  <c r="O153" i="1"/>
  <c r="N156" i="1"/>
  <c r="O156" i="1"/>
  <c r="N157" i="1"/>
  <c r="O157" i="1"/>
  <c r="O154" i="1"/>
  <c r="O155" i="1"/>
  <c r="O158" i="1"/>
  <c r="O145" i="1"/>
  <c r="O147" i="1"/>
  <c r="O149" i="1"/>
  <c r="N140" i="1"/>
  <c r="O140" i="1"/>
  <c r="N141" i="1"/>
  <c r="O141" i="1"/>
  <c r="O137" i="1"/>
  <c r="O139" i="1"/>
  <c r="O142" i="1"/>
  <c r="H242" i="1"/>
  <c r="H243" i="1" s="1"/>
  <c r="O168" i="1"/>
  <c r="O138" i="1"/>
  <c r="H164" i="1"/>
  <c r="H181" i="1" s="1"/>
  <c r="I164" i="1"/>
  <c r="O133" i="1"/>
  <c r="J135" i="1"/>
  <c r="K151" i="1"/>
  <c r="N151" i="1" s="1"/>
  <c r="N144" i="1"/>
  <c r="O159" i="1"/>
  <c r="K135" i="1"/>
  <c r="O135" i="1" s="1"/>
  <c r="M164" i="1"/>
  <c r="O132" i="1"/>
  <c r="O134" i="1"/>
  <c r="I181" i="1"/>
  <c r="O151" i="1"/>
  <c r="O146" i="1"/>
  <c r="O148" i="1"/>
  <c r="O150" i="1"/>
  <c r="M180" i="1"/>
  <c r="O131" i="1"/>
  <c r="L135" i="1"/>
  <c r="O136" i="1"/>
  <c r="G143" i="1"/>
  <c r="J143" i="1" s="1"/>
  <c r="K143" i="1"/>
  <c r="N143" i="1" s="1"/>
  <c r="L151" i="1"/>
  <c r="O152" i="1"/>
  <c r="L159" i="1"/>
  <c r="K163" i="1"/>
  <c r="N163" i="1" s="1"/>
  <c r="O160" i="1"/>
  <c r="G163" i="1"/>
  <c r="J163" i="1" s="1"/>
  <c r="L163" i="1"/>
  <c r="L169" i="1"/>
  <c r="L180" i="1" s="1"/>
  <c r="K165" i="1"/>
  <c r="G192" i="1"/>
  <c r="J182" i="1"/>
  <c r="G200" i="1"/>
  <c r="J200" i="1" s="1"/>
  <c r="J193" i="1"/>
  <c r="G213" i="1"/>
  <c r="J213" i="1" s="1"/>
  <c r="N202" i="1"/>
  <c r="J205" i="1"/>
  <c r="K212" i="1"/>
  <c r="N212" i="1" s="1"/>
  <c r="N206" i="1"/>
  <c r="O212" i="1"/>
  <c r="O224" i="1"/>
  <c r="G228" i="1"/>
  <c r="J228" i="1" s="1"/>
  <c r="K229" i="1"/>
  <c r="O229" i="1" s="1"/>
  <c r="L234" i="1"/>
  <c r="O230" i="1"/>
  <c r="N236" i="1"/>
  <c r="O237" i="1"/>
  <c r="G241" i="1"/>
  <c r="J241" i="1" s="1"/>
  <c r="J131" i="1"/>
  <c r="N131" i="1"/>
  <c r="O144" i="1"/>
  <c r="J152" i="1"/>
  <c r="N152" i="1"/>
  <c r="N160" i="1"/>
  <c r="O166" i="1"/>
  <c r="O167" i="1"/>
  <c r="G169" i="1"/>
  <c r="G179" i="1"/>
  <c r="N170" i="1"/>
  <c r="N182" i="1"/>
  <c r="H201" i="1"/>
  <c r="H215" i="1" s="1"/>
  <c r="H216" i="1" s="1"/>
  <c r="N193" i="1"/>
  <c r="O199" i="1"/>
  <c r="G212" i="1"/>
  <c r="J212" i="1" s="1"/>
  <c r="J206" i="1"/>
  <c r="O206" i="1"/>
  <c r="O207" i="1"/>
  <c r="O209" i="1"/>
  <c r="O211" i="1"/>
  <c r="L212" i="1"/>
  <c r="G220" i="1"/>
  <c r="I242" i="1"/>
  <c r="I243" i="1" s="1"/>
  <c r="L225" i="1"/>
  <c r="K221" i="1"/>
  <c r="O221" i="1" s="1"/>
  <c r="M225" i="1"/>
  <c r="O222" i="1"/>
  <c r="O232" i="1"/>
  <c r="M238" i="1"/>
  <c r="O238" i="1" s="1"/>
  <c r="O235" i="1"/>
  <c r="O202" i="1"/>
  <c r="K220" i="1"/>
  <c r="O223" i="1"/>
  <c r="G225" i="1"/>
  <c r="J225" i="1" s="1"/>
  <c r="L228" i="1"/>
  <c r="K226" i="1"/>
  <c r="O226" i="1" s="1"/>
  <c r="M234" i="1"/>
  <c r="O231" i="1"/>
  <c r="O233" i="1"/>
  <c r="L238" i="1"/>
  <c r="O236" i="1"/>
  <c r="G238" i="1"/>
  <c r="J238" i="1" s="1"/>
  <c r="L241" i="1"/>
  <c r="K239" i="1"/>
  <c r="D139" i="14"/>
  <c r="J37" i="13"/>
  <c r="J38" i="13"/>
  <c r="J39" i="13"/>
  <c r="J40" i="13"/>
  <c r="J41" i="13"/>
  <c r="I37" i="13"/>
  <c r="I38" i="13"/>
  <c r="I39" i="13"/>
  <c r="I40" i="13"/>
  <c r="I41" i="13"/>
  <c r="L68" i="17"/>
  <c r="L133" i="17" s="1"/>
  <c r="L199" i="17" s="1"/>
  <c r="L69" i="17"/>
  <c r="L134" i="17" s="1"/>
  <c r="L200" i="17" s="1"/>
  <c r="K68" i="17"/>
  <c r="K133" i="17" s="1"/>
  <c r="K69" i="17"/>
  <c r="K134" i="17" s="1"/>
  <c r="J68" i="17"/>
  <c r="M68" i="17" s="1"/>
  <c r="J69" i="17"/>
  <c r="M69" i="17" s="1"/>
  <c r="Q68" i="17"/>
  <c r="Q69" i="17"/>
  <c r="P68" i="17"/>
  <c r="P69" i="17"/>
  <c r="F68" i="17"/>
  <c r="I68" i="17" s="1"/>
  <c r="F69" i="17"/>
  <c r="I69" i="17" s="1"/>
  <c r="H165" i="16" l="1"/>
  <c r="D50" i="15"/>
  <c r="E50" i="15" s="1"/>
  <c r="Q134" i="17"/>
  <c r="K200" i="17"/>
  <c r="Q133" i="17"/>
  <c r="K199" i="17"/>
  <c r="J133" i="17"/>
  <c r="M133" i="17" s="1"/>
  <c r="J240" i="13"/>
  <c r="J242" i="13" s="1"/>
  <c r="N357" i="1"/>
  <c r="K359" i="1"/>
  <c r="O357" i="1"/>
  <c r="G360" i="13"/>
  <c r="J358" i="13"/>
  <c r="J360" i="13" s="1"/>
  <c r="K349" i="1"/>
  <c r="K352" i="1" s="1"/>
  <c r="G351" i="13"/>
  <c r="J351" i="13" s="1"/>
  <c r="J235" i="13"/>
  <c r="O347" i="1"/>
  <c r="N347" i="1"/>
  <c r="J349" i="13"/>
  <c r="J353" i="13" s="1"/>
  <c r="J361" i="13" s="1"/>
  <c r="J362" i="13" s="1"/>
  <c r="G334" i="1"/>
  <c r="J334" i="1" s="1"/>
  <c r="J333" i="1"/>
  <c r="G362" i="1"/>
  <c r="J362" i="1" s="1"/>
  <c r="J299" i="1"/>
  <c r="N298" i="1"/>
  <c r="O298" i="1"/>
  <c r="K334" i="1"/>
  <c r="D51" i="15" s="1"/>
  <c r="N333" i="1"/>
  <c r="N334" i="1" s="1"/>
  <c r="M334" i="1"/>
  <c r="M362" i="1" s="1"/>
  <c r="O333" i="1"/>
  <c r="O334" i="1" s="1"/>
  <c r="K299" i="1"/>
  <c r="I182" i="13"/>
  <c r="G161" i="13"/>
  <c r="G166" i="13" s="1"/>
  <c r="G183" i="13" s="1"/>
  <c r="H244" i="1"/>
  <c r="I203" i="13"/>
  <c r="N69" i="17"/>
  <c r="J134" i="17"/>
  <c r="M134" i="17" s="1"/>
  <c r="N68" i="17"/>
  <c r="Q123" i="14"/>
  <c r="S123" i="14" s="1"/>
  <c r="T123" i="14" s="1"/>
  <c r="Q121" i="14"/>
  <c r="S121" i="14" s="1"/>
  <c r="T121" i="14" s="1"/>
  <c r="P125" i="14"/>
  <c r="P119" i="14"/>
  <c r="Q125" i="14"/>
  <c r="S125" i="14" s="1"/>
  <c r="T125" i="14" s="1"/>
  <c r="Q119" i="14"/>
  <c r="S119" i="14" s="1"/>
  <c r="T119" i="14" s="1"/>
  <c r="Q117" i="14"/>
  <c r="P117" i="14"/>
  <c r="R117" i="14"/>
  <c r="Q115" i="14"/>
  <c r="P115" i="14"/>
  <c r="R115" i="14"/>
  <c r="Q113" i="14"/>
  <c r="P113" i="14"/>
  <c r="R113" i="14"/>
  <c r="Q111" i="14"/>
  <c r="P111" i="14"/>
  <c r="R111" i="14"/>
  <c r="M118" i="14"/>
  <c r="O118" i="14"/>
  <c r="N118" i="14" s="1"/>
  <c r="Q116" i="14"/>
  <c r="R116" i="14"/>
  <c r="P116" i="14"/>
  <c r="Q114" i="14"/>
  <c r="R114" i="14"/>
  <c r="P114" i="14"/>
  <c r="Q112" i="14"/>
  <c r="R112" i="14"/>
  <c r="P112" i="14"/>
  <c r="Q110" i="14"/>
  <c r="R110" i="14"/>
  <c r="P110" i="14"/>
  <c r="T124" i="14"/>
  <c r="S122" i="14"/>
  <c r="T122" i="14" s="1"/>
  <c r="S120" i="14"/>
  <c r="T120" i="14" s="1"/>
  <c r="I84" i="17"/>
  <c r="F93" i="17"/>
  <c r="I93" i="17" s="1"/>
  <c r="F138" i="17"/>
  <c r="I137" i="17"/>
  <c r="F245" i="13"/>
  <c r="I243" i="13"/>
  <c r="I244" i="13" s="1"/>
  <c r="J243" i="13"/>
  <c r="J244" i="13" s="1"/>
  <c r="I38" i="15" s="1"/>
  <c r="I40" i="15" s="1"/>
  <c r="J182" i="13"/>
  <c r="I32" i="15" s="1"/>
  <c r="I215" i="13"/>
  <c r="I166" i="13"/>
  <c r="I183" i="13" s="1"/>
  <c r="J166" i="13"/>
  <c r="L242" i="1"/>
  <c r="L243" i="1" s="1"/>
  <c r="N220" i="1"/>
  <c r="G242" i="1"/>
  <c r="J220" i="1"/>
  <c r="J169" i="1"/>
  <c r="G180" i="1"/>
  <c r="O220" i="1"/>
  <c r="K169" i="1"/>
  <c r="N165" i="1"/>
  <c r="K241" i="1"/>
  <c r="N239" i="1"/>
  <c r="K228" i="1"/>
  <c r="N226" i="1"/>
  <c r="O239" i="1"/>
  <c r="N221" i="1"/>
  <c r="K225" i="1"/>
  <c r="N225" i="1" s="1"/>
  <c r="O165" i="1"/>
  <c r="K234" i="1"/>
  <c r="N234" i="1" s="1"/>
  <c r="N229" i="1"/>
  <c r="M242" i="1"/>
  <c r="G201" i="1"/>
  <c r="J192" i="1"/>
  <c r="O163" i="1"/>
  <c r="L164" i="1"/>
  <c r="L181" i="1" s="1"/>
  <c r="I244" i="1"/>
  <c r="M181" i="1"/>
  <c r="K164" i="1"/>
  <c r="D31" i="15" s="1"/>
  <c r="N135" i="1"/>
  <c r="O143" i="1"/>
  <c r="G164" i="1"/>
  <c r="J123" i="13"/>
  <c r="J122" i="13"/>
  <c r="I123" i="13"/>
  <c r="I122" i="13"/>
  <c r="D53" i="15" l="1"/>
  <c r="E53" i="15" s="1"/>
  <c r="E51" i="15"/>
  <c r="Q200" i="17"/>
  <c r="J200" i="17"/>
  <c r="N133" i="17"/>
  <c r="Q199" i="17"/>
  <c r="J199" i="17"/>
  <c r="O359" i="1"/>
  <c r="N359" i="1"/>
  <c r="G353" i="13"/>
  <c r="G361" i="13" s="1"/>
  <c r="G362" i="13" s="1"/>
  <c r="F54" i="15" s="1"/>
  <c r="F56" i="15" s="1"/>
  <c r="F57" i="15" s="1"/>
  <c r="N349" i="1"/>
  <c r="O349" i="1"/>
  <c r="I54" i="15"/>
  <c r="I56" i="15" s="1"/>
  <c r="I57" i="15" s="1"/>
  <c r="J363" i="13"/>
  <c r="N352" i="1"/>
  <c r="K360" i="1"/>
  <c r="O352" i="1"/>
  <c r="N299" i="1"/>
  <c r="O299" i="1"/>
  <c r="F31" i="15"/>
  <c r="F34" i="15" s="1"/>
  <c r="J183" i="13"/>
  <c r="I31" i="15"/>
  <c r="I34" i="15" s="1"/>
  <c r="E31" i="15"/>
  <c r="I217" i="13"/>
  <c r="I218" i="13" s="1"/>
  <c r="I245" i="13" s="1"/>
  <c r="N134" i="17"/>
  <c r="S112" i="14"/>
  <c r="T112" i="14" s="1"/>
  <c r="S116" i="14"/>
  <c r="T116" i="14" s="1"/>
  <c r="S113" i="14"/>
  <c r="T113" i="14" s="1"/>
  <c r="S117" i="14"/>
  <c r="T117" i="14" s="1"/>
  <c r="S110" i="14"/>
  <c r="T110" i="14" s="1"/>
  <c r="S114" i="14"/>
  <c r="T114" i="14" s="1"/>
  <c r="R118" i="14"/>
  <c r="P118" i="14"/>
  <c r="Q118" i="14"/>
  <c r="S118" i="14" s="1"/>
  <c r="S111" i="14"/>
  <c r="T111" i="14" s="1"/>
  <c r="S115" i="14"/>
  <c r="T115" i="14" s="1"/>
  <c r="F139" i="17"/>
  <c r="I139" i="17" s="1"/>
  <c r="I138" i="17"/>
  <c r="N169" i="1"/>
  <c r="K180" i="1"/>
  <c r="D32" i="15" s="1"/>
  <c r="E32" i="15" s="1"/>
  <c r="O169" i="1"/>
  <c r="J180" i="1"/>
  <c r="J179" i="1"/>
  <c r="O225" i="1"/>
  <c r="K242" i="1"/>
  <c r="K181" i="1"/>
  <c r="N164" i="1"/>
  <c r="G181" i="1"/>
  <c r="J164" i="1"/>
  <c r="O164" i="1"/>
  <c r="J201" i="1"/>
  <c r="G215" i="1"/>
  <c r="O242" i="1"/>
  <c r="O243" i="1" s="1"/>
  <c r="M243" i="1"/>
  <c r="N228" i="1"/>
  <c r="O228" i="1"/>
  <c r="N241" i="1"/>
  <c r="O241" i="1"/>
  <c r="G243" i="1"/>
  <c r="J243" i="1" s="1"/>
  <c r="J242" i="1"/>
  <c r="O234" i="1"/>
  <c r="G118" i="13"/>
  <c r="F118" i="13"/>
  <c r="G116" i="13"/>
  <c r="F116" i="13"/>
  <c r="G115" i="13"/>
  <c r="F115" i="13"/>
  <c r="G114" i="13"/>
  <c r="F114" i="13"/>
  <c r="G111" i="13"/>
  <c r="F111" i="13"/>
  <c r="G110" i="13"/>
  <c r="G108" i="13"/>
  <c r="F108" i="13"/>
  <c r="G107" i="13"/>
  <c r="F107" i="13"/>
  <c r="G106" i="13"/>
  <c r="F106" i="13"/>
  <c r="G105" i="13"/>
  <c r="G103" i="13"/>
  <c r="G102" i="13"/>
  <c r="G101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F88" i="13"/>
  <c r="G87" i="13"/>
  <c r="F87" i="13"/>
  <c r="G86" i="13"/>
  <c r="F86" i="13"/>
  <c r="G83" i="13"/>
  <c r="F83" i="13"/>
  <c r="G82" i="13"/>
  <c r="F82" i="13"/>
  <c r="F81" i="13"/>
  <c r="G80" i="13"/>
  <c r="F80" i="13"/>
  <c r="G79" i="13"/>
  <c r="F79" i="13"/>
  <c r="G78" i="13"/>
  <c r="F78" i="13"/>
  <c r="G77" i="13"/>
  <c r="F77" i="13"/>
  <c r="G75" i="13"/>
  <c r="F75" i="13"/>
  <c r="G74" i="13"/>
  <c r="F74" i="13"/>
  <c r="G73" i="13"/>
  <c r="F73" i="13"/>
  <c r="G72" i="13"/>
  <c r="F72" i="13"/>
  <c r="F71" i="13"/>
  <c r="G70" i="13"/>
  <c r="F70" i="13"/>
  <c r="G69" i="13"/>
  <c r="F69" i="13"/>
  <c r="G68" i="13"/>
  <c r="F68" i="13"/>
  <c r="G67" i="13"/>
  <c r="F67" i="13"/>
  <c r="G66" i="13"/>
  <c r="F66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F52" i="13"/>
  <c r="G51" i="13"/>
  <c r="F51" i="13"/>
  <c r="G50" i="13"/>
  <c r="F50" i="13"/>
  <c r="G49" i="13"/>
  <c r="F49" i="13"/>
  <c r="G46" i="13"/>
  <c r="F46" i="13"/>
  <c r="G45" i="13"/>
  <c r="F45" i="13"/>
  <c r="F44" i="13"/>
  <c r="G363" i="13" l="1"/>
  <c r="M200" i="17"/>
  <c r="N200" i="17"/>
  <c r="M199" i="17"/>
  <c r="N199" i="17"/>
  <c r="N360" i="1"/>
  <c r="N361" i="1" s="1"/>
  <c r="O360" i="1"/>
  <c r="O361" i="1" s="1"/>
  <c r="K361" i="1"/>
  <c r="T118" i="14"/>
  <c r="D34" i="15"/>
  <c r="E34" i="15" s="1"/>
  <c r="N180" i="1"/>
  <c r="O180" i="1"/>
  <c r="G216" i="1"/>
  <c r="J216" i="1" s="1"/>
  <c r="J215" i="1"/>
  <c r="G244" i="1"/>
  <c r="J244" i="1" s="1"/>
  <c r="J181" i="1"/>
  <c r="N181" i="1"/>
  <c r="O181" i="1"/>
  <c r="K243" i="1"/>
  <c r="D38" i="15" s="1"/>
  <c r="N242" i="1"/>
  <c r="N243" i="1" s="1"/>
  <c r="G42" i="13"/>
  <c r="J42" i="13" s="1"/>
  <c r="F42" i="13"/>
  <c r="I42" i="13" s="1"/>
  <c r="G41" i="13"/>
  <c r="F41" i="13"/>
  <c r="G40" i="13"/>
  <c r="F40" i="13"/>
  <c r="G39" i="13"/>
  <c r="F39" i="13"/>
  <c r="G38" i="13"/>
  <c r="F38" i="13"/>
  <c r="G123" i="13"/>
  <c r="G120" i="13"/>
  <c r="G119" i="13"/>
  <c r="G113" i="13"/>
  <c r="G98" i="13"/>
  <c r="G37" i="13"/>
  <c r="G34" i="13"/>
  <c r="G33" i="13"/>
  <c r="G32" i="13"/>
  <c r="G31" i="13"/>
  <c r="G30" i="13"/>
  <c r="G29" i="13"/>
  <c r="G28" i="13"/>
  <c r="G26" i="13"/>
  <c r="G25" i="13"/>
  <c r="G24" i="13"/>
  <c r="G23" i="13"/>
  <c r="G21" i="13"/>
  <c r="G20" i="13"/>
  <c r="G18" i="13"/>
  <c r="G16" i="13"/>
  <c r="G15" i="13"/>
  <c r="F123" i="13"/>
  <c r="F122" i="13"/>
  <c r="F124" i="13" s="1"/>
  <c r="F120" i="13"/>
  <c r="F119" i="13"/>
  <c r="F113" i="13"/>
  <c r="F110" i="13"/>
  <c r="F105" i="13"/>
  <c r="F103" i="13"/>
  <c r="F102" i="13"/>
  <c r="F101" i="13"/>
  <c r="D40" i="15" l="1"/>
  <c r="E40" i="15" s="1"/>
  <c r="E38" i="15"/>
  <c r="D54" i="15"/>
  <c r="K362" i="1"/>
  <c r="F98" i="13"/>
  <c r="F37" i="13"/>
  <c r="F36" i="13"/>
  <c r="F34" i="13"/>
  <c r="F33" i="13"/>
  <c r="F32" i="13"/>
  <c r="F31" i="13"/>
  <c r="F30" i="13"/>
  <c r="F29" i="13"/>
  <c r="F28" i="13"/>
  <c r="F26" i="13"/>
  <c r="F25" i="13"/>
  <c r="F24" i="13"/>
  <c r="F23" i="13"/>
  <c r="F22" i="13"/>
  <c r="F21" i="13"/>
  <c r="F20" i="13"/>
  <c r="F18" i="13"/>
  <c r="F17" i="13"/>
  <c r="F16" i="13"/>
  <c r="F15" i="13"/>
  <c r="D56" i="15" l="1"/>
  <c r="E54" i="15"/>
  <c r="N362" i="1"/>
  <c r="O362" i="1"/>
  <c r="C22" i="15"/>
  <c r="C19" i="15"/>
  <c r="C16" i="15"/>
  <c r="C15" i="15"/>
  <c r="M122" i="1"/>
  <c r="L122" i="1"/>
  <c r="M121" i="1"/>
  <c r="L121" i="1"/>
  <c r="G122" i="13" s="1"/>
  <c r="G124" i="13" s="1"/>
  <c r="M119" i="1"/>
  <c r="L119" i="1"/>
  <c r="M118" i="1"/>
  <c r="L118" i="1"/>
  <c r="M117" i="1"/>
  <c r="L117" i="1"/>
  <c r="M115" i="1"/>
  <c r="L115" i="1"/>
  <c r="M114" i="1"/>
  <c r="L114" i="1"/>
  <c r="M113" i="1"/>
  <c r="L113" i="1"/>
  <c r="M112" i="1"/>
  <c r="L112" i="1"/>
  <c r="M111" i="1"/>
  <c r="L111" i="1"/>
  <c r="M109" i="1"/>
  <c r="L109" i="1"/>
  <c r="M108" i="1"/>
  <c r="L108" i="1"/>
  <c r="M106" i="1"/>
  <c r="L106" i="1"/>
  <c r="M105" i="1"/>
  <c r="L105" i="1"/>
  <c r="M104" i="1"/>
  <c r="L104" i="1"/>
  <c r="M103" i="1"/>
  <c r="L103" i="1"/>
  <c r="M101" i="1"/>
  <c r="L101" i="1"/>
  <c r="M100" i="1"/>
  <c r="L100" i="1"/>
  <c r="M99" i="1"/>
  <c r="L99" i="1"/>
  <c r="M96" i="1"/>
  <c r="L96" i="1"/>
  <c r="M93" i="1"/>
  <c r="L93" i="1"/>
  <c r="M92" i="1"/>
  <c r="L92" i="1"/>
  <c r="M91" i="1"/>
  <c r="L91" i="1"/>
  <c r="M90" i="1"/>
  <c r="L90" i="1"/>
  <c r="M89" i="1"/>
  <c r="L89" i="1"/>
  <c r="M88" i="1"/>
  <c r="L88" i="1"/>
  <c r="M86" i="1"/>
  <c r="M204" i="1" s="1"/>
  <c r="M205" i="1" s="1"/>
  <c r="M213" i="1" s="1"/>
  <c r="L86" i="1"/>
  <c r="M85" i="1"/>
  <c r="L85" i="1"/>
  <c r="M84" i="1"/>
  <c r="L84" i="1"/>
  <c r="M81" i="1"/>
  <c r="L81" i="1"/>
  <c r="M80" i="1"/>
  <c r="L80" i="1"/>
  <c r="M79" i="1"/>
  <c r="M197" i="1" s="1"/>
  <c r="M200" i="1" s="1"/>
  <c r="L79" i="1"/>
  <c r="M78" i="1"/>
  <c r="L78" i="1"/>
  <c r="M77" i="1"/>
  <c r="L77" i="1"/>
  <c r="M76" i="1"/>
  <c r="L76" i="1"/>
  <c r="M75" i="1"/>
  <c r="L75" i="1"/>
  <c r="M73" i="1"/>
  <c r="L73" i="1"/>
  <c r="M72" i="1"/>
  <c r="L72" i="1"/>
  <c r="M71" i="1"/>
  <c r="L71" i="1"/>
  <c r="M70" i="1"/>
  <c r="L70" i="1"/>
  <c r="M69" i="1"/>
  <c r="M187" i="1" s="1"/>
  <c r="M192" i="1" s="1"/>
  <c r="M201" i="1" s="1"/>
  <c r="M215" i="1" s="1"/>
  <c r="M216" i="1" s="1"/>
  <c r="M244" i="1" s="1"/>
  <c r="L69" i="1"/>
  <c r="M68" i="1"/>
  <c r="L68" i="1"/>
  <c r="M67" i="1"/>
  <c r="L67" i="1"/>
  <c r="M66" i="1"/>
  <c r="L66" i="1"/>
  <c r="M65" i="1"/>
  <c r="L65" i="1"/>
  <c r="M64" i="1"/>
  <c r="L64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0" i="1"/>
  <c r="L50" i="1"/>
  <c r="G52" i="13" s="1"/>
  <c r="M49" i="1"/>
  <c r="L49" i="1"/>
  <c r="M48" i="1"/>
  <c r="L48" i="1"/>
  <c r="M47" i="1"/>
  <c r="L47" i="1"/>
  <c r="M44" i="1"/>
  <c r="L44" i="1"/>
  <c r="M43" i="1"/>
  <c r="L43" i="1"/>
  <c r="M42" i="1"/>
  <c r="L42" i="1"/>
  <c r="G44" i="13" s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G36" i="13" s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4" i="1"/>
  <c r="L24" i="1"/>
  <c r="M23" i="1"/>
  <c r="L23" i="1"/>
  <c r="M22" i="1"/>
  <c r="L22" i="1"/>
  <c r="M21" i="1"/>
  <c r="L21" i="1"/>
  <c r="M20" i="1"/>
  <c r="L20" i="1"/>
  <c r="G22" i="13" s="1"/>
  <c r="M19" i="1"/>
  <c r="L19" i="1"/>
  <c r="M18" i="1"/>
  <c r="L18" i="1"/>
  <c r="M16" i="1"/>
  <c r="L16" i="1"/>
  <c r="M15" i="1"/>
  <c r="L15" i="1"/>
  <c r="G17" i="13" s="1"/>
  <c r="M14" i="1"/>
  <c r="L14" i="1"/>
  <c r="M13" i="1"/>
  <c r="L13" i="1"/>
  <c r="E56" i="15" l="1"/>
  <c r="D57" i="15"/>
  <c r="E57" i="15" s="1"/>
  <c r="L204" i="1"/>
  <c r="G88" i="13"/>
  <c r="L197" i="1"/>
  <c r="G81" i="13"/>
  <c r="L187" i="1"/>
  <c r="G71" i="13"/>
  <c r="L147" i="14"/>
  <c r="K147" i="14"/>
  <c r="M147" i="14" s="1"/>
  <c r="K204" i="1" l="1"/>
  <c r="G206" i="13"/>
  <c r="L205" i="1"/>
  <c r="L213" i="1" s="1"/>
  <c r="G199" i="13"/>
  <c r="K197" i="1"/>
  <c r="L200" i="1"/>
  <c r="K187" i="1"/>
  <c r="L192" i="1"/>
  <c r="L201" i="1" s="1"/>
  <c r="L215" i="1" s="1"/>
  <c r="L216" i="1" s="1"/>
  <c r="L244" i="1" s="1"/>
  <c r="G189" i="13"/>
  <c r="O147" i="14"/>
  <c r="L146" i="14"/>
  <c r="K146" i="14" s="1"/>
  <c r="O146" i="14" s="1"/>
  <c r="G146" i="14"/>
  <c r="C146" i="14"/>
  <c r="L145" i="14"/>
  <c r="K145" i="14" s="1"/>
  <c r="O145" i="14" s="1"/>
  <c r="G145" i="14"/>
  <c r="C145" i="14"/>
  <c r="L144" i="14"/>
  <c r="K144" i="14" s="1"/>
  <c r="O144" i="14" s="1"/>
  <c r="G144" i="14"/>
  <c r="C144" i="14"/>
  <c r="L143" i="14"/>
  <c r="K143" i="14" s="1"/>
  <c r="O143" i="14" s="1"/>
  <c r="G143" i="14"/>
  <c r="C143" i="14"/>
  <c r="L142" i="14"/>
  <c r="K142" i="14" s="1"/>
  <c r="O142" i="14" s="1"/>
  <c r="G142" i="14"/>
  <c r="C142" i="14"/>
  <c r="L141" i="14"/>
  <c r="K141" i="14" s="1"/>
  <c r="O141" i="14" s="1"/>
  <c r="G141" i="14"/>
  <c r="C141" i="14"/>
  <c r="L140" i="14"/>
  <c r="K140" i="14" s="1"/>
  <c r="O140" i="14" s="1"/>
  <c r="G140" i="14"/>
  <c r="C140" i="14"/>
  <c r="G139" i="14"/>
  <c r="L138" i="14"/>
  <c r="K138" i="14" s="1"/>
  <c r="G138" i="14"/>
  <c r="C138" i="14"/>
  <c r="L137" i="14"/>
  <c r="K137" i="14" s="1"/>
  <c r="G137" i="14"/>
  <c r="C137" i="14"/>
  <c r="L136" i="14"/>
  <c r="K136" i="14" s="1"/>
  <c r="M136" i="14" s="1"/>
  <c r="G136" i="14"/>
  <c r="C136" i="14"/>
  <c r="L135" i="14"/>
  <c r="K135" i="14" s="1"/>
  <c r="G135" i="14"/>
  <c r="C135" i="14"/>
  <c r="L134" i="14"/>
  <c r="K134" i="14" s="1"/>
  <c r="M134" i="14" s="1"/>
  <c r="G134" i="14"/>
  <c r="C134" i="14"/>
  <c r="L133" i="14"/>
  <c r="K133" i="14" s="1"/>
  <c r="G133" i="14"/>
  <c r="C133" i="14"/>
  <c r="L132" i="14"/>
  <c r="K132" i="14" s="1"/>
  <c r="M132" i="14" s="1"/>
  <c r="G132" i="14"/>
  <c r="C132" i="14"/>
  <c r="L131" i="14"/>
  <c r="K131" i="14" s="1"/>
  <c r="G131" i="14"/>
  <c r="C131" i="14"/>
  <c r="F124" i="1"/>
  <c r="F125" i="1" s="1"/>
  <c r="I123" i="1"/>
  <c r="H123" i="1"/>
  <c r="E123" i="1"/>
  <c r="G122" i="1"/>
  <c r="J122" i="1" s="1"/>
  <c r="M123" i="1"/>
  <c r="G121" i="1"/>
  <c r="J121" i="1" s="1"/>
  <c r="I120" i="1"/>
  <c r="H120" i="1"/>
  <c r="E120" i="1"/>
  <c r="K119" i="1"/>
  <c r="N119" i="1" s="1"/>
  <c r="G119" i="1"/>
  <c r="J119" i="1" s="1"/>
  <c r="K118" i="1"/>
  <c r="G118" i="1"/>
  <c r="J118" i="1" s="1"/>
  <c r="K117" i="1"/>
  <c r="N117" i="1" s="1"/>
  <c r="G117" i="1"/>
  <c r="J117" i="1" s="1"/>
  <c r="I116" i="1"/>
  <c r="H116" i="1"/>
  <c r="K115" i="1"/>
  <c r="N115" i="1" s="1"/>
  <c r="G115" i="1"/>
  <c r="J115" i="1" s="1"/>
  <c r="K114" i="1"/>
  <c r="N114" i="1" s="1"/>
  <c r="G114" i="1"/>
  <c r="J114" i="1" s="1"/>
  <c r="G113" i="1"/>
  <c r="J113" i="1" s="1"/>
  <c r="E116" i="1"/>
  <c r="G112" i="1"/>
  <c r="J112" i="1" s="1"/>
  <c r="G111" i="1"/>
  <c r="I110" i="1"/>
  <c r="H110" i="1"/>
  <c r="E110" i="1"/>
  <c r="J109" i="1"/>
  <c r="G109" i="1"/>
  <c r="K108" i="1"/>
  <c r="G108" i="1"/>
  <c r="I107" i="1"/>
  <c r="H107" i="1"/>
  <c r="E107" i="1"/>
  <c r="G106" i="1"/>
  <c r="J106" i="1" s="1"/>
  <c r="G105" i="1"/>
  <c r="J105" i="1" s="1"/>
  <c r="G104" i="1"/>
  <c r="J104" i="1" s="1"/>
  <c r="K103" i="1"/>
  <c r="G103" i="1"/>
  <c r="I102" i="1"/>
  <c r="H102" i="1"/>
  <c r="E102" i="1"/>
  <c r="K101" i="1"/>
  <c r="N101" i="1" s="1"/>
  <c r="G101" i="1"/>
  <c r="J101" i="1" s="1"/>
  <c r="K100" i="1"/>
  <c r="N100" i="1" s="1"/>
  <c r="G100" i="1"/>
  <c r="J100" i="1" s="1"/>
  <c r="G99" i="1"/>
  <c r="K96" i="1"/>
  <c r="N96" i="1" s="1"/>
  <c r="G96" i="1"/>
  <c r="J96" i="1" s="1"/>
  <c r="I94" i="1"/>
  <c r="H94" i="1"/>
  <c r="E94" i="1"/>
  <c r="K93" i="1"/>
  <c r="N93" i="1" s="1"/>
  <c r="G93" i="1"/>
  <c r="J93" i="1" s="1"/>
  <c r="J92" i="1"/>
  <c r="G92" i="1"/>
  <c r="K91" i="1"/>
  <c r="N91" i="1" s="1"/>
  <c r="G91" i="1"/>
  <c r="J91" i="1" s="1"/>
  <c r="J90" i="1"/>
  <c r="G90" i="1"/>
  <c r="K89" i="1"/>
  <c r="N89" i="1" s="1"/>
  <c r="G89" i="1"/>
  <c r="J89" i="1" s="1"/>
  <c r="J88" i="1"/>
  <c r="G88" i="1"/>
  <c r="I87" i="1"/>
  <c r="I95" i="1" s="1"/>
  <c r="H87" i="1"/>
  <c r="E87" i="1"/>
  <c r="K86" i="1"/>
  <c r="N86" i="1" s="1"/>
  <c r="G86" i="1"/>
  <c r="J86" i="1" s="1"/>
  <c r="J85" i="1"/>
  <c r="G85" i="1"/>
  <c r="M87" i="1"/>
  <c r="L87" i="1"/>
  <c r="G84" i="1"/>
  <c r="J84" i="1" s="1"/>
  <c r="F83" i="1"/>
  <c r="F97" i="1" s="1"/>
  <c r="F98" i="1" s="1"/>
  <c r="I82" i="1"/>
  <c r="H82" i="1"/>
  <c r="E82" i="1"/>
  <c r="K81" i="1"/>
  <c r="N81" i="1" s="1"/>
  <c r="G81" i="1"/>
  <c r="J81" i="1" s="1"/>
  <c r="K80" i="1"/>
  <c r="N80" i="1" s="1"/>
  <c r="J80" i="1"/>
  <c r="J79" i="1"/>
  <c r="G79" i="1"/>
  <c r="K78" i="1"/>
  <c r="N78" i="1" s="1"/>
  <c r="G78" i="1"/>
  <c r="J78" i="1" s="1"/>
  <c r="J77" i="1"/>
  <c r="G77" i="1"/>
  <c r="K76" i="1"/>
  <c r="N76" i="1" s="1"/>
  <c r="G76" i="1"/>
  <c r="J76" i="1" s="1"/>
  <c r="J75" i="1"/>
  <c r="G75" i="1"/>
  <c r="E74" i="1"/>
  <c r="K73" i="1"/>
  <c r="N73" i="1" s="1"/>
  <c r="G73" i="1"/>
  <c r="J73" i="1" s="1"/>
  <c r="K72" i="1"/>
  <c r="N72" i="1" s="1"/>
  <c r="G72" i="1"/>
  <c r="J72" i="1" s="1"/>
  <c r="K71" i="1"/>
  <c r="N71" i="1" s="1"/>
  <c r="G71" i="1"/>
  <c r="J71" i="1" s="1"/>
  <c r="K70" i="1"/>
  <c r="N70" i="1" s="1"/>
  <c r="G70" i="1"/>
  <c r="J70" i="1" s="1"/>
  <c r="I74" i="1"/>
  <c r="H74" i="1"/>
  <c r="H83" i="1" s="1"/>
  <c r="G69" i="1"/>
  <c r="J69" i="1" s="1"/>
  <c r="J68" i="1"/>
  <c r="G68" i="1"/>
  <c r="K67" i="1"/>
  <c r="N67" i="1" s="1"/>
  <c r="G67" i="1"/>
  <c r="J67" i="1" s="1"/>
  <c r="K66" i="1"/>
  <c r="N66" i="1" s="1"/>
  <c r="G66" i="1"/>
  <c r="J66" i="1" s="1"/>
  <c r="K65" i="1"/>
  <c r="N65" i="1" s="1"/>
  <c r="G65" i="1"/>
  <c r="J65" i="1" s="1"/>
  <c r="J64" i="1"/>
  <c r="G64" i="1"/>
  <c r="F62" i="1"/>
  <c r="I61" i="1"/>
  <c r="M61" i="1" s="1"/>
  <c r="H61" i="1"/>
  <c r="L61" i="1" s="1"/>
  <c r="E61" i="1"/>
  <c r="K60" i="1"/>
  <c r="N60" i="1" s="1"/>
  <c r="G60" i="1"/>
  <c r="J60" i="1" s="1"/>
  <c r="K59" i="1"/>
  <c r="N59" i="1" s="1"/>
  <c r="G59" i="1"/>
  <c r="J59" i="1" s="1"/>
  <c r="K58" i="1"/>
  <c r="N58" i="1" s="1"/>
  <c r="G58" i="1"/>
  <c r="J58" i="1" s="1"/>
  <c r="J57" i="1"/>
  <c r="G57" i="1"/>
  <c r="K56" i="1"/>
  <c r="N56" i="1" s="1"/>
  <c r="G56" i="1"/>
  <c r="J56" i="1" s="1"/>
  <c r="K55" i="1"/>
  <c r="N55" i="1" s="1"/>
  <c r="G55" i="1"/>
  <c r="J55" i="1" s="1"/>
  <c r="K54" i="1"/>
  <c r="N54" i="1" s="1"/>
  <c r="G54" i="1"/>
  <c r="J54" i="1" s="1"/>
  <c r="J53" i="1"/>
  <c r="G53" i="1"/>
  <c r="K52" i="1"/>
  <c r="N52" i="1" s="1"/>
  <c r="G52" i="1"/>
  <c r="J52" i="1" s="1"/>
  <c r="I51" i="1"/>
  <c r="I62" i="1" s="1"/>
  <c r="H51" i="1"/>
  <c r="E51" i="1"/>
  <c r="E62" i="1" s="1"/>
  <c r="G50" i="1"/>
  <c r="J50" i="1" s="1"/>
  <c r="K49" i="1"/>
  <c r="N49" i="1" s="1"/>
  <c r="G49" i="1"/>
  <c r="J49" i="1" s="1"/>
  <c r="J48" i="1"/>
  <c r="G48" i="1"/>
  <c r="K47" i="1"/>
  <c r="O47" i="1" s="1"/>
  <c r="G47" i="1"/>
  <c r="I45" i="1"/>
  <c r="H45" i="1"/>
  <c r="E45" i="1"/>
  <c r="J44" i="1"/>
  <c r="G44" i="1"/>
  <c r="K43" i="1"/>
  <c r="N43" i="1" s="1"/>
  <c r="G43" i="1"/>
  <c r="J43" i="1" s="1"/>
  <c r="M45" i="1"/>
  <c r="G42" i="1"/>
  <c r="G45" i="1" s="1"/>
  <c r="J45" i="1" s="1"/>
  <c r="I41" i="1"/>
  <c r="H41" i="1"/>
  <c r="F41" i="1"/>
  <c r="F46" i="1" s="1"/>
  <c r="E41" i="1"/>
  <c r="G40" i="1"/>
  <c r="J40" i="1" s="1"/>
  <c r="G39" i="1"/>
  <c r="J39" i="1" s="1"/>
  <c r="G38" i="1"/>
  <c r="J38" i="1" s="1"/>
  <c r="G37" i="1"/>
  <c r="J37" i="1" s="1"/>
  <c r="K36" i="1"/>
  <c r="N36" i="1" s="1"/>
  <c r="G36" i="1"/>
  <c r="J36" i="1" s="1"/>
  <c r="G35" i="1"/>
  <c r="J35" i="1" s="1"/>
  <c r="L41" i="1"/>
  <c r="G34" i="1"/>
  <c r="J34" i="1" s="1"/>
  <c r="I33" i="1"/>
  <c r="H33" i="1"/>
  <c r="E33" i="1"/>
  <c r="G32" i="1"/>
  <c r="J32" i="1" s="1"/>
  <c r="K31" i="1"/>
  <c r="N31" i="1" s="1"/>
  <c r="G31" i="1"/>
  <c r="J31" i="1" s="1"/>
  <c r="G30" i="1"/>
  <c r="J30" i="1" s="1"/>
  <c r="G29" i="1"/>
  <c r="J29" i="1" s="1"/>
  <c r="G28" i="1"/>
  <c r="J28" i="1" s="1"/>
  <c r="K27" i="1"/>
  <c r="N27" i="1" s="1"/>
  <c r="G27" i="1"/>
  <c r="J27" i="1" s="1"/>
  <c r="M33" i="1"/>
  <c r="L33" i="1"/>
  <c r="G26" i="1"/>
  <c r="J26" i="1" s="1"/>
  <c r="I25" i="1"/>
  <c r="H25" i="1"/>
  <c r="E25" i="1"/>
  <c r="J24" i="1"/>
  <c r="G24" i="1"/>
  <c r="K23" i="1"/>
  <c r="N23" i="1" s="1"/>
  <c r="G23" i="1"/>
  <c r="J23" i="1" s="1"/>
  <c r="J22" i="1"/>
  <c r="G22" i="1"/>
  <c r="K21" i="1"/>
  <c r="N21" i="1" s="1"/>
  <c r="G21" i="1"/>
  <c r="J21" i="1" s="1"/>
  <c r="G20" i="1"/>
  <c r="J20" i="1" s="1"/>
  <c r="G19" i="1"/>
  <c r="J19" i="1" s="1"/>
  <c r="K18" i="1"/>
  <c r="G18" i="1"/>
  <c r="J18" i="1" s="1"/>
  <c r="I17" i="1"/>
  <c r="H17" i="1"/>
  <c r="E17" i="1"/>
  <c r="K16" i="1"/>
  <c r="N16" i="1" s="1"/>
  <c r="G16" i="1"/>
  <c r="J16" i="1" s="1"/>
  <c r="G15" i="1"/>
  <c r="J15" i="1" s="1"/>
  <c r="G14" i="1"/>
  <c r="J14" i="1" s="1"/>
  <c r="L17" i="1"/>
  <c r="G13" i="1"/>
  <c r="J13" i="1" s="1"/>
  <c r="J206" i="13" l="1"/>
  <c r="J207" i="13" s="1"/>
  <c r="J215" i="13" s="1"/>
  <c r="G207" i="13"/>
  <c r="G215" i="13" s="1"/>
  <c r="N204" i="1"/>
  <c r="K205" i="1"/>
  <c r="O204" i="1"/>
  <c r="N197" i="1"/>
  <c r="O197" i="1"/>
  <c r="K200" i="1"/>
  <c r="J199" i="13"/>
  <c r="J202" i="13" s="1"/>
  <c r="G202" i="13"/>
  <c r="J189" i="13"/>
  <c r="J194" i="13" s="1"/>
  <c r="J203" i="13" s="1"/>
  <c r="J217" i="13" s="1"/>
  <c r="J218" i="13" s="1"/>
  <c r="G194" i="13"/>
  <c r="G203" i="13" s="1"/>
  <c r="G217" i="13" s="1"/>
  <c r="G218" i="13" s="1"/>
  <c r="N187" i="1"/>
  <c r="O187" i="1"/>
  <c r="K192" i="1"/>
  <c r="N144" i="14"/>
  <c r="E83" i="1"/>
  <c r="H46" i="1"/>
  <c r="O16" i="1"/>
  <c r="O21" i="1"/>
  <c r="O23" i="1"/>
  <c r="K29" i="1"/>
  <c r="N29" i="1" s="1"/>
  <c r="K38" i="1"/>
  <c r="N38" i="1" s="1"/>
  <c r="K40" i="1"/>
  <c r="N40" i="1" s="1"/>
  <c r="O43" i="1"/>
  <c r="O52" i="1"/>
  <c r="O54" i="1"/>
  <c r="O60" i="1"/>
  <c r="O65" i="1"/>
  <c r="O86" i="1"/>
  <c r="G102" i="1"/>
  <c r="J102" i="1" s="1"/>
  <c r="J99" i="1"/>
  <c r="K105" i="1"/>
  <c r="N105" i="1" s="1"/>
  <c r="K111" i="1"/>
  <c r="K14" i="1"/>
  <c r="N14" i="1" s="1"/>
  <c r="M17" i="1"/>
  <c r="K15" i="1"/>
  <c r="N15" i="1" s="1"/>
  <c r="K19" i="1"/>
  <c r="N19" i="1" s="1"/>
  <c r="K22" i="1"/>
  <c r="N22" i="1" s="1"/>
  <c r="K24" i="1"/>
  <c r="N24" i="1" s="1"/>
  <c r="E46" i="1"/>
  <c r="E63" i="1" s="1"/>
  <c r="K26" i="1"/>
  <c r="N26" i="1" s="1"/>
  <c r="O27" i="1"/>
  <c r="K28" i="1"/>
  <c r="N28" i="1" s="1"/>
  <c r="K30" i="1"/>
  <c r="N30" i="1" s="1"/>
  <c r="O31" i="1"/>
  <c r="K32" i="1"/>
  <c r="N32" i="1" s="1"/>
  <c r="K35" i="1"/>
  <c r="N35" i="1" s="1"/>
  <c r="K37" i="1"/>
  <c r="N37" i="1" s="1"/>
  <c r="O37" i="1"/>
  <c r="K39" i="1"/>
  <c r="N39" i="1" s="1"/>
  <c r="O39" i="1"/>
  <c r="H62" i="1"/>
  <c r="O56" i="1"/>
  <c r="O58" i="1"/>
  <c r="O67" i="1"/>
  <c r="M82" i="1"/>
  <c r="O78" i="1"/>
  <c r="M94" i="1"/>
  <c r="O91" i="1"/>
  <c r="O93" i="1"/>
  <c r="K106" i="1"/>
  <c r="N106" i="1" s="1"/>
  <c r="K120" i="1"/>
  <c r="N120" i="1" s="1"/>
  <c r="K122" i="1"/>
  <c r="F63" i="1"/>
  <c r="F126" i="1" s="1"/>
  <c r="K44" i="1"/>
  <c r="N44" i="1" s="1"/>
  <c r="K48" i="1"/>
  <c r="N48" i="1" s="1"/>
  <c r="L51" i="1"/>
  <c r="L62" i="1" s="1"/>
  <c r="K53" i="1"/>
  <c r="N53" i="1" s="1"/>
  <c r="O55" i="1"/>
  <c r="K57" i="1"/>
  <c r="N57" i="1" s="1"/>
  <c r="O59" i="1"/>
  <c r="O66" i="1"/>
  <c r="K68" i="1"/>
  <c r="N68" i="1" s="1"/>
  <c r="I83" i="1"/>
  <c r="I97" i="1" s="1"/>
  <c r="I98" i="1" s="1"/>
  <c r="O71" i="1"/>
  <c r="O73" i="1"/>
  <c r="K77" i="1"/>
  <c r="N77" i="1" s="1"/>
  <c r="K79" i="1"/>
  <c r="N79" i="1" s="1"/>
  <c r="O81" i="1"/>
  <c r="K85" i="1"/>
  <c r="N85" i="1" s="1"/>
  <c r="H95" i="1"/>
  <c r="H97" i="1" s="1"/>
  <c r="H98" i="1" s="1"/>
  <c r="K90" i="1"/>
  <c r="N90" i="1" s="1"/>
  <c r="K92" i="1"/>
  <c r="N92" i="1" s="1"/>
  <c r="E95" i="1"/>
  <c r="E97" i="1" s="1"/>
  <c r="E98" i="1" s="1"/>
  <c r="K50" i="1"/>
  <c r="N50" i="1" s="1"/>
  <c r="M51" i="1"/>
  <c r="M62" i="1" s="1"/>
  <c r="O49" i="1"/>
  <c r="K42" i="1"/>
  <c r="N42" i="1" s="1"/>
  <c r="J42" i="1"/>
  <c r="N145" i="14"/>
  <c r="R145" i="14" s="1"/>
  <c r="N146" i="14"/>
  <c r="P146" i="14" s="1"/>
  <c r="M131" i="14"/>
  <c r="O131" i="14"/>
  <c r="N131" i="14" s="1"/>
  <c r="R131" i="14" s="1"/>
  <c r="M135" i="14"/>
  <c r="O135" i="14"/>
  <c r="N135" i="14" s="1"/>
  <c r="R135" i="14" s="1"/>
  <c r="M133" i="14"/>
  <c r="O133" i="14"/>
  <c r="N133" i="14" s="1"/>
  <c r="R133" i="14" s="1"/>
  <c r="M137" i="14"/>
  <c r="O137" i="14"/>
  <c r="N137" i="14" s="1"/>
  <c r="R137" i="14" s="1"/>
  <c r="O132" i="14"/>
  <c r="N132" i="14" s="1"/>
  <c r="P132" i="14" s="1"/>
  <c r="O134" i="14"/>
  <c r="N134" i="14" s="1"/>
  <c r="R134" i="14" s="1"/>
  <c r="O136" i="14"/>
  <c r="N136" i="14" s="1"/>
  <c r="P136" i="14" s="1"/>
  <c r="N140" i="14"/>
  <c r="P140" i="14" s="1"/>
  <c r="N141" i="14"/>
  <c r="P141" i="14" s="1"/>
  <c r="N142" i="14"/>
  <c r="P142" i="14" s="1"/>
  <c r="N143" i="14"/>
  <c r="R143" i="14" s="1"/>
  <c r="R140" i="14"/>
  <c r="R141" i="14"/>
  <c r="Q141" i="14"/>
  <c r="S141" i="14" s="1"/>
  <c r="R136" i="14"/>
  <c r="O138" i="14"/>
  <c r="N138" i="14" s="1"/>
  <c r="M138" i="14"/>
  <c r="M140" i="14"/>
  <c r="M141" i="14"/>
  <c r="M142" i="14"/>
  <c r="R144" i="14"/>
  <c r="P144" i="14"/>
  <c r="Q144" i="14"/>
  <c r="S144" i="14" s="1"/>
  <c r="P145" i="14"/>
  <c r="Q136" i="14"/>
  <c r="S136" i="14" s="1"/>
  <c r="L139" i="14"/>
  <c r="K139" i="14" s="1"/>
  <c r="C139" i="14"/>
  <c r="M143" i="14"/>
  <c r="M144" i="14"/>
  <c r="M145" i="14"/>
  <c r="M146" i="14"/>
  <c r="K113" i="1"/>
  <c r="N113" i="1" s="1"/>
  <c r="K84" i="1"/>
  <c r="I46" i="1"/>
  <c r="I63" i="1" s="1"/>
  <c r="M41" i="1"/>
  <c r="G25" i="1"/>
  <c r="J25" i="1" s="1"/>
  <c r="M25" i="1"/>
  <c r="K20" i="1"/>
  <c r="N20" i="1" s="1"/>
  <c r="N18" i="1"/>
  <c r="K45" i="1"/>
  <c r="N45" i="1" s="1"/>
  <c r="O22" i="1"/>
  <c r="O36" i="1"/>
  <c r="O40" i="1"/>
  <c r="O44" i="1"/>
  <c r="G17" i="1"/>
  <c r="L25" i="1"/>
  <c r="G33" i="1"/>
  <c r="J33" i="1" s="1"/>
  <c r="G41" i="1"/>
  <c r="J41" i="1" s="1"/>
  <c r="L45" i="1"/>
  <c r="G51" i="1"/>
  <c r="J47" i="1"/>
  <c r="G61" i="1"/>
  <c r="L82" i="1"/>
  <c r="K75" i="1"/>
  <c r="O75" i="1" s="1"/>
  <c r="G87" i="1"/>
  <c r="L94" i="1"/>
  <c r="L95" i="1" s="1"/>
  <c r="K88" i="1"/>
  <c r="M95" i="1"/>
  <c r="K99" i="1"/>
  <c r="L102" i="1"/>
  <c r="O100" i="1"/>
  <c r="N103" i="1"/>
  <c r="M107" i="1"/>
  <c r="O103" i="1"/>
  <c r="K109" i="1"/>
  <c r="N109" i="1" s="1"/>
  <c r="L110" i="1"/>
  <c r="K112" i="1"/>
  <c r="N112" i="1" s="1"/>
  <c r="L116" i="1"/>
  <c r="O114" i="1"/>
  <c r="N118" i="1"/>
  <c r="O119" i="1"/>
  <c r="G123" i="1"/>
  <c r="J123" i="1" s="1"/>
  <c r="K13" i="1"/>
  <c r="O18" i="1"/>
  <c r="K34" i="1"/>
  <c r="O34" i="1" s="1"/>
  <c r="N47" i="1"/>
  <c r="K61" i="1"/>
  <c r="N61" i="1" s="1"/>
  <c r="L74" i="1"/>
  <c r="K64" i="1"/>
  <c r="O64" i="1" s="1"/>
  <c r="O70" i="1"/>
  <c r="O72" i="1"/>
  <c r="G74" i="1"/>
  <c r="O76" i="1"/>
  <c r="O77" i="1"/>
  <c r="O80" i="1"/>
  <c r="G82" i="1"/>
  <c r="J82" i="1" s="1"/>
  <c r="O88" i="1"/>
  <c r="O89" i="1"/>
  <c r="O92" i="1"/>
  <c r="G94" i="1"/>
  <c r="J94" i="1" s="1"/>
  <c r="O96" i="1"/>
  <c r="H124" i="1"/>
  <c r="H125" i="1" s="1"/>
  <c r="K104" i="1"/>
  <c r="N104" i="1" s="1"/>
  <c r="L107" i="1"/>
  <c r="O105" i="1"/>
  <c r="N108" i="1"/>
  <c r="M110" i="1"/>
  <c r="O108" i="1"/>
  <c r="N111" i="1"/>
  <c r="M116" i="1"/>
  <c r="O111" i="1"/>
  <c r="M120" i="1"/>
  <c r="O117" i="1"/>
  <c r="M102" i="1"/>
  <c r="O101" i="1"/>
  <c r="E124" i="1"/>
  <c r="E125" i="1" s="1"/>
  <c r="I124" i="1"/>
  <c r="I125" i="1" s="1"/>
  <c r="G107" i="1"/>
  <c r="J107" i="1" s="1"/>
  <c r="J103" i="1"/>
  <c r="O104" i="1"/>
  <c r="G110" i="1"/>
  <c r="J110" i="1" s="1"/>
  <c r="J108" i="1"/>
  <c r="G116" i="1"/>
  <c r="J116" i="1" s="1"/>
  <c r="J111" i="1"/>
  <c r="O115" i="1"/>
  <c r="L120" i="1"/>
  <c r="O118" i="1"/>
  <c r="G120" i="1"/>
  <c r="J120" i="1" s="1"/>
  <c r="L123" i="1"/>
  <c r="K121" i="1"/>
  <c r="N205" i="1" l="1"/>
  <c r="K213" i="1"/>
  <c r="O205" i="1"/>
  <c r="N200" i="1"/>
  <c r="O200" i="1"/>
  <c r="G245" i="13"/>
  <c r="F37" i="15"/>
  <c r="F41" i="15" s="1"/>
  <c r="O192" i="1"/>
  <c r="K201" i="1"/>
  <c r="N192" i="1"/>
  <c r="I37" i="15"/>
  <c r="I41" i="15" s="1"/>
  <c r="J245" i="13"/>
  <c r="P133" i="14"/>
  <c r="Q142" i="14"/>
  <c r="R132" i="14"/>
  <c r="H63" i="1"/>
  <c r="K25" i="1"/>
  <c r="N25" i="1" s="1"/>
  <c r="O15" i="1"/>
  <c r="O116" i="1"/>
  <c r="K116" i="1"/>
  <c r="N116" i="1" s="1"/>
  <c r="Q145" i="14"/>
  <c r="S145" i="14" s="1"/>
  <c r="T145" i="14" s="1"/>
  <c r="P143" i="14"/>
  <c r="Q133" i="14"/>
  <c r="S133" i="14" s="1"/>
  <c r="T133" i="14" s="1"/>
  <c r="M46" i="1"/>
  <c r="M63" i="1" s="1"/>
  <c r="O109" i="1"/>
  <c r="O110" i="1"/>
  <c r="K110" i="1"/>
  <c r="N110" i="1" s="1"/>
  <c r="O90" i="1"/>
  <c r="K51" i="1"/>
  <c r="N51" i="1" s="1"/>
  <c r="O35" i="1"/>
  <c r="O38" i="1"/>
  <c r="O30" i="1"/>
  <c r="O29" i="1"/>
  <c r="O24" i="1"/>
  <c r="O20" i="1"/>
  <c r="O14" i="1"/>
  <c r="E126" i="1"/>
  <c r="H126" i="1"/>
  <c r="N122" i="1"/>
  <c r="O122" i="1"/>
  <c r="O57" i="1"/>
  <c r="O85" i="1"/>
  <c r="O112" i="1"/>
  <c r="O106" i="1"/>
  <c r="O120" i="1"/>
  <c r="O79" i="1"/>
  <c r="L83" i="1"/>
  <c r="O51" i="1"/>
  <c r="K33" i="1"/>
  <c r="O26" i="1"/>
  <c r="O68" i="1"/>
  <c r="O48" i="1"/>
  <c r="O32" i="1"/>
  <c r="O28" i="1"/>
  <c r="O19" i="1"/>
  <c r="O53" i="1"/>
  <c r="P135" i="14"/>
  <c r="Q132" i="14"/>
  <c r="Q131" i="14"/>
  <c r="O50" i="1"/>
  <c r="O42" i="1"/>
  <c r="L46" i="1"/>
  <c r="L63" i="1" s="1"/>
  <c r="O45" i="1"/>
  <c r="R146" i="14"/>
  <c r="Q143" i="14"/>
  <c r="S143" i="14" s="1"/>
  <c r="T136" i="14"/>
  <c r="T144" i="14"/>
  <c r="Q137" i="14"/>
  <c r="S137" i="14" s="1"/>
  <c r="Q135" i="14"/>
  <c r="Q146" i="14"/>
  <c r="S146" i="14" s="1"/>
  <c r="T146" i="14" s="1"/>
  <c r="T141" i="14"/>
  <c r="P137" i="14"/>
  <c r="P134" i="14"/>
  <c r="P131" i="14"/>
  <c r="R142" i="14"/>
  <c r="Q140" i="14"/>
  <c r="S140" i="14" s="1"/>
  <c r="T140" i="14" s="1"/>
  <c r="S135" i="14"/>
  <c r="T135" i="14" s="1"/>
  <c r="S131" i="14"/>
  <c r="Q134" i="14"/>
  <c r="S134" i="14" s="1"/>
  <c r="O139" i="14"/>
  <c r="N139" i="14" s="1"/>
  <c r="M139" i="14"/>
  <c r="Q138" i="14"/>
  <c r="R138" i="14"/>
  <c r="P138" i="14"/>
  <c r="O113" i="1"/>
  <c r="N84" i="1"/>
  <c r="O84" i="1"/>
  <c r="K87" i="1"/>
  <c r="O87" i="1" s="1"/>
  <c r="K69" i="1"/>
  <c r="N69" i="1" s="1"/>
  <c r="I126" i="1"/>
  <c r="O25" i="1"/>
  <c r="K123" i="1"/>
  <c r="N121" i="1"/>
  <c r="M124" i="1"/>
  <c r="G83" i="1"/>
  <c r="J74" i="1"/>
  <c r="L97" i="1"/>
  <c r="L98" i="1" s="1"/>
  <c r="K102" i="1"/>
  <c r="N99" i="1"/>
  <c r="O99" i="1"/>
  <c r="O121" i="1"/>
  <c r="N64" i="1"/>
  <c r="K62" i="1"/>
  <c r="K41" i="1"/>
  <c r="N34" i="1"/>
  <c r="K17" i="1"/>
  <c r="N13" i="1"/>
  <c r="K107" i="1"/>
  <c r="N107" i="1" s="1"/>
  <c r="L124" i="1"/>
  <c r="L125" i="1" s="1"/>
  <c r="G124" i="1"/>
  <c r="K94" i="1"/>
  <c r="N88" i="1"/>
  <c r="J87" i="1"/>
  <c r="G95" i="1"/>
  <c r="J95" i="1" s="1"/>
  <c r="K82" i="1"/>
  <c r="N75" i="1"/>
  <c r="M74" i="1"/>
  <c r="G62" i="1"/>
  <c r="J51" i="1"/>
  <c r="J17" i="1"/>
  <c r="G46" i="1"/>
  <c r="O61" i="1"/>
  <c r="O13" i="1"/>
  <c r="N213" i="1" l="1"/>
  <c r="O213" i="1"/>
  <c r="K215" i="1"/>
  <c r="O201" i="1"/>
  <c r="N201" i="1"/>
  <c r="S142" i="14"/>
  <c r="T142" i="14" s="1"/>
  <c r="T143" i="14"/>
  <c r="S132" i="14"/>
  <c r="T132" i="14" s="1"/>
  <c r="O62" i="1"/>
  <c r="D16" i="15"/>
  <c r="T137" i="14"/>
  <c r="N33" i="1"/>
  <c r="O33" i="1"/>
  <c r="N62" i="1"/>
  <c r="T134" i="14"/>
  <c r="T131" i="14"/>
  <c r="S138" i="14"/>
  <c r="T138" i="14" s="1"/>
  <c r="R139" i="14"/>
  <c r="P139" i="14"/>
  <c r="Q139" i="14"/>
  <c r="S139" i="14" s="1"/>
  <c r="L126" i="1"/>
  <c r="N87" i="1"/>
  <c r="O69" i="1"/>
  <c r="K74" i="1"/>
  <c r="K83" i="1" s="1"/>
  <c r="J46" i="1"/>
  <c r="G63" i="1"/>
  <c r="M83" i="1"/>
  <c r="O74" i="1"/>
  <c r="G125" i="1"/>
  <c r="J125" i="1" s="1"/>
  <c r="J124" i="1"/>
  <c r="J83" i="1"/>
  <c r="G97" i="1"/>
  <c r="M125" i="1"/>
  <c r="N123" i="1"/>
  <c r="O123" i="1"/>
  <c r="J61" i="1"/>
  <c r="J62" i="1"/>
  <c r="N82" i="1"/>
  <c r="O82" i="1"/>
  <c r="N94" i="1"/>
  <c r="O94" i="1"/>
  <c r="O107" i="1"/>
  <c r="N17" i="1"/>
  <c r="K46" i="1"/>
  <c r="D15" i="15" s="1"/>
  <c r="O17" i="1"/>
  <c r="N41" i="1"/>
  <c r="O41" i="1"/>
  <c r="K95" i="1"/>
  <c r="K124" i="1"/>
  <c r="N102" i="1"/>
  <c r="O102" i="1"/>
  <c r="N74" i="1" l="1"/>
  <c r="N215" i="1"/>
  <c r="N216" i="1" s="1"/>
  <c r="K216" i="1"/>
  <c r="O215" i="1"/>
  <c r="O216" i="1" s="1"/>
  <c r="T139" i="14"/>
  <c r="K125" i="1"/>
  <c r="D22" i="15" s="1"/>
  <c r="N124" i="1"/>
  <c r="N125" i="1" s="1"/>
  <c r="G98" i="1"/>
  <c r="J98" i="1" s="1"/>
  <c r="J97" i="1"/>
  <c r="G126" i="1"/>
  <c r="J126" i="1" s="1"/>
  <c r="J63" i="1"/>
  <c r="N95" i="1"/>
  <c r="O95" i="1"/>
  <c r="N46" i="1"/>
  <c r="K63" i="1"/>
  <c r="O46" i="1"/>
  <c r="O124" i="1"/>
  <c r="O125" i="1" s="1"/>
  <c r="K97" i="1"/>
  <c r="N83" i="1"/>
  <c r="M97" i="1"/>
  <c r="O83" i="1"/>
  <c r="K244" i="1" l="1"/>
  <c r="N63" i="1"/>
  <c r="O63" i="1"/>
  <c r="O97" i="1"/>
  <c r="O98" i="1" s="1"/>
  <c r="M98" i="1"/>
  <c r="M126" i="1" s="1"/>
  <c r="K98" i="1"/>
  <c r="D19" i="15" s="1"/>
  <c r="N97" i="1"/>
  <c r="N98" i="1" s="1"/>
  <c r="N244" i="1" l="1"/>
  <c r="O244" i="1"/>
  <c r="D37" i="15"/>
  <c r="E35" i="15"/>
  <c r="K126" i="1"/>
  <c r="N126" i="1" s="1"/>
  <c r="D41" i="15" l="1"/>
  <c r="E41" i="15" s="1"/>
  <c r="E37" i="15"/>
  <c r="O126" i="1"/>
  <c r="F116" i="16" l="1"/>
  <c r="F114" i="16"/>
  <c r="F223" i="16" s="1"/>
  <c r="F113" i="16"/>
  <c r="F222" i="16" s="1"/>
  <c r="F112" i="16"/>
  <c r="F221" i="16" s="1"/>
  <c r="F330" i="16" s="1"/>
  <c r="F439" i="16" s="1"/>
  <c r="F549" i="16" s="1"/>
  <c r="F659" i="16" s="1"/>
  <c r="F111" i="16"/>
  <c r="F220" i="16" s="1"/>
  <c r="F110" i="16"/>
  <c r="F219" i="16" s="1"/>
  <c r="F109" i="16"/>
  <c r="F218" i="16" s="1"/>
  <c r="F108" i="16"/>
  <c r="F217" i="16" s="1"/>
  <c r="F107" i="16"/>
  <c r="F216" i="16" s="1"/>
  <c r="F106" i="16"/>
  <c r="F215" i="16" s="1"/>
  <c r="F105" i="16"/>
  <c r="F214" i="16" s="1"/>
  <c r="F104" i="16"/>
  <c r="F213" i="16" s="1"/>
  <c r="F103" i="16"/>
  <c r="F212" i="16" s="1"/>
  <c r="F102" i="16"/>
  <c r="F211" i="16" s="1"/>
  <c r="F101" i="16"/>
  <c r="F210" i="16" s="1"/>
  <c r="F100" i="16"/>
  <c r="F209" i="16" s="1"/>
  <c r="F99" i="16"/>
  <c r="F208" i="16" s="1"/>
  <c r="F98" i="16"/>
  <c r="F207" i="16" s="1"/>
  <c r="F97" i="16"/>
  <c r="F206" i="16" s="1"/>
  <c r="F96" i="16"/>
  <c r="F205" i="16" s="1"/>
  <c r="F95" i="16"/>
  <c r="F204" i="16" s="1"/>
  <c r="F94" i="16"/>
  <c r="F203" i="16" s="1"/>
  <c r="F93" i="16"/>
  <c r="F202" i="16" s="1"/>
  <c r="F92" i="16"/>
  <c r="F201" i="16" s="1"/>
  <c r="F91" i="16"/>
  <c r="F200" i="16" s="1"/>
  <c r="F90" i="16"/>
  <c r="F199" i="16" s="1"/>
  <c r="F88" i="16"/>
  <c r="F197" i="16" s="1"/>
  <c r="F87" i="16"/>
  <c r="F196" i="16" s="1"/>
  <c r="F86" i="16"/>
  <c r="F195" i="16" s="1"/>
  <c r="F85" i="16"/>
  <c r="F194" i="16" s="1"/>
  <c r="F84" i="16"/>
  <c r="F193" i="16" s="1"/>
  <c r="F83" i="16"/>
  <c r="F192" i="16" s="1"/>
  <c r="F82" i="16"/>
  <c r="F191" i="16" s="1"/>
  <c r="F81" i="16"/>
  <c r="F190" i="16" s="1"/>
  <c r="F80" i="16"/>
  <c r="F189" i="16" s="1"/>
  <c r="F79" i="16"/>
  <c r="F188" i="16" s="1"/>
  <c r="F78" i="16"/>
  <c r="F187" i="16" s="1"/>
  <c r="F77" i="16"/>
  <c r="F186" i="16" s="1"/>
  <c r="F76" i="16"/>
  <c r="F185" i="16" s="1"/>
  <c r="F75" i="16"/>
  <c r="F184" i="16" s="1"/>
  <c r="F74" i="16"/>
  <c r="F183" i="16" s="1"/>
  <c r="F73" i="16"/>
  <c r="F182" i="16" s="1"/>
  <c r="F72" i="16"/>
  <c r="F181" i="16" s="1"/>
  <c r="F71" i="16"/>
  <c r="F180" i="16" s="1"/>
  <c r="F70" i="16"/>
  <c r="F179" i="16" s="1"/>
  <c r="F69" i="16"/>
  <c r="F178" i="16" s="1"/>
  <c r="F68" i="16"/>
  <c r="F177" i="16" s="1"/>
  <c r="F67" i="16"/>
  <c r="F176" i="16" s="1"/>
  <c r="F66" i="16"/>
  <c r="F175" i="16" s="1"/>
  <c r="F65" i="16"/>
  <c r="F174" i="16" s="1"/>
  <c r="F64" i="16"/>
  <c r="F173" i="16" s="1"/>
  <c r="F63" i="16"/>
  <c r="F172" i="16" s="1"/>
  <c r="F62" i="16"/>
  <c r="F171" i="16" s="1"/>
  <c r="F61" i="16"/>
  <c r="F170" i="16" s="1"/>
  <c r="F60" i="16"/>
  <c r="F169" i="16" s="1"/>
  <c r="F59" i="16"/>
  <c r="F168" i="16" s="1"/>
  <c r="F58" i="16"/>
  <c r="F167" i="16" s="1"/>
  <c r="F57" i="16"/>
  <c r="F166" i="16" s="1"/>
  <c r="F53" i="16"/>
  <c r="F162" i="16" s="1"/>
  <c r="F52" i="16"/>
  <c r="F161" i="16" s="1"/>
  <c r="F51" i="16"/>
  <c r="F160" i="16" s="1"/>
  <c r="F50" i="16"/>
  <c r="F159" i="16" s="1"/>
  <c r="F49" i="16"/>
  <c r="F158" i="16" s="1"/>
  <c r="F48" i="16"/>
  <c r="F157" i="16" s="1"/>
  <c r="F47" i="16"/>
  <c r="F156" i="16" s="1"/>
  <c r="F45" i="16"/>
  <c r="F154" i="16" s="1"/>
  <c r="F44" i="16"/>
  <c r="F153" i="16" s="1"/>
  <c r="F43" i="16"/>
  <c r="F152" i="16" s="1"/>
  <c r="F42" i="16"/>
  <c r="F151" i="16" s="1"/>
  <c r="F41" i="16"/>
  <c r="F150" i="16" s="1"/>
  <c r="F40" i="16"/>
  <c r="F149" i="16" s="1"/>
  <c r="F39" i="16"/>
  <c r="F148" i="16" s="1"/>
  <c r="F38" i="16"/>
  <c r="F147" i="16" s="1"/>
  <c r="F37" i="16"/>
  <c r="F146" i="16" s="1"/>
  <c r="F36" i="16"/>
  <c r="F145" i="16" s="1"/>
  <c r="F35" i="16"/>
  <c r="F144" i="16" s="1"/>
  <c r="F34" i="16"/>
  <c r="F143" i="16" s="1"/>
  <c r="F33" i="16"/>
  <c r="F142" i="16" s="1"/>
  <c r="F32" i="16"/>
  <c r="F141" i="16" s="1"/>
  <c r="F30" i="16"/>
  <c r="F139" i="16" s="1"/>
  <c r="F29" i="16"/>
  <c r="F138" i="16" s="1"/>
  <c r="F28" i="16"/>
  <c r="F137" i="16" s="1"/>
  <c r="F27" i="16"/>
  <c r="F136" i="16" s="1"/>
  <c r="F26" i="16"/>
  <c r="F135" i="16" s="1"/>
  <c r="F25" i="16"/>
  <c r="F134" i="16" s="1"/>
  <c r="F24" i="16"/>
  <c r="F133" i="16" s="1"/>
  <c r="F23" i="16"/>
  <c r="F132" i="16" s="1"/>
  <c r="F22" i="16"/>
  <c r="F131" i="16" s="1"/>
  <c r="F21" i="16"/>
  <c r="F130" i="16" s="1"/>
  <c r="F20" i="16"/>
  <c r="F129" i="16" s="1"/>
  <c r="F19" i="16"/>
  <c r="F128" i="16" s="1"/>
  <c r="F18" i="16"/>
  <c r="F127" i="16" s="1"/>
  <c r="F17" i="16"/>
  <c r="F126" i="16" s="1"/>
  <c r="F16" i="16"/>
  <c r="F125" i="16" s="1"/>
  <c r="F15" i="16"/>
  <c r="F124" i="16" s="1"/>
  <c r="L71" i="17"/>
  <c r="L136" i="17" s="1"/>
  <c r="L202" i="17" s="1"/>
  <c r="K71" i="17"/>
  <c r="K136" i="17" s="1"/>
  <c r="K202" i="17" s="1"/>
  <c r="L70" i="17"/>
  <c r="L135" i="17" s="1"/>
  <c r="L201" i="17" s="1"/>
  <c r="K70" i="17"/>
  <c r="K135" i="17" s="1"/>
  <c r="K201" i="17" s="1"/>
  <c r="L67" i="17"/>
  <c r="L132" i="17" s="1"/>
  <c r="L198" i="17" s="1"/>
  <c r="K67" i="17"/>
  <c r="K132" i="17" s="1"/>
  <c r="K198" i="17" s="1"/>
  <c r="L66" i="17"/>
  <c r="L131" i="17" s="1"/>
  <c r="L197" i="17" s="1"/>
  <c r="K66" i="17"/>
  <c r="K131" i="17" s="1"/>
  <c r="K197" i="17" s="1"/>
  <c r="L65" i="17"/>
  <c r="L130" i="17" s="1"/>
  <c r="L196" i="17" s="1"/>
  <c r="K65" i="17"/>
  <c r="K130" i="17" s="1"/>
  <c r="K196" i="17" s="1"/>
  <c r="L64" i="17"/>
  <c r="L129" i="17" s="1"/>
  <c r="L195" i="17" s="1"/>
  <c r="K64" i="17"/>
  <c r="K129" i="17" s="1"/>
  <c r="K195" i="17" s="1"/>
  <c r="L63" i="17"/>
  <c r="L128" i="17" s="1"/>
  <c r="L194" i="17" s="1"/>
  <c r="K63" i="17"/>
  <c r="K128" i="17" s="1"/>
  <c r="K194" i="17" s="1"/>
  <c r="L62" i="17"/>
  <c r="L127" i="17" s="1"/>
  <c r="L193" i="17" s="1"/>
  <c r="K62" i="17"/>
  <c r="K127" i="17" s="1"/>
  <c r="K193" i="17" s="1"/>
  <c r="L61" i="17"/>
  <c r="L126" i="17" s="1"/>
  <c r="L192" i="17" s="1"/>
  <c r="K61" i="17"/>
  <c r="K126" i="17" s="1"/>
  <c r="K192" i="17" s="1"/>
  <c r="L60" i="17"/>
  <c r="L125" i="17" s="1"/>
  <c r="L191" i="17" s="1"/>
  <c r="K60" i="17"/>
  <c r="K125" i="17" s="1"/>
  <c r="K191" i="17" s="1"/>
  <c r="L59" i="17"/>
  <c r="L124" i="17" s="1"/>
  <c r="L190" i="17" s="1"/>
  <c r="K59" i="17"/>
  <c r="K124" i="17" s="1"/>
  <c r="K190" i="17" s="1"/>
  <c r="L58" i="17"/>
  <c r="L123" i="17" s="1"/>
  <c r="L189" i="17" s="1"/>
  <c r="K58" i="17"/>
  <c r="K123" i="17" s="1"/>
  <c r="K189" i="17" s="1"/>
  <c r="L57" i="17"/>
  <c r="L122" i="17" s="1"/>
  <c r="L188" i="17" s="1"/>
  <c r="K57" i="17"/>
  <c r="K122" i="17" s="1"/>
  <c r="K188" i="17" s="1"/>
  <c r="L56" i="17"/>
  <c r="L121" i="17" s="1"/>
  <c r="L187" i="17" s="1"/>
  <c r="K56" i="17"/>
  <c r="K121" i="17" s="1"/>
  <c r="K187" i="17" s="1"/>
  <c r="L55" i="17"/>
  <c r="L120" i="17" s="1"/>
  <c r="L186" i="17" s="1"/>
  <c r="K55" i="17"/>
  <c r="K120" i="17" s="1"/>
  <c r="K186" i="17" s="1"/>
  <c r="L54" i="17"/>
  <c r="L119" i="17" s="1"/>
  <c r="L185" i="17" s="1"/>
  <c r="K54" i="17"/>
  <c r="K119" i="17" s="1"/>
  <c r="K185" i="17" s="1"/>
  <c r="L53" i="17"/>
  <c r="L118" i="17" s="1"/>
  <c r="L184" i="17" s="1"/>
  <c r="K53" i="17"/>
  <c r="K118" i="17" s="1"/>
  <c r="K184" i="17" s="1"/>
  <c r="L52" i="17"/>
  <c r="L117" i="17" s="1"/>
  <c r="L183" i="17" s="1"/>
  <c r="K52" i="17"/>
  <c r="K117" i="17" s="1"/>
  <c r="K183" i="17" s="1"/>
  <c r="L51" i="17"/>
  <c r="L116" i="17" s="1"/>
  <c r="L182" i="17" s="1"/>
  <c r="K51" i="17"/>
  <c r="K116" i="17" s="1"/>
  <c r="K182" i="17" s="1"/>
  <c r="L50" i="17"/>
  <c r="L115" i="17" s="1"/>
  <c r="L181" i="17" s="1"/>
  <c r="K50" i="17"/>
  <c r="K115" i="17" s="1"/>
  <c r="K181" i="17" s="1"/>
  <c r="L49" i="17"/>
  <c r="L114" i="17" s="1"/>
  <c r="L180" i="17" s="1"/>
  <c r="K49" i="17"/>
  <c r="K114" i="17" s="1"/>
  <c r="K180" i="17" s="1"/>
  <c r="L48" i="17"/>
  <c r="L113" i="17" s="1"/>
  <c r="L179" i="17" s="1"/>
  <c r="K48" i="17"/>
  <c r="K113" i="17" s="1"/>
  <c r="K179" i="17" s="1"/>
  <c r="L47" i="17"/>
  <c r="L112" i="17" s="1"/>
  <c r="L178" i="17" s="1"/>
  <c r="K47" i="17"/>
  <c r="K112" i="17" s="1"/>
  <c r="K178" i="17" s="1"/>
  <c r="L46" i="17"/>
  <c r="L111" i="17" s="1"/>
  <c r="L177" i="17" s="1"/>
  <c r="K46" i="17"/>
  <c r="K111" i="17" s="1"/>
  <c r="K177" i="17" s="1"/>
  <c r="L45" i="17"/>
  <c r="L110" i="17" s="1"/>
  <c r="L176" i="17" s="1"/>
  <c r="K45" i="17"/>
  <c r="K110" i="17" s="1"/>
  <c r="K176" i="17" s="1"/>
  <c r="L44" i="17"/>
  <c r="L109" i="17" s="1"/>
  <c r="L175" i="17" s="1"/>
  <c r="K44" i="17"/>
  <c r="K109" i="17" s="1"/>
  <c r="K175" i="17" s="1"/>
  <c r="L43" i="17"/>
  <c r="L108" i="17" s="1"/>
  <c r="L174" i="17" s="1"/>
  <c r="K43" i="17"/>
  <c r="K108" i="17" s="1"/>
  <c r="K174" i="17" s="1"/>
  <c r="L42" i="17"/>
  <c r="L107" i="17" s="1"/>
  <c r="L173" i="17" s="1"/>
  <c r="K42" i="17"/>
  <c r="K107" i="17" s="1"/>
  <c r="K173" i="17" s="1"/>
  <c r="L41" i="17"/>
  <c r="L106" i="17" s="1"/>
  <c r="L172" i="17" s="1"/>
  <c r="K41" i="17"/>
  <c r="K106" i="17" s="1"/>
  <c r="K172" i="17" s="1"/>
  <c r="L40" i="17"/>
  <c r="L105" i="17" s="1"/>
  <c r="L171" i="17" s="1"/>
  <c r="K40" i="17"/>
  <c r="K105" i="17" s="1"/>
  <c r="K171" i="17" s="1"/>
  <c r="L39" i="17"/>
  <c r="L104" i="17" s="1"/>
  <c r="L170" i="17" s="1"/>
  <c r="K39" i="17"/>
  <c r="K104" i="17" s="1"/>
  <c r="K170" i="17" s="1"/>
  <c r="L38" i="17"/>
  <c r="L103" i="17" s="1"/>
  <c r="L169" i="17" s="1"/>
  <c r="L203" i="17" s="1"/>
  <c r="L204" i="17" s="1"/>
  <c r="K38" i="17"/>
  <c r="K103" i="17" s="1"/>
  <c r="K169" i="17" s="1"/>
  <c r="L35" i="17"/>
  <c r="L100" i="17" s="1"/>
  <c r="L166" i="17" s="1"/>
  <c r="K35" i="17"/>
  <c r="K100" i="17" s="1"/>
  <c r="K166" i="17" s="1"/>
  <c r="L34" i="17"/>
  <c r="L99" i="17" s="1"/>
  <c r="L165" i="17" s="1"/>
  <c r="K34" i="17"/>
  <c r="K99" i="17" s="1"/>
  <c r="K165" i="17" s="1"/>
  <c r="L33" i="17"/>
  <c r="L98" i="17" s="1"/>
  <c r="L164" i="17" s="1"/>
  <c r="K33" i="17"/>
  <c r="K98" i="17" s="1"/>
  <c r="K164" i="17" s="1"/>
  <c r="L32" i="17"/>
  <c r="L97" i="17" s="1"/>
  <c r="L163" i="17" s="1"/>
  <c r="K32" i="17"/>
  <c r="K97" i="17" s="1"/>
  <c r="K163" i="17" s="1"/>
  <c r="L31" i="17"/>
  <c r="L96" i="17" s="1"/>
  <c r="L162" i="17" s="1"/>
  <c r="K31" i="17"/>
  <c r="K96" i="17" s="1"/>
  <c r="K162" i="17" s="1"/>
  <c r="L30" i="17"/>
  <c r="L95" i="17" s="1"/>
  <c r="L161" i="17" s="1"/>
  <c r="K30" i="17"/>
  <c r="K95" i="17" s="1"/>
  <c r="K161" i="17" s="1"/>
  <c r="L29" i="17"/>
  <c r="L94" i="17" s="1"/>
  <c r="K29" i="17"/>
  <c r="K94" i="17" s="1"/>
  <c r="K160" i="17" s="1"/>
  <c r="L26" i="17"/>
  <c r="L91" i="17" s="1"/>
  <c r="L157" i="17" s="1"/>
  <c r="K26" i="17"/>
  <c r="K91" i="17" s="1"/>
  <c r="K157" i="17" s="1"/>
  <c r="L25" i="17"/>
  <c r="L90" i="17" s="1"/>
  <c r="L156" i="17" s="1"/>
  <c r="K25" i="17"/>
  <c r="K90" i="17" s="1"/>
  <c r="K156" i="17" s="1"/>
  <c r="L24" i="17"/>
  <c r="L89" i="17" s="1"/>
  <c r="L155" i="17" s="1"/>
  <c r="K24" i="17"/>
  <c r="K89" i="17" s="1"/>
  <c r="K155" i="17" s="1"/>
  <c r="L23" i="17"/>
  <c r="L88" i="17" s="1"/>
  <c r="L154" i="17" s="1"/>
  <c r="K23" i="17"/>
  <c r="K88" i="17" s="1"/>
  <c r="K154" i="17" s="1"/>
  <c r="L22" i="17"/>
  <c r="L87" i="17" s="1"/>
  <c r="L153" i="17" s="1"/>
  <c r="K22" i="17"/>
  <c r="K87" i="17" s="1"/>
  <c r="K153" i="17" s="1"/>
  <c r="L21" i="17"/>
  <c r="L86" i="17" s="1"/>
  <c r="L152" i="17" s="1"/>
  <c r="K21" i="17"/>
  <c r="K86" i="17" s="1"/>
  <c r="K152" i="17" s="1"/>
  <c r="L20" i="17"/>
  <c r="L85" i="17" s="1"/>
  <c r="K20" i="17"/>
  <c r="K85" i="17" s="1"/>
  <c r="K151" i="17" s="1"/>
  <c r="L18" i="17"/>
  <c r="L83" i="17" s="1"/>
  <c r="L149" i="17" s="1"/>
  <c r="K18" i="17"/>
  <c r="K83" i="17" s="1"/>
  <c r="K149" i="17" s="1"/>
  <c r="L17" i="17"/>
  <c r="L82" i="17" s="1"/>
  <c r="K17" i="17"/>
  <c r="K82" i="17" s="1"/>
  <c r="L16" i="17"/>
  <c r="L81" i="17" s="1"/>
  <c r="L146" i="17" s="1"/>
  <c r="K16" i="17"/>
  <c r="K81" i="17" s="1"/>
  <c r="K146" i="17" s="1"/>
  <c r="L15" i="17"/>
  <c r="L80" i="17" s="1"/>
  <c r="L145" i="17" s="1"/>
  <c r="K15" i="17"/>
  <c r="K80" i="17" s="1"/>
  <c r="K145" i="17" s="1"/>
  <c r="L14" i="17"/>
  <c r="L79" i="17" s="1"/>
  <c r="L144" i="17" s="1"/>
  <c r="K14" i="17"/>
  <c r="K79" i="17" s="1"/>
  <c r="K144" i="17" s="1"/>
  <c r="F233" i="16" l="1"/>
  <c r="I124" i="16"/>
  <c r="F271" i="16"/>
  <c r="I162" i="16"/>
  <c r="F234" i="16"/>
  <c r="I125" i="16"/>
  <c r="F140" i="16"/>
  <c r="F236" i="16"/>
  <c r="I127" i="16"/>
  <c r="F238" i="16"/>
  <c r="I129" i="16"/>
  <c r="F240" i="16"/>
  <c r="I131" i="16"/>
  <c r="F242" i="16"/>
  <c r="I133" i="16"/>
  <c r="F244" i="16"/>
  <c r="I135" i="16"/>
  <c r="F246" i="16"/>
  <c r="I137" i="16"/>
  <c r="F248" i="16"/>
  <c r="I139" i="16"/>
  <c r="F251" i="16"/>
  <c r="I142" i="16"/>
  <c r="F253" i="16"/>
  <c r="I144" i="16"/>
  <c r="F255" i="16"/>
  <c r="I146" i="16"/>
  <c r="F257" i="16"/>
  <c r="I148" i="16"/>
  <c r="F259" i="16"/>
  <c r="I150" i="16"/>
  <c r="F261" i="16"/>
  <c r="I152" i="16"/>
  <c r="F263" i="16"/>
  <c r="I154" i="16"/>
  <c r="I157" i="16"/>
  <c r="F266" i="16"/>
  <c r="I159" i="16"/>
  <c r="F268" i="16"/>
  <c r="I161" i="16"/>
  <c r="F270" i="16"/>
  <c r="F198" i="16"/>
  <c r="F275" i="16"/>
  <c r="I166" i="16"/>
  <c r="I168" i="16"/>
  <c r="F277" i="16"/>
  <c r="I170" i="16"/>
  <c r="F279" i="16"/>
  <c r="I172" i="16"/>
  <c r="F281" i="16"/>
  <c r="I174" i="16"/>
  <c r="F283" i="16"/>
  <c r="I176" i="16"/>
  <c r="F285" i="16"/>
  <c r="I178" i="16"/>
  <c r="F287" i="16"/>
  <c r="I180" i="16"/>
  <c r="F289" i="16"/>
  <c r="I182" i="16"/>
  <c r="F291" i="16"/>
  <c r="I184" i="16"/>
  <c r="F293" i="16"/>
  <c r="I186" i="16"/>
  <c r="F295" i="16"/>
  <c r="I188" i="16"/>
  <c r="F297" i="16"/>
  <c r="I190" i="16"/>
  <c r="F299" i="16"/>
  <c r="I192" i="16"/>
  <c r="F301" i="16"/>
  <c r="I194" i="16"/>
  <c r="F303" i="16"/>
  <c r="I196" i="16"/>
  <c r="F305" i="16"/>
  <c r="F308" i="16"/>
  <c r="F224" i="16"/>
  <c r="I199" i="16"/>
  <c r="F310" i="16"/>
  <c r="I201" i="16"/>
  <c r="F312" i="16"/>
  <c r="I203" i="16"/>
  <c r="F314" i="16"/>
  <c r="I205" i="16"/>
  <c r="F316" i="16"/>
  <c r="I207" i="16"/>
  <c r="F318" i="16"/>
  <c r="I209" i="16"/>
  <c r="F320" i="16"/>
  <c r="I211" i="16"/>
  <c r="F322" i="16"/>
  <c r="I213" i="16"/>
  <c r="F324" i="16"/>
  <c r="I215" i="16"/>
  <c r="F326" i="16"/>
  <c r="I217" i="16"/>
  <c r="F328" i="16"/>
  <c r="I219" i="16"/>
  <c r="F332" i="16"/>
  <c r="I223" i="16"/>
  <c r="I126" i="16"/>
  <c r="F235" i="16"/>
  <c r="I128" i="16"/>
  <c r="F237" i="16"/>
  <c r="I130" i="16"/>
  <c r="F239" i="16"/>
  <c r="I132" i="16"/>
  <c r="F241" i="16"/>
  <c r="I134" i="16"/>
  <c r="F243" i="16"/>
  <c r="I136" i="16"/>
  <c r="F245" i="16"/>
  <c r="I138" i="16"/>
  <c r="F247" i="16"/>
  <c r="F250" i="16"/>
  <c r="I141" i="16"/>
  <c r="F252" i="16"/>
  <c r="I143" i="16"/>
  <c r="F254" i="16"/>
  <c r="I145" i="16"/>
  <c r="F256" i="16"/>
  <c r="I147" i="16"/>
  <c r="F258" i="16"/>
  <c r="I149" i="16"/>
  <c r="F260" i="16"/>
  <c r="I151" i="16"/>
  <c r="F262" i="16"/>
  <c r="I153" i="16"/>
  <c r="F265" i="16"/>
  <c r="F163" i="16"/>
  <c r="I156" i="16"/>
  <c r="F267" i="16"/>
  <c r="I158" i="16"/>
  <c r="F269" i="16"/>
  <c r="I160" i="16"/>
  <c r="F276" i="16"/>
  <c r="I167" i="16"/>
  <c r="F278" i="16"/>
  <c r="I169" i="16"/>
  <c r="F280" i="16"/>
  <c r="I171" i="16"/>
  <c r="F282" i="16"/>
  <c r="I173" i="16"/>
  <c r="F284" i="16"/>
  <c r="I175" i="16"/>
  <c r="F286" i="16"/>
  <c r="I177" i="16"/>
  <c r="F288" i="16"/>
  <c r="I179" i="16"/>
  <c r="F290" i="16"/>
  <c r="I181" i="16"/>
  <c r="F292" i="16"/>
  <c r="I183" i="16"/>
  <c r="F294" i="16"/>
  <c r="I185" i="16"/>
  <c r="F296" i="16"/>
  <c r="I187" i="16"/>
  <c r="F298" i="16"/>
  <c r="I189" i="16"/>
  <c r="F300" i="16"/>
  <c r="I191" i="16"/>
  <c r="F302" i="16"/>
  <c r="I193" i="16"/>
  <c r="F304" i="16"/>
  <c r="I195" i="16"/>
  <c r="F306" i="16"/>
  <c r="I197" i="16"/>
  <c r="F309" i="16"/>
  <c r="I200" i="16"/>
  <c r="F311" i="16"/>
  <c r="I202" i="16"/>
  <c r="F313" i="16"/>
  <c r="I204" i="16"/>
  <c r="F315" i="16"/>
  <c r="I206" i="16"/>
  <c r="F317" i="16"/>
  <c r="I208" i="16"/>
  <c r="F319" i="16"/>
  <c r="I210" i="16"/>
  <c r="F321" i="16"/>
  <c r="I212" i="16"/>
  <c r="F323" i="16"/>
  <c r="I214" i="16"/>
  <c r="F325" i="16"/>
  <c r="I216" i="16"/>
  <c r="F327" i="16"/>
  <c r="I218" i="16"/>
  <c r="F329" i="16"/>
  <c r="I220" i="16"/>
  <c r="F331" i="16"/>
  <c r="I222" i="16"/>
  <c r="Q144" i="17"/>
  <c r="J144" i="17"/>
  <c r="M144" i="17" s="1"/>
  <c r="Q163" i="17"/>
  <c r="J163" i="17"/>
  <c r="M163" i="17" s="1"/>
  <c r="L147" i="17"/>
  <c r="L92" i="17"/>
  <c r="L151" i="17"/>
  <c r="L101" i="17"/>
  <c r="L102" i="17" s="1"/>
  <c r="L160" i="17"/>
  <c r="J145" i="17"/>
  <c r="N145" i="17" s="1"/>
  <c r="Q145" i="17"/>
  <c r="J146" i="17"/>
  <c r="M146" i="17" s="1"/>
  <c r="Q146" i="17"/>
  <c r="K147" i="17"/>
  <c r="Q149" i="17"/>
  <c r="J149" i="17"/>
  <c r="M149" i="17" s="1"/>
  <c r="K158" i="17"/>
  <c r="G48" i="15" s="1"/>
  <c r="Q151" i="17"/>
  <c r="J151" i="17"/>
  <c r="Q152" i="17"/>
  <c r="J152" i="17"/>
  <c r="M152" i="17" s="1"/>
  <c r="J153" i="17"/>
  <c r="M153" i="17" s="1"/>
  <c r="Q153" i="17"/>
  <c r="Q154" i="17"/>
  <c r="J154" i="17"/>
  <c r="M154" i="17" s="1"/>
  <c r="J155" i="17"/>
  <c r="M155" i="17" s="1"/>
  <c r="Q155" i="17"/>
  <c r="J156" i="17"/>
  <c r="M156" i="17" s="1"/>
  <c r="Q156" i="17"/>
  <c r="J157" i="17"/>
  <c r="M157" i="17" s="1"/>
  <c r="Q157" i="17"/>
  <c r="Q160" i="17"/>
  <c r="J160" i="17"/>
  <c r="K167" i="17"/>
  <c r="K168" i="17" s="1"/>
  <c r="G51" i="15" s="1"/>
  <c r="G53" i="15" s="1"/>
  <c r="Q161" i="17"/>
  <c r="J161" i="17"/>
  <c r="M161" i="17" s="1"/>
  <c r="Q162" i="17"/>
  <c r="J162" i="17"/>
  <c r="M162" i="17" s="1"/>
  <c r="J164" i="17"/>
  <c r="Q164" i="17"/>
  <c r="Q165" i="17"/>
  <c r="J165" i="17"/>
  <c r="M165" i="17" s="1"/>
  <c r="J166" i="17"/>
  <c r="M166" i="17" s="1"/>
  <c r="Q166" i="17"/>
  <c r="Q170" i="17"/>
  <c r="J170" i="17"/>
  <c r="M170" i="17" s="1"/>
  <c r="Q171" i="17"/>
  <c r="J171" i="17"/>
  <c r="M171" i="17" s="1"/>
  <c r="Q172" i="17"/>
  <c r="J172" i="17"/>
  <c r="M172" i="17" s="1"/>
  <c r="Q173" i="17"/>
  <c r="J173" i="17"/>
  <c r="Q174" i="17"/>
  <c r="J174" i="17"/>
  <c r="M174" i="17" s="1"/>
  <c r="Q175" i="17"/>
  <c r="J175" i="17"/>
  <c r="N175" i="17" s="1"/>
  <c r="Q176" i="17"/>
  <c r="J176" i="17"/>
  <c r="M176" i="17" s="1"/>
  <c r="Q177" i="17"/>
  <c r="J177" i="17"/>
  <c r="M177" i="17" s="1"/>
  <c r="Q178" i="17"/>
  <c r="J178" i="17"/>
  <c r="M178" i="17" s="1"/>
  <c r="Q179" i="17"/>
  <c r="J179" i="17"/>
  <c r="M179" i="17" s="1"/>
  <c r="Q180" i="17"/>
  <c r="J180" i="17"/>
  <c r="M180" i="17" s="1"/>
  <c r="Q181" i="17"/>
  <c r="J181" i="17"/>
  <c r="M181" i="17" s="1"/>
  <c r="J182" i="17"/>
  <c r="M182" i="17" s="1"/>
  <c r="Q182" i="17"/>
  <c r="Q184" i="17"/>
  <c r="J184" i="17"/>
  <c r="M184" i="17" s="1"/>
  <c r="J185" i="17"/>
  <c r="M185" i="17" s="1"/>
  <c r="Q185" i="17"/>
  <c r="J186" i="17"/>
  <c r="M186" i="17" s="1"/>
  <c r="Q186" i="17"/>
  <c r="Q187" i="17"/>
  <c r="J187" i="17"/>
  <c r="M187" i="17" s="1"/>
  <c r="Q188" i="17"/>
  <c r="J188" i="17"/>
  <c r="M188" i="17" s="1"/>
  <c r="Q190" i="17"/>
  <c r="J190" i="17"/>
  <c r="M190" i="17" s="1"/>
  <c r="Q191" i="17"/>
  <c r="J191" i="17"/>
  <c r="M191" i="17" s="1"/>
  <c r="Q192" i="17"/>
  <c r="J192" i="17"/>
  <c r="M192" i="17" s="1"/>
  <c r="Q194" i="17"/>
  <c r="J194" i="17"/>
  <c r="M194" i="17" s="1"/>
  <c r="Q195" i="17"/>
  <c r="J195" i="17"/>
  <c r="M195" i="17" s="1"/>
  <c r="Q196" i="17"/>
  <c r="J196" i="17"/>
  <c r="M196" i="17" s="1"/>
  <c r="Q197" i="17"/>
  <c r="J197" i="17"/>
  <c r="M197" i="17" s="1"/>
  <c r="J198" i="17"/>
  <c r="M198" i="17" s="1"/>
  <c r="Q198" i="17"/>
  <c r="J201" i="17"/>
  <c r="M201" i="17" s="1"/>
  <c r="Q201" i="17"/>
  <c r="J202" i="17"/>
  <c r="M202" i="17" s="1"/>
  <c r="Q202" i="17"/>
  <c r="Q193" i="17"/>
  <c r="J193" i="17"/>
  <c r="J189" i="17"/>
  <c r="Q189" i="17"/>
  <c r="Q183" i="17"/>
  <c r="J183" i="17"/>
  <c r="K203" i="17"/>
  <c r="K204" i="17" s="1"/>
  <c r="J169" i="17"/>
  <c r="Q169" i="17"/>
  <c r="L84" i="17"/>
  <c r="L137" i="17"/>
  <c r="Q79" i="17"/>
  <c r="K84" i="17"/>
  <c r="G31" i="15" s="1"/>
  <c r="J79" i="17"/>
  <c r="Q80" i="17"/>
  <c r="J80" i="17"/>
  <c r="M80" i="17" s="1"/>
  <c r="J81" i="17"/>
  <c r="M81" i="17" s="1"/>
  <c r="Q81" i="17"/>
  <c r="J82" i="17"/>
  <c r="M82" i="17" s="1"/>
  <c r="Q82" i="17"/>
  <c r="J83" i="17"/>
  <c r="M83" i="17" s="1"/>
  <c r="Q83" i="17"/>
  <c r="Q85" i="17"/>
  <c r="K92" i="17"/>
  <c r="J85" i="17"/>
  <c r="Q86" i="17"/>
  <c r="J86" i="17"/>
  <c r="M86" i="17" s="1"/>
  <c r="J87" i="17"/>
  <c r="M87" i="17" s="1"/>
  <c r="Q87" i="17"/>
  <c r="Q88" i="17"/>
  <c r="J88" i="17"/>
  <c r="M88" i="17" s="1"/>
  <c r="Q89" i="17"/>
  <c r="J89" i="17"/>
  <c r="M89" i="17" s="1"/>
  <c r="Q90" i="17"/>
  <c r="J90" i="17"/>
  <c r="M90" i="17" s="1"/>
  <c r="J91" i="17"/>
  <c r="M91" i="17" s="1"/>
  <c r="Q91" i="17"/>
  <c r="K137" i="17"/>
  <c r="K138" i="17" s="1"/>
  <c r="G38" i="15" s="1"/>
  <c r="G40" i="15" s="1"/>
  <c r="J103" i="17"/>
  <c r="N103" i="17" s="1"/>
  <c r="Q103" i="17"/>
  <c r="Q104" i="17"/>
  <c r="J104" i="17"/>
  <c r="M104" i="17" s="1"/>
  <c r="Q105" i="17"/>
  <c r="J105" i="17"/>
  <c r="M105" i="17" s="1"/>
  <c r="J106" i="17"/>
  <c r="M106" i="17" s="1"/>
  <c r="Q106" i="17"/>
  <c r="Q107" i="17"/>
  <c r="J107" i="17"/>
  <c r="Q108" i="17"/>
  <c r="J108" i="17"/>
  <c r="M108" i="17" s="1"/>
  <c r="J109" i="17"/>
  <c r="N109" i="17" s="1"/>
  <c r="Q109" i="17"/>
  <c r="Q110" i="17"/>
  <c r="J110" i="17"/>
  <c r="M110" i="17" s="1"/>
  <c r="Q111" i="17"/>
  <c r="J111" i="17"/>
  <c r="M111" i="17" s="1"/>
  <c r="J112" i="17"/>
  <c r="M112" i="17" s="1"/>
  <c r="Q112" i="17"/>
  <c r="Q113" i="17"/>
  <c r="J113" i="17"/>
  <c r="M113" i="17" s="1"/>
  <c r="Q114" i="17"/>
  <c r="J114" i="17"/>
  <c r="M114" i="17" s="1"/>
  <c r="Q115" i="17"/>
  <c r="J115" i="17"/>
  <c r="M115" i="17" s="1"/>
  <c r="J116" i="17"/>
  <c r="M116" i="17" s="1"/>
  <c r="Q116" i="17"/>
  <c r="Q117" i="17"/>
  <c r="J117" i="17"/>
  <c r="M117" i="17" s="1"/>
  <c r="Q118" i="17"/>
  <c r="J118" i="17"/>
  <c r="M118" i="17" s="1"/>
  <c r="Q119" i="17"/>
  <c r="J119" i="17"/>
  <c r="M119" i="17" s="1"/>
  <c r="J120" i="17"/>
  <c r="M120" i="17" s="1"/>
  <c r="Q120" i="17"/>
  <c r="Q121" i="17"/>
  <c r="J121" i="17"/>
  <c r="M121" i="17" s="1"/>
  <c r="Q122" i="17"/>
  <c r="J122" i="17"/>
  <c r="M122" i="17" s="1"/>
  <c r="Q123" i="17"/>
  <c r="J123" i="17"/>
  <c r="M123" i="17" s="1"/>
  <c r="J124" i="17"/>
  <c r="M124" i="17" s="1"/>
  <c r="Q124" i="17"/>
  <c r="Q125" i="17"/>
  <c r="J125" i="17"/>
  <c r="M125" i="17" s="1"/>
  <c r="Q126" i="17"/>
  <c r="J126" i="17"/>
  <c r="M126" i="17" s="1"/>
  <c r="Q127" i="17"/>
  <c r="J127" i="17"/>
  <c r="M127" i="17" s="1"/>
  <c r="Q128" i="17"/>
  <c r="J128" i="17"/>
  <c r="M128" i="17" s="1"/>
  <c r="Q129" i="17"/>
  <c r="J129" i="17"/>
  <c r="M129" i="17" s="1"/>
  <c r="Q130" i="17"/>
  <c r="J130" i="17"/>
  <c r="M130" i="17" s="1"/>
  <c r="Q131" i="17"/>
  <c r="J131" i="17"/>
  <c r="M131" i="17" s="1"/>
  <c r="Q132" i="17"/>
  <c r="J132" i="17"/>
  <c r="M132" i="17" s="1"/>
  <c r="Q135" i="17"/>
  <c r="J135" i="17"/>
  <c r="M135" i="17" s="1"/>
  <c r="Q136" i="17"/>
  <c r="J136" i="17"/>
  <c r="M136" i="17" s="1"/>
  <c r="Q94" i="17"/>
  <c r="K101" i="17"/>
  <c r="G35" i="15" s="1"/>
  <c r="J94" i="17"/>
  <c r="J95" i="17"/>
  <c r="M95" i="17" s="1"/>
  <c r="Q95" i="17"/>
  <c r="Q96" i="17"/>
  <c r="J96" i="17"/>
  <c r="M96" i="17" s="1"/>
  <c r="Q97" i="17"/>
  <c r="J97" i="17"/>
  <c r="M97" i="17" s="1"/>
  <c r="J98" i="17"/>
  <c r="Q98" i="17"/>
  <c r="Q99" i="17"/>
  <c r="J99" i="17"/>
  <c r="M99" i="17" s="1"/>
  <c r="J100" i="17"/>
  <c r="M100" i="17" s="1"/>
  <c r="Q100" i="17"/>
  <c r="H27" i="16"/>
  <c r="I27" i="16"/>
  <c r="H112" i="16"/>
  <c r="I112" i="16" s="1"/>
  <c r="H101" i="16"/>
  <c r="I101" i="16"/>
  <c r="H62" i="16"/>
  <c r="H63" i="16"/>
  <c r="H64" i="16"/>
  <c r="I62" i="16"/>
  <c r="H61" i="16"/>
  <c r="H60" i="16"/>
  <c r="I64" i="16"/>
  <c r="H79" i="16"/>
  <c r="I79" i="16"/>
  <c r="H78" i="16"/>
  <c r="I78" i="16"/>
  <c r="H77" i="16"/>
  <c r="I77" i="16"/>
  <c r="H74" i="16"/>
  <c r="H75" i="16"/>
  <c r="H76" i="16"/>
  <c r="I75" i="16"/>
  <c r="I76" i="16"/>
  <c r="I74" i="16"/>
  <c r="I80" i="13"/>
  <c r="J80" i="13"/>
  <c r="I94" i="13"/>
  <c r="J94" i="13"/>
  <c r="I82" i="13"/>
  <c r="J82" i="13"/>
  <c r="I271" i="16" l="1"/>
  <c r="F380" i="16"/>
  <c r="I233" i="16"/>
  <c r="F342" i="16"/>
  <c r="I163" i="16"/>
  <c r="J33" i="15" s="1"/>
  <c r="F272" i="16"/>
  <c r="F374" i="16"/>
  <c r="I265" i="16"/>
  <c r="I262" i="16"/>
  <c r="F371" i="16"/>
  <c r="I260" i="16"/>
  <c r="F369" i="16"/>
  <c r="I258" i="16"/>
  <c r="F367" i="16"/>
  <c r="I256" i="16"/>
  <c r="F365" i="16"/>
  <c r="I254" i="16"/>
  <c r="F363" i="16"/>
  <c r="I252" i="16"/>
  <c r="F361" i="16"/>
  <c r="I250" i="16"/>
  <c r="F359" i="16"/>
  <c r="I332" i="16"/>
  <c r="F441" i="16"/>
  <c r="I328" i="16"/>
  <c r="F437" i="16"/>
  <c r="I326" i="16"/>
  <c r="F435" i="16"/>
  <c r="I324" i="16"/>
  <c r="F433" i="16"/>
  <c r="I322" i="16"/>
  <c r="F431" i="16"/>
  <c r="I320" i="16"/>
  <c r="F429" i="16"/>
  <c r="I318" i="16"/>
  <c r="F427" i="16"/>
  <c r="I316" i="16"/>
  <c r="F425" i="16"/>
  <c r="I314" i="16"/>
  <c r="F423" i="16"/>
  <c r="I312" i="16"/>
  <c r="F421" i="16"/>
  <c r="I310" i="16"/>
  <c r="F419" i="16"/>
  <c r="I305" i="16"/>
  <c r="F414" i="16"/>
  <c r="I303" i="16"/>
  <c r="F412" i="16"/>
  <c r="I301" i="16"/>
  <c r="F410" i="16"/>
  <c r="I299" i="16"/>
  <c r="F408" i="16"/>
  <c r="I297" i="16"/>
  <c r="F406" i="16"/>
  <c r="I295" i="16"/>
  <c r="F404" i="16"/>
  <c r="I293" i="16"/>
  <c r="F402" i="16"/>
  <c r="I291" i="16"/>
  <c r="F400" i="16"/>
  <c r="I289" i="16"/>
  <c r="F398" i="16"/>
  <c r="I287" i="16"/>
  <c r="F396" i="16"/>
  <c r="I285" i="16"/>
  <c r="F394" i="16"/>
  <c r="I283" i="16"/>
  <c r="F392" i="16"/>
  <c r="I281" i="16"/>
  <c r="F390" i="16"/>
  <c r="I279" i="16"/>
  <c r="F388" i="16"/>
  <c r="I277" i="16"/>
  <c r="F386" i="16"/>
  <c r="I198" i="16"/>
  <c r="J35" i="15" s="1"/>
  <c r="J37" i="15" s="1"/>
  <c r="I263" i="16"/>
  <c r="F372" i="16"/>
  <c r="I261" i="16"/>
  <c r="F370" i="16"/>
  <c r="I259" i="16"/>
  <c r="F368" i="16"/>
  <c r="I257" i="16"/>
  <c r="F366" i="16"/>
  <c r="I255" i="16"/>
  <c r="F364" i="16"/>
  <c r="I253" i="16"/>
  <c r="F362" i="16"/>
  <c r="I251" i="16"/>
  <c r="F360" i="16"/>
  <c r="I248" i="16"/>
  <c r="F357" i="16"/>
  <c r="I246" i="16"/>
  <c r="F355" i="16"/>
  <c r="I244" i="16"/>
  <c r="F353" i="16"/>
  <c r="I242" i="16"/>
  <c r="F351" i="16"/>
  <c r="I240" i="16"/>
  <c r="F349" i="16"/>
  <c r="F347" i="16"/>
  <c r="I238" i="16"/>
  <c r="F249" i="16"/>
  <c r="F345" i="16"/>
  <c r="I236" i="16"/>
  <c r="I140" i="16"/>
  <c r="J31" i="15" s="1"/>
  <c r="I331" i="16"/>
  <c r="F440" i="16"/>
  <c r="I329" i="16"/>
  <c r="F438" i="16"/>
  <c r="I327" i="16"/>
  <c r="F436" i="16"/>
  <c r="I325" i="16"/>
  <c r="F434" i="16"/>
  <c r="I323" i="16"/>
  <c r="F432" i="16"/>
  <c r="I321" i="16"/>
  <c r="F430" i="16"/>
  <c r="I319" i="16"/>
  <c r="F428" i="16"/>
  <c r="I317" i="16"/>
  <c r="F426" i="16"/>
  <c r="I315" i="16"/>
  <c r="F424" i="16"/>
  <c r="I313" i="16"/>
  <c r="F422" i="16"/>
  <c r="F420" i="16"/>
  <c r="I311" i="16"/>
  <c r="I309" i="16"/>
  <c r="F418" i="16"/>
  <c r="I306" i="16"/>
  <c r="F415" i="16"/>
  <c r="I304" i="16"/>
  <c r="F413" i="16"/>
  <c r="I302" i="16"/>
  <c r="F411" i="16"/>
  <c r="I300" i="16"/>
  <c r="F409" i="16"/>
  <c r="I298" i="16"/>
  <c r="F407" i="16"/>
  <c r="I296" i="16"/>
  <c r="F405" i="16"/>
  <c r="I294" i="16"/>
  <c r="F403" i="16"/>
  <c r="I292" i="16"/>
  <c r="F401" i="16"/>
  <c r="I290" i="16"/>
  <c r="F399" i="16"/>
  <c r="I288" i="16"/>
  <c r="F397" i="16"/>
  <c r="I286" i="16"/>
  <c r="F395" i="16"/>
  <c r="I284" i="16"/>
  <c r="F393" i="16"/>
  <c r="I282" i="16"/>
  <c r="F391" i="16"/>
  <c r="I280" i="16"/>
  <c r="F389" i="16"/>
  <c r="I278" i="16"/>
  <c r="F387" i="16"/>
  <c r="F307" i="16"/>
  <c r="F385" i="16"/>
  <c r="I276" i="16"/>
  <c r="I269" i="16"/>
  <c r="F378" i="16"/>
  <c r="I267" i="16"/>
  <c r="F376" i="16"/>
  <c r="I155" i="16"/>
  <c r="I247" i="16"/>
  <c r="F356" i="16"/>
  <c r="I245" i="16"/>
  <c r="F354" i="16"/>
  <c r="I243" i="16"/>
  <c r="F352" i="16"/>
  <c r="I241" i="16"/>
  <c r="F350" i="16"/>
  <c r="I239" i="16"/>
  <c r="F348" i="16"/>
  <c r="I237" i="16"/>
  <c r="F346" i="16"/>
  <c r="I235" i="16"/>
  <c r="F344" i="16"/>
  <c r="I224" i="16"/>
  <c r="F417" i="16"/>
  <c r="I308" i="16"/>
  <c r="F333" i="16"/>
  <c r="I275" i="16"/>
  <c r="F384" i="16"/>
  <c r="I270" i="16"/>
  <c r="F379" i="16"/>
  <c r="I268" i="16"/>
  <c r="F377" i="16"/>
  <c r="I266" i="16"/>
  <c r="F375" i="16"/>
  <c r="I234" i="16"/>
  <c r="I249" i="16" s="1"/>
  <c r="J47" i="15" s="1"/>
  <c r="F343" i="16"/>
  <c r="N163" i="17"/>
  <c r="N144" i="17"/>
  <c r="N132" i="17"/>
  <c r="N128" i="17"/>
  <c r="N122" i="17"/>
  <c r="N114" i="17"/>
  <c r="N104" i="17"/>
  <c r="Q167" i="17"/>
  <c r="Q168" i="17" s="1"/>
  <c r="H51" i="15" s="1"/>
  <c r="H53" i="15" s="1"/>
  <c r="Q158" i="17"/>
  <c r="Q147" i="17"/>
  <c r="Q150" i="17" s="1"/>
  <c r="H47" i="15" s="1"/>
  <c r="J147" i="17"/>
  <c r="M147" i="17" s="1"/>
  <c r="K150" i="17"/>
  <c r="N201" i="17"/>
  <c r="N197" i="17"/>
  <c r="N195" i="17"/>
  <c r="N192" i="17"/>
  <c r="N190" i="17"/>
  <c r="N187" i="17"/>
  <c r="N185" i="17"/>
  <c r="N182" i="17"/>
  <c r="N180" i="17"/>
  <c r="N178" i="17"/>
  <c r="N176" i="17"/>
  <c r="N174" i="17"/>
  <c r="N171" i="17"/>
  <c r="N165" i="17"/>
  <c r="N162" i="17"/>
  <c r="L167" i="17"/>
  <c r="N160" i="17"/>
  <c r="N157" i="17"/>
  <c r="N155" i="17"/>
  <c r="N153" i="17"/>
  <c r="L158" i="17"/>
  <c r="N151" i="17"/>
  <c r="N149" i="17"/>
  <c r="N136" i="17"/>
  <c r="N130" i="17"/>
  <c r="N126" i="17"/>
  <c r="N118" i="17"/>
  <c r="N110" i="17"/>
  <c r="M160" i="17"/>
  <c r="J167" i="17"/>
  <c r="M167" i="17" s="1"/>
  <c r="J158" i="17"/>
  <c r="M158" i="17" s="1"/>
  <c r="M151" i="17"/>
  <c r="M145" i="17"/>
  <c r="J150" i="17"/>
  <c r="N202" i="17"/>
  <c r="N198" i="17"/>
  <c r="N196" i="17"/>
  <c r="N194" i="17"/>
  <c r="N191" i="17"/>
  <c r="N188" i="17"/>
  <c r="N186" i="17"/>
  <c r="N184" i="17"/>
  <c r="N181" i="17"/>
  <c r="N179" i="17"/>
  <c r="N177" i="17"/>
  <c r="N172" i="17"/>
  <c r="N170" i="17"/>
  <c r="N166" i="17"/>
  <c r="N164" i="17"/>
  <c r="N161" i="17"/>
  <c r="N156" i="17"/>
  <c r="N154" i="17"/>
  <c r="N152" i="17"/>
  <c r="N147" i="17"/>
  <c r="N146" i="17"/>
  <c r="L150" i="17"/>
  <c r="M193" i="17"/>
  <c r="N193" i="17"/>
  <c r="Q203" i="17"/>
  <c r="Q204" i="17" s="1"/>
  <c r="M189" i="17"/>
  <c r="N189" i="17"/>
  <c r="M183" i="17"/>
  <c r="N183" i="17"/>
  <c r="N169" i="17"/>
  <c r="M169" i="17"/>
  <c r="J203" i="17"/>
  <c r="H54" i="15"/>
  <c r="H56" i="15" s="1"/>
  <c r="G54" i="15"/>
  <c r="G56" i="15" s="1"/>
  <c r="Q84" i="17"/>
  <c r="H31" i="15" s="1"/>
  <c r="Q92" i="17"/>
  <c r="N120" i="17"/>
  <c r="N116" i="17"/>
  <c r="N112" i="17"/>
  <c r="N106" i="17"/>
  <c r="N90" i="17"/>
  <c r="N88" i="17"/>
  <c r="N86" i="17"/>
  <c r="N83" i="17"/>
  <c r="N81" i="17"/>
  <c r="L93" i="17"/>
  <c r="Q101" i="17"/>
  <c r="Q102" i="17" s="1"/>
  <c r="H35" i="15" s="1"/>
  <c r="J137" i="17"/>
  <c r="N137" i="17" s="1"/>
  <c r="M103" i="17"/>
  <c r="N85" i="17"/>
  <c r="J92" i="17"/>
  <c r="M85" i="17"/>
  <c r="N124" i="17"/>
  <c r="N95" i="17"/>
  <c r="Q137" i="17"/>
  <c r="Q138" i="17" s="1"/>
  <c r="H38" i="15" s="1"/>
  <c r="H40" i="15" s="1"/>
  <c r="K93" i="17"/>
  <c r="G32" i="15"/>
  <c r="G34" i="15" s="1"/>
  <c r="M79" i="17"/>
  <c r="J84" i="17"/>
  <c r="N135" i="17"/>
  <c r="N131" i="17"/>
  <c r="N129" i="17"/>
  <c r="N127" i="17"/>
  <c r="N125" i="17"/>
  <c r="N123" i="17"/>
  <c r="N121" i="17"/>
  <c r="N119" i="17"/>
  <c r="N117" i="17"/>
  <c r="N115" i="17"/>
  <c r="N113" i="17"/>
  <c r="N111" i="17"/>
  <c r="N108" i="17"/>
  <c r="N105" i="17"/>
  <c r="L138" i="17"/>
  <c r="N91" i="17"/>
  <c r="N89" i="17"/>
  <c r="N87" i="17"/>
  <c r="N82" i="17"/>
  <c r="N80" i="17"/>
  <c r="N79" i="17"/>
  <c r="N94" i="17"/>
  <c r="J101" i="17"/>
  <c r="M94" i="17"/>
  <c r="N99" i="17"/>
  <c r="N97" i="17"/>
  <c r="J102" i="17"/>
  <c r="N102" i="17" s="1"/>
  <c r="K102" i="17"/>
  <c r="G37" i="15"/>
  <c r="N100" i="17"/>
  <c r="N98" i="17"/>
  <c r="N96" i="17"/>
  <c r="I61" i="13"/>
  <c r="J61" i="13"/>
  <c r="E23" i="15"/>
  <c r="E20" i="15"/>
  <c r="E17" i="15"/>
  <c r="H116" i="16"/>
  <c r="E115" i="16"/>
  <c r="H114" i="16"/>
  <c r="H113" i="16"/>
  <c r="H111" i="16"/>
  <c r="H110" i="16"/>
  <c r="H109" i="16"/>
  <c r="H108" i="16"/>
  <c r="H107" i="16"/>
  <c r="H106" i="16"/>
  <c r="H105" i="16"/>
  <c r="H104" i="16"/>
  <c r="H103" i="16"/>
  <c r="H102" i="16"/>
  <c r="H100" i="16"/>
  <c r="H99" i="16"/>
  <c r="H98" i="16"/>
  <c r="H97" i="16"/>
  <c r="H96" i="16"/>
  <c r="H95" i="16"/>
  <c r="H94" i="16"/>
  <c r="H93" i="16"/>
  <c r="H92" i="16"/>
  <c r="H91" i="16"/>
  <c r="H90" i="16"/>
  <c r="E89" i="16"/>
  <c r="H88" i="16"/>
  <c r="H87" i="16"/>
  <c r="H86" i="16"/>
  <c r="H85" i="16"/>
  <c r="H84" i="16"/>
  <c r="H83" i="16"/>
  <c r="H82" i="16"/>
  <c r="H81" i="16"/>
  <c r="H80" i="16"/>
  <c r="H73" i="16"/>
  <c r="H72" i="16"/>
  <c r="H71" i="16"/>
  <c r="H70" i="16"/>
  <c r="H69" i="16"/>
  <c r="H68" i="16"/>
  <c r="H67" i="16"/>
  <c r="H66" i="16"/>
  <c r="H65" i="16"/>
  <c r="H59" i="16"/>
  <c r="H58" i="16"/>
  <c r="H57" i="16"/>
  <c r="I55" i="16"/>
  <c r="E54" i="16"/>
  <c r="H53" i="16"/>
  <c r="H52" i="16"/>
  <c r="H51" i="16"/>
  <c r="H50" i="16"/>
  <c r="H49" i="16"/>
  <c r="H48" i="16"/>
  <c r="H47" i="16"/>
  <c r="E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E31" i="16"/>
  <c r="H30" i="16"/>
  <c r="H29" i="16"/>
  <c r="H28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E73" i="17"/>
  <c r="H72" i="17"/>
  <c r="H73" i="17" s="1"/>
  <c r="G72" i="17"/>
  <c r="G73" i="17" s="1"/>
  <c r="D72" i="17"/>
  <c r="D73" i="17" s="1"/>
  <c r="P71" i="17"/>
  <c r="F71" i="17"/>
  <c r="I71" i="17" s="1"/>
  <c r="P70" i="17"/>
  <c r="F70" i="17"/>
  <c r="I70" i="17" s="1"/>
  <c r="P67" i="17"/>
  <c r="F67" i="17"/>
  <c r="I67" i="17" s="1"/>
  <c r="Q66" i="17"/>
  <c r="P66" i="17"/>
  <c r="J66" i="17"/>
  <c r="M66" i="17" s="1"/>
  <c r="F66" i="17"/>
  <c r="I66" i="17" s="1"/>
  <c r="P65" i="17"/>
  <c r="F65" i="17"/>
  <c r="I65" i="17" s="1"/>
  <c r="P64" i="17"/>
  <c r="Q64" i="17"/>
  <c r="J64" i="17"/>
  <c r="M64" i="17" s="1"/>
  <c r="F64" i="17"/>
  <c r="I64" i="17" s="1"/>
  <c r="P63" i="17"/>
  <c r="F63" i="17"/>
  <c r="I63" i="17" s="1"/>
  <c r="P62" i="17"/>
  <c r="Q62" i="17"/>
  <c r="F62" i="17"/>
  <c r="I62" i="17" s="1"/>
  <c r="P61" i="17"/>
  <c r="F61" i="17"/>
  <c r="I61" i="17" s="1"/>
  <c r="P60" i="17"/>
  <c r="Q60" i="17"/>
  <c r="J60" i="17"/>
  <c r="M60" i="17" s="1"/>
  <c r="F60" i="17"/>
  <c r="I60" i="17" s="1"/>
  <c r="P59" i="17"/>
  <c r="F59" i="17"/>
  <c r="I59" i="17" s="1"/>
  <c r="P58" i="17"/>
  <c r="Q58" i="17"/>
  <c r="F58" i="17"/>
  <c r="I58" i="17" s="1"/>
  <c r="P57" i="17"/>
  <c r="F57" i="17"/>
  <c r="I57" i="17" s="1"/>
  <c r="P56" i="17"/>
  <c r="Q56" i="17"/>
  <c r="J56" i="17"/>
  <c r="M56" i="17" s="1"/>
  <c r="F56" i="17"/>
  <c r="I56" i="17" s="1"/>
  <c r="P55" i="17"/>
  <c r="F55" i="17"/>
  <c r="I55" i="17" s="1"/>
  <c r="P54" i="17"/>
  <c r="Q54" i="17"/>
  <c r="F54" i="17"/>
  <c r="I54" i="17" s="1"/>
  <c r="P53" i="17"/>
  <c r="F53" i="17"/>
  <c r="I53" i="17" s="1"/>
  <c r="P52" i="17"/>
  <c r="Q52" i="17"/>
  <c r="F52" i="17"/>
  <c r="I52" i="17" s="1"/>
  <c r="P51" i="17"/>
  <c r="F51" i="17"/>
  <c r="I51" i="17" s="1"/>
  <c r="P50" i="17"/>
  <c r="Q50" i="17"/>
  <c r="F50" i="17"/>
  <c r="I50" i="17" s="1"/>
  <c r="P49" i="17"/>
  <c r="F49" i="17"/>
  <c r="I49" i="17" s="1"/>
  <c r="P48" i="17"/>
  <c r="J48" i="17"/>
  <c r="F48" i="17"/>
  <c r="I48" i="17" s="1"/>
  <c r="P47" i="17"/>
  <c r="F47" i="17"/>
  <c r="I47" i="17" s="1"/>
  <c r="P46" i="17"/>
  <c r="Q46" i="17"/>
  <c r="F46" i="17"/>
  <c r="I46" i="17" s="1"/>
  <c r="P45" i="17"/>
  <c r="F45" i="17"/>
  <c r="I45" i="17" s="1"/>
  <c r="P44" i="17"/>
  <c r="F44" i="17"/>
  <c r="P43" i="17"/>
  <c r="F43" i="17"/>
  <c r="I43" i="17" s="1"/>
  <c r="Q42" i="17"/>
  <c r="P42" i="17"/>
  <c r="J42" i="17"/>
  <c r="F42" i="17"/>
  <c r="I42" i="17" s="1"/>
  <c r="Q41" i="17"/>
  <c r="P41" i="17"/>
  <c r="J41" i="17"/>
  <c r="M41" i="17" s="1"/>
  <c r="F41" i="17"/>
  <c r="I41" i="17" s="1"/>
  <c r="P40" i="17"/>
  <c r="Q40" i="17"/>
  <c r="F40" i="17"/>
  <c r="I40" i="17" s="1"/>
  <c r="P39" i="17"/>
  <c r="Q39" i="17"/>
  <c r="F39" i="17"/>
  <c r="I39" i="17" s="1"/>
  <c r="P38" i="17"/>
  <c r="F38" i="17"/>
  <c r="I38" i="17" s="1"/>
  <c r="E37" i="17"/>
  <c r="D37" i="17"/>
  <c r="H36" i="17"/>
  <c r="H37" i="17" s="1"/>
  <c r="G36" i="17"/>
  <c r="G37" i="17" s="1"/>
  <c r="P35" i="17"/>
  <c r="Q35" i="17"/>
  <c r="F35" i="17"/>
  <c r="I35" i="17" s="1"/>
  <c r="P34" i="17"/>
  <c r="Q34" i="17"/>
  <c r="F34" i="17"/>
  <c r="I34" i="17" s="1"/>
  <c r="P33" i="17"/>
  <c r="J33" i="17"/>
  <c r="F33" i="17"/>
  <c r="I33" i="17" s="1"/>
  <c r="P32" i="17"/>
  <c r="Q32" i="17"/>
  <c r="I32" i="17"/>
  <c r="P31" i="17"/>
  <c r="Q31" i="17"/>
  <c r="F31" i="17"/>
  <c r="I31" i="17" s="1"/>
  <c r="Q30" i="17"/>
  <c r="P30" i="17"/>
  <c r="J30" i="17"/>
  <c r="M30" i="17" s="1"/>
  <c r="F30" i="17"/>
  <c r="I30" i="17" s="1"/>
  <c r="P29" i="17"/>
  <c r="L36" i="17"/>
  <c r="Q29" i="17"/>
  <c r="F29" i="17"/>
  <c r="E28" i="17"/>
  <c r="H27" i="17"/>
  <c r="G27" i="17"/>
  <c r="D27" i="17"/>
  <c r="P26" i="17"/>
  <c r="F26" i="17"/>
  <c r="I26" i="17" s="1"/>
  <c r="Q25" i="17"/>
  <c r="P25" i="17"/>
  <c r="J25" i="17"/>
  <c r="M25" i="17" s="1"/>
  <c r="F25" i="17"/>
  <c r="I25" i="17" s="1"/>
  <c r="P24" i="17"/>
  <c r="F24" i="17"/>
  <c r="I24" i="17" s="1"/>
  <c r="P23" i="17"/>
  <c r="J23" i="17"/>
  <c r="F23" i="17"/>
  <c r="I23" i="17" s="1"/>
  <c r="P22" i="17"/>
  <c r="F22" i="17"/>
  <c r="I22" i="17" s="1"/>
  <c r="Q21" i="17"/>
  <c r="P21" i="17"/>
  <c r="J21" i="17"/>
  <c r="M21" i="17" s="1"/>
  <c r="F21" i="17"/>
  <c r="I21" i="17" s="1"/>
  <c r="P20" i="17"/>
  <c r="L27" i="17"/>
  <c r="F20" i="17"/>
  <c r="I20" i="17" s="1"/>
  <c r="H19" i="17"/>
  <c r="G19" i="17"/>
  <c r="D19" i="17"/>
  <c r="P18" i="17"/>
  <c r="Q18" i="17"/>
  <c r="F18" i="17"/>
  <c r="I18" i="17" s="1"/>
  <c r="P17" i="17"/>
  <c r="F17" i="17"/>
  <c r="I17" i="17" s="1"/>
  <c r="P16" i="17"/>
  <c r="Q16" i="17"/>
  <c r="F16" i="17"/>
  <c r="I16" i="17" s="1"/>
  <c r="P15" i="17"/>
  <c r="F15" i="17"/>
  <c r="I15" i="17" s="1"/>
  <c r="P14" i="17"/>
  <c r="J14" i="17"/>
  <c r="F14" i="17"/>
  <c r="I14" i="17" s="1"/>
  <c r="J124" i="13"/>
  <c r="I124" i="13"/>
  <c r="I120" i="13"/>
  <c r="I118" i="13"/>
  <c r="I116" i="13"/>
  <c r="I115" i="13"/>
  <c r="I114" i="13"/>
  <c r="I111" i="13"/>
  <c r="I108" i="13"/>
  <c r="I107" i="13"/>
  <c r="I106" i="13"/>
  <c r="I103" i="13"/>
  <c r="I102" i="13"/>
  <c r="J98" i="13"/>
  <c r="I98" i="13"/>
  <c r="I95" i="13"/>
  <c r="I93" i="13"/>
  <c r="I92" i="13"/>
  <c r="I91" i="13"/>
  <c r="I88" i="13"/>
  <c r="I86" i="13"/>
  <c r="I83" i="13"/>
  <c r="I81" i="13"/>
  <c r="I79" i="13"/>
  <c r="I78" i="13"/>
  <c r="I75" i="13"/>
  <c r="I74" i="13"/>
  <c r="I73" i="13"/>
  <c r="I72" i="13"/>
  <c r="I71" i="13"/>
  <c r="I70" i="13"/>
  <c r="I69" i="13"/>
  <c r="I68" i="13"/>
  <c r="I67" i="13"/>
  <c r="I62" i="13"/>
  <c r="I60" i="13"/>
  <c r="I59" i="13"/>
  <c r="I58" i="13"/>
  <c r="I57" i="13"/>
  <c r="I55" i="13"/>
  <c r="I54" i="13"/>
  <c r="I52" i="13"/>
  <c r="I51" i="13"/>
  <c r="I50" i="13"/>
  <c r="I46" i="13"/>
  <c r="I45" i="13"/>
  <c r="I34" i="13"/>
  <c r="I33" i="13"/>
  <c r="I32" i="13"/>
  <c r="I31" i="13"/>
  <c r="I30" i="13"/>
  <c r="I29" i="13"/>
  <c r="I26" i="13"/>
  <c r="I25" i="13"/>
  <c r="I24" i="13"/>
  <c r="I23" i="13"/>
  <c r="I22" i="13"/>
  <c r="I21" i="13"/>
  <c r="I18" i="13"/>
  <c r="I17" i="13"/>
  <c r="I16" i="13"/>
  <c r="F451" i="16" l="1"/>
  <c r="I451" i="16" s="1"/>
  <c r="I342" i="16"/>
  <c r="F490" i="16"/>
  <c r="I380" i="16"/>
  <c r="J38" i="15"/>
  <c r="J40" i="15" s="1"/>
  <c r="I385" i="16"/>
  <c r="F495" i="16"/>
  <c r="I387" i="16"/>
  <c r="F497" i="16"/>
  <c r="I389" i="16"/>
  <c r="F499" i="16"/>
  <c r="I391" i="16"/>
  <c r="F501" i="16"/>
  <c r="I393" i="16"/>
  <c r="F503" i="16"/>
  <c r="I395" i="16"/>
  <c r="F505" i="16"/>
  <c r="I397" i="16"/>
  <c r="F507" i="16"/>
  <c r="I399" i="16"/>
  <c r="F509" i="16"/>
  <c r="I401" i="16"/>
  <c r="F511" i="16"/>
  <c r="I403" i="16"/>
  <c r="F513" i="16"/>
  <c r="I405" i="16"/>
  <c r="F515" i="16"/>
  <c r="I407" i="16"/>
  <c r="F517" i="16"/>
  <c r="I409" i="16"/>
  <c r="F519" i="16"/>
  <c r="I411" i="16"/>
  <c r="F521" i="16"/>
  <c r="I413" i="16"/>
  <c r="F523" i="16"/>
  <c r="I415" i="16"/>
  <c r="F525" i="16"/>
  <c r="I418" i="16"/>
  <c r="F528" i="16"/>
  <c r="I333" i="16"/>
  <c r="I422" i="16"/>
  <c r="F532" i="16"/>
  <c r="I424" i="16"/>
  <c r="F534" i="16"/>
  <c r="I426" i="16"/>
  <c r="F536" i="16"/>
  <c r="I428" i="16"/>
  <c r="F538" i="16"/>
  <c r="I430" i="16"/>
  <c r="F540" i="16"/>
  <c r="I432" i="16"/>
  <c r="F542" i="16"/>
  <c r="I434" i="16"/>
  <c r="F544" i="16"/>
  <c r="I436" i="16"/>
  <c r="F546" i="16"/>
  <c r="I438" i="16"/>
  <c r="F548" i="16"/>
  <c r="I440" i="16"/>
  <c r="F550" i="16"/>
  <c r="I345" i="16"/>
  <c r="F455" i="16"/>
  <c r="I349" i="16"/>
  <c r="F459" i="16"/>
  <c r="I351" i="16"/>
  <c r="F461" i="16"/>
  <c r="I353" i="16"/>
  <c r="F463" i="16"/>
  <c r="I355" i="16"/>
  <c r="F465" i="16"/>
  <c r="I357" i="16"/>
  <c r="F467" i="16"/>
  <c r="I360" i="16"/>
  <c r="F470" i="16"/>
  <c r="I362" i="16"/>
  <c r="F472" i="16"/>
  <c r="I364" i="16"/>
  <c r="F474" i="16"/>
  <c r="I366" i="16"/>
  <c r="F476" i="16"/>
  <c r="I368" i="16"/>
  <c r="F478" i="16"/>
  <c r="I370" i="16"/>
  <c r="F480" i="16"/>
  <c r="I372" i="16"/>
  <c r="F482" i="16"/>
  <c r="I419" i="16"/>
  <c r="F529" i="16"/>
  <c r="I421" i="16"/>
  <c r="F531" i="16"/>
  <c r="I423" i="16"/>
  <c r="F533" i="16"/>
  <c r="I425" i="16"/>
  <c r="F535" i="16"/>
  <c r="I427" i="16"/>
  <c r="F537" i="16"/>
  <c r="I429" i="16"/>
  <c r="F539" i="16"/>
  <c r="I431" i="16"/>
  <c r="F541" i="16"/>
  <c r="I433" i="16"/>
  <c r="F543" i="16"/>
  <c r="I435" i="16"/>
  <c r="F545" i="16"/>
  <c r="I437" i="16"/>
  <c r="F547" i="16"/>
  <c r="I441" i="16"/>
  <c r="F551" i="16"/>
  <c r="I359" i="16"/>
  <c r="F469" i="16"/>
  <c r="I361" i="16"/>
  <c r="F471" i="16"/>
  <c r="I363" i="16"/>
  <c r="F473" i="16"/>
  <c r="I365" i="16"/>
  <c r="F475" i="16"/>
  <c r="I367" i="16"/>
  <c r="F477" i="16"/>
  <c r="I369" i="16"/>
  <c r="F479" i="16"/>
  <c r="I371" i="16"/>
  <c r="F481" i="16"/>
  <c r="I272" i="16"/>
  <c r="J49" i="15" s="1"/>
  <c r="I343" i="16"/>
  <c r="F452" i="16"/>
  <c r="F358" i="16"/>
  <c r="I375" i="16"/>
  <c r="F485" i="16"/>
  <c r="I377" i="16"/>
  <c r="F487" i="16"/>
  <c r="I379" i="16"/>
  <c r="F489" i="16"/>
  <c r="F416" i="16"/>
  <c r="F494" i="16"/>
  <c r="F604" i="16" s="1"/>
  <c r="I384" i="16"/>
  <c r="F442" i="16"/>
  <c r="F527" i="16"/>
  <c r="F637" i="16" s="1"/>
  <c r="I417" i="16"/>
  <c r="I344" i="16"/>
  <c r="I346" i="16"/>
  <c r="F456" i="16"/>
  <c r="I348" i="16"/>
  <c r="F458" i="16"/>
  <c r="I350" i="16"/>
  <c r="F460" i="16"/>
  <c r="I352" i="16"/>
  <c r="F462" i="16"/>
  <c r="I354" i="16"/>
  <c r="F464" i="16"/>
  <c r="I356" i="16"/>
  <c r="F466" i="16"/>
  <c r="I165" i="16"/>
  <c r="I227" i="16" s="1"/>
  <c r="J32" i="15"/>
  <c r="J34" i="15" s="1"/>
  <c r="J41" i="15" s="1"/>
  <c r="I376" i="16"/>
  <c r="F486" i="16"/>
  <c r="I378" i="16"/>
  <c r="F488" i="16"/>
  <c r="I307" i="16"/>
  <c r="J51" i="15" s="1"/>
  <c r="J53" i="15" s="1"/>
  <c r="I420" i="16"/>
  <c r="F530" i="16"/>
  <c r="I347" i="16"/>
  <c r="F457" i="16"/>
  <c r="I386" i="16"/>
  <c r="F496" i="16"/>
  <c r="I388" i="16"/>
  <c r="F498" i="16"/>
  <c r="I390" i="16"/>
  <c r="F500" i="16"/>
  <c r="I392" i="16"/>
  <c r="F502" i="16"/>
  <c r="I394" i="16"/>
  <c r="F504" i="16"/>
  <c r="I396" i="16"/>
  <c r="F506" i="16"/>
  <c r="I398" i="16"/>
  <c r="F508" i="16"/>
  <c r="I400" i="16"/>
  <c r="F510" i="16"/>
  <c r="I402" i="16"/>
  <c r="F512" i="16"/>
  <c r="I404" i="16"/>
  <c r="F514" i="16"/>
  <c r="I406" i="16"/>
  <c r="F516" i="16"/>
  <c r="I408" i="16"/>
  <c r="F518" i="16"/>
  <c r="I410" i="16"/>
  <c r="F520" i="16"/>
  <c r="I412" i="16"/>
  <c r="F522" i="16"/>
  <c r="I414" i="16"/>
  <c r="F524" i="16"/>
  <c r="I264" i="16"/>
  <c r="F381" i="16"/>
  <c r="F484" i="16"/>
  <c r="F594" i="16" s="1"/>
  <c r="I594" i="16" s="1"/>
  <c r="I374" i="16"/>
  <c r="K139" i="17"/>
  <c r="G41" i="15"/>
  <c r="N158" i="17"/>
  <c r="L159" i="17"/>
  <c r="N150" i="17"/>
  <c r="M150" i="17"/>
  <c r="J159" i="17"/>
  <c r="M159" i="17" s="1"/>
  <c r="J168" i="17"/>
  <c r="M168" i="17" s="1"/>
  <c r="L168" i="17"/>
  <c r="N167" i="17"/>
  <c r="G47" i="15"/>
  <c r="G50" i="15" s="1"/>
  <c r="G57" i="15" s="1"/>
  <c r="K159" i="17"/>
  <c r="K205" i="17" s="1"/>
  <c r="Q159" i="17"/>
  <c r="Q205" i="17" s="1"/>
  <c r="H48" i="15"/>
  <c r="H50" i="15" s="1"/>
  <c r="H57" i="15" s="1"/>
  <c r="L139" i="17"/>
  <c r="M203" i="17"/>
  <c r="N203" i="17"/>
  <c r="J204" i="17"/>
  <c r="H37" i="15"/>
  <c r="J93" i="17"/>
  <c r="M93" i="17" s="1"/>
  <c r="M84" i="17"/>
  <c r="J138" i="17"/>
  <c r="M138" i="17" s="1"/>
  <c r="M137" i="17"/>
  <c r="N84" i="17"/>
  <c r="M92" i="17"/>
  <c r="N92" i="17"/>
  <c r="Q93" i="17"/>
  <c r="Q139" i="17" s="1"/>
  <c r="H32" i="15"/>
  <c r="H34" i="15" s="1"/>
  <c r="M102" i="17"/>
  <c r="M101" i="17"/>
  <c r="N101" i="17"/>
  <c r="E74" i="17"/>
  <c r="D28" i="17"/>
  <c r="P36" i="17"/>
  <c r="P37" i="17" s="1"/>
  <c r="N64" i="17"/>
  <c r="N56" i="17"/>
  <c r="F36" i="17"/>
  <c r="I36" i="17" s="1"/>
  <c r="M23" i="17"/>
  <c r="N23" i="17"/>
  <c r="M14" i="17"/>
  <c r="N14" i="17"/>
  <c r="Q14" i="17"/>
  <c r="N21" i="17"/>
  <c r="Q23" i="17"/>
  <c r="N25" i="17"/>
  <c r="N30" i="17"/>
  <c r="N60" i="17"/>
  <c r="N66" i="17"/>
  <c r="J18" i="17"/>
  <c r="M18" i="17" s="1"/>
  <c r="H28" i="17"/>
  <c r="H74" i="17" s="1"/>
  <c r="I29" i="17"/>
  <c r="J35" i="17"/>
  <c r="M35" i="17" s="1"/>
  <c r="J46" i="17"/>
  <c r="M46" i="17" s="1"/>
  <c r="J52" i="17"/>
  <c r="M52" i="17" s="1"/>
  <c r="J54" i="17"/>
  <c r="M54" i="17" s="1"/>
  <c r="C21" i="15"/>
  <c r="H54" i="16"/>
  <c r="E56" i="16"/>
  <c r="E118" i="16" s="1"/>
  <c r="H115" i="16"/>
  <c r="H31" i="16"/>
  <c r="H89" i="16"/>
  <c r="F27" i="13"/>
  <c r="F43" i="13"/>
  <c r="F53" i="13"/>
  <c r="J62" i="17"/>
  <c r="M62" i="17" s="1"/>
  <c r="J39" i="17"/>
  <c r="M39" i="17" s="1"/>
  <c r="G28" i="17"/>
  <c r="G74" i="17" s="1"/>
  <c r="K19" i="17"/>
  <c r="G15" i="15" s="1"/>
  <c r="F47" i="13"/>
  <c r="F104" i="13"/>
  <c r="F121" i="13"/>
  <c r="F35" i="13"/>
  <c r="F76" i="13"/>
  <c r="F84" i="13"/>
  <c r="F89" i="13"/>
  <c r="F96" i="13"/>
  <c r="F109" i="13"/>
  <c r="F112" i="13"/>
  <c r="F117" i="13"/>
  <c r="F19" i="13"/>
  <c r="F63" i="13"/>
  <c r="H46" i="16"/>
  <c r="J58" i="17"/>
  <c r="M58" i="17" s="1"/>
  <c r="M48" i="17"/>
  <c r="N48" i="17"/>
  <c r="N41" i="17"/>
  <c r="N46" i="17"/>
  <c r="Q48" i="17"/>
  <c r="P72" i="17"/>
  <c r="P73" i="17" s="1"/>
  <c r="J44" i="17"/>
  <c r="N44" i="17" s="1"/>
  <c r="J50" i="17"/>
  <c r="M50" i="17" s="1"/>
  <c r="J32" i="17"/>
  <c r="M32" i="17" s="1"/>
  <c r="P27" i="17"/>
  <c r="J16" i="17"/>
  <c r="M16" i="17" s="1"/>
  <c r="Q17" i="17"/>
  <c r="J17" i="17"/>
  <c r="M17" i="17" s="1"/>
  <c r="F19" i="17"/>
  <c r="L19" i="17"/>
  <c r="Q22" i="17"/>
  <c r="J22" i="17"/>
  <c r="M22" i="17" s="1"/>
  <c r="Q26" i="17"/>
  <c r="J26" i="17"/>
  <c r="M26" i="17" s="1"/>
  <c r="N33" i="17"/>
  <c r="P19" i="17"/>
  <c r="Q15" i="17"/>
  <c r="J15" i="17"/>
  <c r="M15" i="17" s="1"/>
  <c r="F27" i="17"/>
  <c r="I27" i="17" s="1"/>
  <c r="Q20" i="17"/>
  <c r="J20" i="17"/>
  <c r="N20" i="17" s="1"/>
  <c r="K27" i="17"/>
  <c r="Q24" i="17"/>
  <c r="J24" i="17"/>
  <c r="M24" i="17" s="1"/>
  <c r="L37" i="17"/>
  <c r="Q33" i="17"/>
  <c r="Q36" i="17" s="1"/>
  <c r="K36" i="17"/>
  <c r="K37" i="17" s="1"/>
  <c r="G19" i="15" s="1"/>
  <c r="G21" i="15" s="1"/>
  <c r="Q44" i="17"/>
  <c r="Q47" i="17"/>
  <c r="J47" i="17"/>
  <c r="M47" i="17" s="1"/>
  <c r="Q51" i="17"/>
  <c r="J51" i="17"/>
  <c r="M51" i="17" s="1"/>
  <c r="Q55" i="17"/>
  <c r="J55" i="17"/>
  <c r="M55" i="17" s="1"/>
  <c r="Q59" i="17"/>
  <c r="J59" i="17"/>
  <c r="M59" i="17" s="1"/>
  <c r="Q63" i="17"/>
  <c r="J63" i="17"/>
  <c r="M63" i="17" s="1"/>
  <c r="Q67" i="17"/>
  <c r="J67" i="17"/>
  <c r="M67" i="17" s="1"/>
  <c r="D74" i="17"/>
  <c r="J29" i="17"/>
  <c r="N29" i="17" s="1"/>
  <c r="J31" i="17"/>
  <c r="M31" i="17" s="1"/>
  <c r="J34" i="17"/>
  <c r="M34" i="17" s="1"/>
  <c r="F72" i="17"/>
  <c r="J38" i="17"/>
  <c r="N38" i="17" s="1"/>
  <c r="Q38" i="17"/>
  <c r="J40" i="17"/>
  <c r="M40" i="17" s="1"/>
  <c r="Q43" i="17"/>
  <c r="J43" i="17"/>
  <c r="M43" i="17" s="1"/>
  <c r="Q45" i="17"/>
  <c r="J45" i="17"/>
  <c r="M45" i="17" s="1"/>
  <c r="Q49" i="17"/>
  <c r="J49" i="17"/>
  <c r="M49" i="17" s="1"/>
  <c r="Q53" i="17"/>
  <c r="J53" i="17"/>
  <c r="M53" i="17" s="1"/>
  <c r="Q57" i="17"/>
  <c r="J57" i="17"/>
  <c r="M57" i="17" s="1"/>
  <c r="Q61" i="17"/>
  <c r="J61" i="17"/>
  <c r="M61" i="17" s="1"/>
  <c r="Q65" i="17"/>
  <c r="J65" i="17"/>
  <c r="M65" i="17" s="1"/>
  <c r="Q71" i="17"/>
  <c r="J71" i="17"/>
  <c r="M71" i="17" s="1"/>
  <c r="J15" i="13"/>
  <c r="I56" i="13"/>
  <c r="I63" i="13" s="1"/>
  <c r="I66" i="13"/>
  <c r="I76" i="13" s="1"/>
  <c r="I77" i="13"/>
  <c r="I84" i="13" s="1"/>
  <c r="I87" i="13"/>
  <c r="I89" i="13" s="1"/>
  <c r="I90" i="13"/>
  <c r="I96" i="13" s="1"/>
  <c r="I101" i="13"/>
  <c r="I104" i="13" s="1"/>
  <c r="I119" i="13"/>
  <c r="I121" i="13" s="1"/>
  <c r="I15" i="13"/>
  <c r="I19" i="13" s="1"/>
  <c r="I20" i="13"/>
  <c r="I27" i="13" s="1"/>
  <c r="I28" i="13"/>
  <c r="I35" i="13" s="1"/>
  <c r="I36" i="13"/>
  <c r="I44" i="13"/>
  <c r="I47" i="13" s="1"/>
  <c r="I49" i="13"/>
  <c r="I53" i="13" s="1"/>
  <c r="I105" i="13"/>
  <c r="I109" i="13" s="1"/>
  <c r="I110" i="13"/>
  <c r="I112" i="13" s="1"/>
  <c r="I113" i="13"/>
  <c r="I117" i="13" s="1"/>
  <c r="C24" i="15"/>
  <c r="I524" i="16" l="1"/>
  <c r="F634" i="16"/>
  <c r="I634" i="16" s="1"/>
  <c r="I522" i="16"/>
  <c r="F632" i="16"/>
  <c r="I632" i="16" s="1"/>
  <c r="I520" i="16"/>
  <c r="F630" i="16"/>
  <c r="I630" i="16" s="1"/>
  <c r="I518" i="16"/>
  <c r="F628" i="16"/>
  <c r="I628" i="16" s="1"/>
  <c r="I516" i="16"/>
  <c r="F626" i="16"/>
  <c r="I626" i="16" s="1"/>
  <c r="I514" i="16"/>
  <c r="F624" i="16"/>
  <c r="I624" i="16" s="1"/>
  <c r="I512" i="16"/>
  <c r="F622" i="16"/>
  <c r="I622" i="16" s="1"/>
  <c r="I510" i="16"/>
  <c r="F620" i="16"/>
  <c r="I620" i="16" s="1"/>
  <c r="I508" i="16"/>
  <c r="F618" i="16"/>
  <c r="I618" i="16" s="1"/>
  <c r="I506" i="16"/>
  <c r="F616" i="16"/>
  <c r="I616" i="16" s="1"/>
  <c r="I504" i="16"/>
  <c r="F614" i="16"/>
  <c r="I614" i="16" s="1"/>
  <c r="I502" i="16"/>
  <c r="F612" i="16"/>
  <c r="I612" i="16" s="1"/>
  <c r="I500" i="16"/>
  <c r="F610" i="16"/>
  <c r="I610" i="16" s="1"/>
  <c r="I498" i="16"/>
  <c r="F608" i="16"/>
  <c r="I608" i="16" s="1"/>
  <c r="I496" i="16"/>
  <c r="F606" i="16"/>
  <c r="I606" i="16" s="1"/>
  <c r="I457" i="16"/>
  <c r="F567" i="16"/>
  <c r="I567" i="16" s="1"/>
  <c r="I530" i="16"/>
  <c r="F640" i="16"/>
  <c r="I640" i="16" s="1"/>
  <c r="I604" i="16"/>
  <c r="I489" i="16"/>
  <c r="F599" i="16"/>
  <c r="I599" i="16" s="1"/>
  <c r="I487" i="16"/>
  <c r="F597" i="16"/>
  <c r="I597" i="16" s="1"/>
  <c r="I485" i="16"/>
  <c r="F595" i="16"/>
  <c r="I595" i="16" s="1"/>
  <c r="I481" i="16"/>
  <c r="F591" i="16"/>
  <c r="I591" i="16" s="1"/>
  <c r="I479" i="16"/>
  <c r="F589" i="16"/>
  <c r="I589" i="16" s="1"/>
  <c r="I477" i="16"/>
  <c r="F587" i="16"/>
  <c r="I587" i="16" s="1"/>
  <c r="I475" i="16"/>
  <c r="F585" i="16"/>
  <c r="I585" i="16" s="1"/>
  <c r="I473" i="16"/>
  <c r="F583" i="16"/>
  <c r="I583" i="16" s="1"/>
  <c r="I471" i="16"/>
  <c r="F581" i="16"/>
  <c r="I581" i="16" s="1"/>
  <c r="I469" i="16"/>
  <c r="F579" i="16"/>
  <c r="I579" i="16" s="1"/>
  <c r="I551" i="16"/>
  <c r="F661" i="16"/>
  <c r="I661" i="16" s="1"/>
  <c r="I547" i="16"/>
  <c r="F657" i="16"/>
  <c r="I657" i="16" s="1"/>
  <c r="I545" i="16"/>
  <c r="F655" i="16"/>
  <c r="I655" i="16" s="1"/>
  <c r="I543" i="16"/>
  <c r="F653" i="16"/>
  <c r="I653" i="16" s="1"/>
  <c r="I541" i="16"/>
  <c r="F651" i="16"/>
  <c r="I651" i="16" s="1"/>
  <c r="I539" i="16"/>
  <c r="F649" i="16"/>
  <c r="I649" i="16" s="1"/>
  <c r="I537" i="16"/>
  <c r="F647" i="16"/>
  <c r="I647" i="16" s="1"/>
  <c r="I535" i="16"/>
  <c r="F645" i="16"/>
  <c r="I645" i="16" s="1"/>
  <c r="I533" i="16"/>
  <c r="F643" i="16"/>
  <c r="I643" i="16" s="1"/>
  <c r="I531" i="16"/>
  <c r="F641" i="16"/>
  <c r="I641" i="16" s="1"/>
  <c r="I529" i="16"/>
  <c r="F639" i="16"/>
  <c r="I639" i="16" s="1"/>
  <c r="I482" i="16"/>
  <c r="F592" i="16"/>
  <c r="I592" i="16" s="1"/>
  <c r="I480" i="16"/>
  <c r="F590" i="16"/>
  <c r="I590" i="16" s="1"/>
  <c r="I478" i="16"/>
  <c r="F588" i="16"/>
  <c r="I588" i="16" s="1"/>
  <c r="I476" i="16"/>
  <c r="F586" i="16"/>
  <c r="I586" i="16" s="1"/>
  <c r="I474" i="16"/>
  <c r="F584" i="16"/>
  <c r="I584" i="16" s="1"/>
  <c r="I472" i="16"/>
  <c r="F582" i="16"/>
  <c r="I582" i="16" s="1"/>
  <c r="I470" i="16"/>
  <c r="F580" i="16"/>
  <c r="I580" i="16" s="1"/>
  <c r="I467" i="16"/>
  <c r="F577" i="16"/>
  <c r="I577" i="16" s="1"/>
  <c r="I465" i="16"/>
  <c r="F575" i="16"/>
  <c r="I575" i="16" s="1"/>
  <c r="I463" i="16"/>
  <c r="F573" i="16"/>
  <c r="I573" i="16" s="1"/>
  <c r="I461" i="16"/>
  <c r="F571" i="16"/>
  <c r="I571" i="16" s="1"/>
  <c r="I459" i="16"/>
  <c r="F569" i="16"/>
  <c r="I569" i="16" s="1"/>
  <c r="I455" i="16"/>
  <c r="I565" i="16"/>
  <c r="I550" i="16"/>
  <c r="F660" i="16"/>
  <c r="I660" i="16" s="1"/>
  <c r="I548" i="16"/>
  <c r="F658" i="16"/>
  <c r="I658" i="16" s="1"/>
  <c r="I546" i="16"/>
  <c r="F656" i="16"/>
  <c r="I656" i="16" s="1"/>
  <c r="I544" i="16"/>
  <c r="F654" i="16"/>
  <c r="I654" i="16" s="1"/>
  <c r="I542" i="16"/>
  <c r="F652" i="16"/>
  <c r="I652" i="16" s="1"/>
  <c r="I540" i="16"/>
  <c r="F650" i="16"/>
  <c r="I650" i="16" s="1"/>
  <c r="I538" i="16"/>
  <c r="F648" i="16"/>
  <c r="I648" i="16" s="1"/>
  <c r="I536" i="16"/>
  <c r="F646" i="16"/>
  <c r="I646" i="16" s="1"/>
  <c r="I534" i="16"/>
  <c r="F644" i="16"/>
  <c r="I644" i="16" s="1"/>
  <c r="I532" i="16"/>
  <c r="F642" i="16"/>
  <c r="I642" i="16" s="1"/>
  <c r="I488" i="16"/>
  <c r="F598" i="16"/>
  <c r="I598" i="16" s="1"/>
  <c r="I486" i="16"/>
  <c r="F596" i="16"/>
  <c r="I466" i="16"/>
  <c r="F576" i="16"/>
  <c r="I576" i="16" s="1"/>
  <c r="I464" i="16"/>
  <c r="F574" i="16"/>
  <c r="I574" i="16" s="1"/>
  <c r="I462" i="16"/>
  <c r="F572" i="16"/>
  <c r="I572" i="16" s="1"/>
  <c r="I460" i="16"/>
  <c r="F570" i="16"/>
  <c r="I570" i="16" s="1"/>
  <c r="I458" i="16"/>
  <c r="F568" i="16"/>
  <c r="I568" i="16" s="1"/>
  <c r="I456" i="16"/>
  <c r="F566" i="16"/>
  <c r="I566" i="16" s="1"/>
  <c r="I637" i="16"/>
  <c r="I561" i="16"/>
  <c r="I528" i="16"/>
  <c r="F638" i="16"/>
  <c r="I638" i="16" s="1"/>
  <c r="I525" i="16"/>
  <c r="F635" i="16"/>
  <c r="I635" i="16" s="1"/>
  <c r="I523" i="16"/>
  <c r="F633" i="16"/>
  <c r="I633" i="16" s="1"/>
  <c r="I521" i="16"/>
  <c r="F631" i="16"/>
  <c r="I631" i="16" s="1"/>
  <c r="I519" i="16"/>
  <c r="F629" i="16"/>
  <c r="I629" i="16" s="1"/>
  <c r="I517" i="16"/>
  <c r="F627" i="16"/>
  <c r="I627" i="16" s="1"/>
  <c r="I515" i="16"/>
  <c r="F625" i="16"/>
  <c r="I625" i="16" s="1"/>
  <c r="I513" i="16"/>
  <c r="F623" i="16"/>
  <c r="I623" i="16" s="1"/>
  <c r="I511" i="16"/>
  <c r="F621" i="16"/>
  <c r="I621" i="16" s="1"/>
  <c r="I509" i="16"/>
  <c r="F619" i="16"/>
  <c r="I619" i="16" s="1"/>
  <c r="I507" i="16"/>
  <c r="F617" i="16"/>
  <c r="I617" i="16" s="1"/>
  <c r="I505" i="16"/>
  <c r="F615" i="16"/>
  <c r="I615" i="16" s="1"/>
  <c r="I503" i="16"/>
  <c r="F613" i="16"/>
  <c r="I613" i="16" s="1"/>
  <c r="I501" i="16"/>
  <c r="F611" i="16"/>
  <c r="I611" i="16" s="1"/>
  <c r="I499" i="16"/>
  <c r="F609" i="16"/>
  <c r="I609" i="16" s="1"/>
  <c r="I497" i="16"/>
  <c r="F607" i="16"/>
  <c r="I607" i="16" s="1"/>
  <c r="I495" i="16"/>
  <c r="F605" i="16"/>
  <c r="I605" i="16" s="1"/>
  <c r="I490" i="16"/>
  <c r="F600" i="16"/>
  <c r="I600" i="16" s="1"/>
  <c r="F491" i="16"/>
  <c r="I484" i="16"/>
  <c r="J48" i="15"/>
  <c r="J50" i="15" s="1"/>
  <c r="I274" i="16"/>
  <c r="I336" i="16" s="1"/>
  <c r="I442" i="16"/>
  <c r="I416" i="16"/>
  <c r="J67" i="15" s="1"/>
  <c r="J69" i="15" s="1"/>
  <c r="I452" i="16"/>
  <c r="I468" i="16" s="1"/>
  <c r="F468" i="16"/>
  <c r="I483" i="16"/>
  <c r="J80" i="15" s="1"/>
  <c r="J54" i="15"/>
  <c r="J56" i="15" s="1"/>
  <c r="I381" i="16"/>
  <c r="J65" i="15" s="1"/>
  <c r="F552" i="16"/>
  <c r="I527" i="16"/>
  <c r="I552" i="16" s="1"/>
  <c r="F526" i="16"/>
  <c r="I494" i="16"/>
  <c r="I526" i="16" s="1"/>
  <c r="J83" i="15" s="1"/>
  <c r="J85" i="15" s="1"/>
  <c r="I358" i="16"/>
  <c r="I373" i="16"/>
  <c r="J64" i="15" s="1"/>
  <c r="N93" i="17"/>
  <c r="N159" i="17"/>
  <c r="N168" i="17"/>
  <c r="L205" i="17"/>
  <c r="J139" i="17"/>
  <c r="M139" i="17" s="1"/>
  <c r="N138" i="17"/>
  <c r="N204" i="17"/>
  <c r="J205" i="17"/>
  <c r="M204" i="17"/>
  <c r="H41" i="15"/>
  <c r="N139" i="17"/>
  <c r="F37" i="17"/>
  <c r="I37" i="17" s="1"/>
  <c r="N67" i="17"/>
  <c r="N59" i="17"/>
  <c r="P28" i="17"/>
  <c r="P74" i="17" s="1"/>
  <c r="N35" i="17"/>
  <c r="N17" i="17"/>
  <c r="N54" i="17"/>
  <c r="Q19" i="17"/>
  <c r="H15" i="15" s="1"/>
  <c r="N18" i="17"/>
  <c r="N26" i="17"/>
  <c r="N50" i="17"/>
  <c r="N62" i="17"/>
  <c r="N52" i="17"/>
  <c r="C18" i="15"/>
  <c r="C25" i="15" s="1"/>
  <c r="H56" i="16"/>
  <c r="N32" i="17"/>
  <c r="Q37" i="17"/>
  <c r="H19" i="15"/>
  <c r="H21" i="15" s="1"/>
  <c r="F64" i="13"/>
  <c r="F48" i="13"/>
  <c r="N51" i="17"/>
  <c r="N39" i="17"/>
  <c r="K28" i="17"/>
  <c r="G16" i="15"/>
  <c r="G18" i="15" s="1"/>
  <c r="N16" i="17"/>
  <c r="F125" i="13"/>
  <c r="F126" i="13" s="1"/>
  <c r="I97" i="13"/>
  <c r="I85" i="13"/>
  <c r="F97" i="13"/>
  <c r="F85" i="13"/>
  <c r="N58" i="17"/>
  <c r="J19" i="17"/>
  <c r="M19" i="17" s="1"/>
  <c r="M38" i="17"/>
  <c r="N71" i="17"/>
  <c r="N61" i="17"/>
  <c r="N53" i="17"/>
  <c r="N45" i="17"/>
  <c r="N43" i="17"/>
  <c r="Q27" i="17"/>
  <c r="N34" i="17"/>
  <c r="I19" i="17"/>
  <c r="F28" i="17"/>
  <c r="I28" i="17" s="1"/>
  <c r="N63" i="17"/>
  <c r="N55" i="17"/>
  <c r="N47" i="17"/>
  <c r="F73" i="17"/>
  <c r="I72" i="17"/>
  <c r="J36" i="17"/>
  <c r="M29" i="17"/>
  <c r="N65" i="17"/>
  <c r="N57" i="17"/>
  <c r="N49" i="17"/>
  <c r="N40" i="17"/>
  <c r="N22" i="17"/>
  <c r="J27" i="17"/>
  <c r="M20" i="17"/>
  <c r="N31" i="17"/>
  <c r="N24" i="17"/>
  <c r="L28" i="17"/>
  <c r="N15" i="17"/>
  <c r="I125" i="13"/>
  <c r="I126" i="13" s="1"/>
  <c r="I64" i="13"/>
  <c r="J57" i="15" l="1"/>
  <c r="I491" i="16"/>
  <c r="J81" i="15" s="1"/>
  <c r="I578" i="16"/>
  <c r="I662" i="16"/>
  <c r="J102" i="15" s="1"/>
  <c r="J104" i="15" s="1"/>
  <c r="F601" i="16"/>
  <c r="I596" i="16"/>
  <c r="I601" i="16" s="1"/>
  <c r="J97" i="15" s="1"/>
  <c r="J98" i="15" s="1"/>
  <c r="I593" i="16"/>
  <c r="I636" i="16"/>
  <c r="J99" i="15" s="1"/>
  <c r="J101" i="15" s="1"/>
  <c r="F578" i="16"/>
  <c r="F636" i="16"/>
  <c r="J86" i="15"/>
  <c r="J88" i="15" s="1"/>
  <c r="I383" i="16"/>
  <c r="I445" i="16" s="1"/>
  <c r="J63" i="15"/>
  <c r="J66" i="15" s="1"/>
  <c r="J79" i="15"/>
  <c r="J70" i="15"/>
  <c r="J72" i="15" s="1"/>
  <c r="M205" i="17"/>
  <c r="N205" i="17"/>
  <c r="F99" i="13"/>
  <c r="I43" i="13"/>
  <c r="I48" i="13" s="1"/>
  <c r="I65" i="13" s="1"/>
  <c r="J28" i="17"/>
  <c r="M28" i="17" s="1"/>
  <c r="F65" i="13"/>
  <c r="I99" i="13"/>
  <c r="I100" i="13" s="1"/>
  <c r="Q28" i="17"/>
  <c r="H16" i="15"/>
  <c r="H18" i="15" s="1"/>
  <c r="N19" i="17"/>
  <c r="F100" i="13"/>
  <c r="M36" i="17"/>
  <c r="N36" i="17"/>
  <c r="J37" i="17"/>
  <c r="F74" i="17"/>
  <c r="I74" i="17" s="1"/>
  <c r="I73" i="17"/>
  <c r="M27" i="17"/>
  <c r="N27" i="17"/>
  <c r="I51" i="16"/>
  <c r="J105" i="15" l="1"/>
  <c r="J82" i="15"/>
  <c r="J89" i="15" s="1"/>
  <c r="I493" i="16"/>
  <c r="I555" i="16" s="1"/>
  <c r="I603" i="16"/>
  <c r="I665" i="16" s="1"/>
  <c r="J73" i="15"/>
  <c r="F127" i="13"/>
  <c r="N28" i="17"/>
  <c r="I52" i="16"/>
  <c r="I127" i="13"/>
  <c r="J92" i="13"/>
  <c r="J91" i="13"/>
  <c r="M37" i="17"/>
  <c r="N37" i="17"/>
  <c r="I22" i="16" l="1"/>
  <c r="I43" i="16" l="1"/>
  <c r="J74" i="13" l="1"/>
  <c r="I38" i="16" l="1"/>
  <c r="I39" i="16"/>
  <c r="I28" i="16" l="1"/>
  <c r="L72" i="17" l="1"/>
  <c r="L73" i="17" s="1"/>
  <c r="L74" i="17" s="1"/>
  <c r="J70" i="17" l="1"/>
  <c r="Q70" i="17"/>
  <c r="Q72" i="17" s="1"/>
  <c r="Q73" i="17" s="1"/>
  <c r="K72" i="17"/>
  <c r="K73" i="17" s="1"/>
  <c r="G22" i="15" l="1"/>
  <c r="G24" i="15" s="1"/>
  <c r="G25" i="15" s="1"/>
  <c r="K74" i="17"/>
  <c r="M70" i="17"/>
  <c r="N70" i="17"/>
  <c r="J72" i="17"/>
  <c r="H22" i="15"/>
  <c r="H24" i="15" s="1"/>
  <c r="H25" i="15" s="1"/>
  <c r="Q74" i="17"/>
  <c r="N72" i="17" l="1"/>
  <c r="M72" i="17"/>
  <c r="J73" i="17"/>
  <c r="N73" i="17" l="1"/>
  <c r="M73" i="17"/>
  <c r="J74" i="17"/>
  <c r="M74" i="17" l="1"/>
  <c r="N74" i="17"/>
  <c r="I110" i="16" l="1"/>
  <c r="I48" i="16" l="1"/>
  <c r="I47" i="16"/>
  <c r="I49" i="16" l="1"/>
  <c r="J78" i="13" l="1"/>
  <c r="J81" i="13" l="1"/>
  <c r="I116" i="16" l="1"/>
  <c r="I117" i="16" s="1"/>
  <c r="I53" i="16" l="1"/>
  <c r="I50" i="16"/>
  <c r="F54" i="16"/>
  <c r="I16" i="16"/>
  <c r="I54" i="16" l="1"/>
  <c r="J17" i="15" s="1"/>
  <c r="I90" i="16"/>
  <c r="I32" i="16"/>
  <c r="I57" i="16" l="1"/>
  <c r="I17" i="16"/>
  <c r="I33" i="16" l="1"/>
  <c r="I91" i="16"/>
  <c r="I61" i="16" l="1"/>
  <c r="I63" i="16"/>
  <c r="I93" i="16"/>
  <c r="I60" i="16"/>
  <c r="I59" i="16"/>
  <c r="I58" i="16"/>
  <c r="I34" i="16" l="1"/>
  <c r="I92" i="16"/>
  <c r="I81" i="16"/>
  <c r="I71" i="16"/>
  <c r="I85" i="16"/>
  <c r="I44" i="16"/>
  <c r="I67" i="16"/>
  <c r="I36" i="16"/>
  <c r="I87" i="16"/>
  <c r="I83" i="16"/>
  <c r="I73" i="16"/>
  <c r="I45" i="16"/>
  <c r="I21" i="16"/>
  <c r="I19" i="16"/>
  <c r="I41" i="16"/>
  <c r="I37" i="16"/>
  <c r="I35" i="16"/>
  <c r="I23" i="16"/>
  <c r="I20" i="16"/>
  <c r="I40" i="16"/>
  <c r="I25" i="16"/>
  <c r="I88" i="16"/>
  <c r="I86" i="16"/>
  <c r="I84" i="16"/>
  <c r="I82" i="16"/>
  <c r="I80" i="16"/>
  <c r="I72" i="16"/>
  <c r="I68" i="16"/>
  <c r="I66" i="16"/>
  <c r="I42" i="16"/>
  <c r="I30" i="16"/>
  <c r="I29" i="16"/>
  <c r="I26" i="16"/>
  <c r="I24" i="16"/>
  <c r="I65" i="16" l="1"/>
  <c r="I46" i="16"/>
  <c r="F46" i="16"/>
  <c r="F155" i="16" s="1"/>
  <c r="I96" i="16"/>
  <c r="I69" i="16"/>
  <c r="I70" i="16"/>
  <c r="F264" i="16" l="1"/>
  <c r="F165" i="16"/>
  <c r="F227" i="16" s="1"/>
  <c r="I89" i="16"/>
  <c r="J19" i="15" s="1"/>
  <c r="J21" i="15" s="1"/>
  <c r="I94" i="16"/>
  <c r="I106" i="16"/>
  <c r="I113" i="16"/>
  <c r="I95" i="16"/>
  <c r="I108" i="16"/>
  <c r="I104" i="16"/>
  <c r="I102" i="16"/>
  <c r="I99" i="16"/>
  <c r="I97" i="16"/>
  <c r="I111" i="16"/>
  <c r="I109" i="16"/>
  <c r="I107" i="16"/>
  <c r="J16" i="15"/>
  <c r="F89" i="16"/>
  <c r="I105" i="16"/>
  <c r="I103" i="16"/>
  <c r="I100" i="16"/>
  <c r="I98" i="16"/>
  <c r="I114" i="16"/>
  <c r="F373" i="16" l="1"/>
  <c r="F274" i="16"/>
  <c r="F336" i="16" s="1"/>
  <c r="I15" i="16"/>
  <c r="I115" i="16"/>
  <c r="F115" i="16"/>
  <c r="F483" i="16" l="1"/>
  <c r="F383" i="16"/>
  <c r="F445" i="16" s="1"/>
  <c r="J22" i="15"/>
  <c r="J24" i="15" s="1"/>
  <c r="I18" i="16"/>
  <c r="I31" i="16" s="1"/>
  <c r="F31" i="16"/>
  <c r="F56" i="16" s="1"/>
  <c r="F118" i="16" s="1"/>
  <c r="F493" i="16" l="1"/>
  <c r="F555" i="16" s="1"/>
  <c r="F593" i="16"/>
  <c r="F603" i="16" s="1"/>
  <c r="F665" i="16" s="1"/>
  <c r="J15" i="15"/>
  <c r="J18" i="15" s="1"/>
  <c r="J25" i="15" s="1"/>
  <c r="I56" i="16"/>
  <c r="I118" i="16" l="1"/>
  <c r="J119" i="13" l="1"/>
  <c r="N1052" i="2"/>
  <c r="L1052" i="2"/>
  <c r="K1052" i="2"/>
  <c r="J1052" i="2"/>
  <c r="O1052" i="2" s="1"/>
  <c r="F1052" i="2"/>
  <c r="N1051" i="2"/>
  <c r="K1051" i="2"/>
  <c r="I1051" i="2" s="1"/>
  <c r="J1051" i="2"/>
  <c r="O1051" i="2" s="1"/>
  <c r="F1051" i="2"/>
  <c r="N1050" i="2"/>
  <c r="K1050" i="2"/>
  <c r="J1050" i="2"/>
  <c r="I1050" i="2" s="1"/>
  <c r="F1050" i="2"/>
  <c r="N1049" i="2"/>
  <c r="K1049" i="2"/>
  <c r="J1049" i="2"/>
  <c r="L1049" i="2" s="1"/>
  <c r="I1049" i="2"/>
  <c r="F1049" i="2"/>
  <c r="N1048" i="2"/>
  <c r="L1048" i="2"/>
  <c r="K1048" i="2"/>
  <c r="J1048" i="2"/>
  <c r="O1048" i="2" s="1"/>
  <c r="F1048" i="2"/>
  <c r="N1047" i="2"/>
  <c r="K1047" i="2"/>
  <c r="I1047" i="2" s="1"/>
  <c r="J1047" i="2"/>
  <c r="O1047" i="2" s="1"/>
  <c r="F1047" i="2"/>
  <c r="N1046" i="2"/>
  <c r="F1046" i="2"/>
  <c r="N1045" i="2"/>
  <c r="K1045" i="2"/>
  <c r="J1045" i="2"/>
  <c r="L1045" i="2" s="1"/>
  <c r="I1045" i="2"/>
  <c r="F1045" i="2"/>
  <c r="N1044" i="2"/>
  <c r="L1044" i="2"/>
  <c r="K1044" i="2"/>
  <c r="J1044" i="2"/>
  <c r="O1044" i="2" s="1"/>
  <c r="F1044" i="2"/>
  <c r="N1043" i="2"/>
  <c r="F1043" i="2"/>
  <c r="N1042" i="2"/>
  <c r="K1042" i="2"/>
  <c r="J1042" i="2"/>
  <c r="I1042" i="2" s="1"/>
  <c r="F1042" i="2"/>
  <c r="O1041" i="2"/>
  <c r="N1041" i="2"/>
  <c r="K1041" i="2"/>
  <c r="J1041" i="2"/>
  <c r="I1041" i="2"/>
  <c r="F1041" i="2"/>
  <c r="N1040" i="2"/>
  <c r="L1040" i="2"/>
  <c r="K1040" i="2"/>
  <c r="J1040" i="2"/>
  <c r="O1040" i="2" s="1"/>
  <c r="F1040" i="2"/>
  <c r="N1039" i="2"/>
  <c r="K1039" i="2"/>
  <c r="J1039" i="2"/>
  <c r="I1039" i="2" s="1"/>
  <c r="F1039" i="2"/>
  <c r="N1038" i="2"/>
  <c r="F1038" i="2"/>
  <c r="N1037" i="2"/>
  <c r="F1037" i="2"/>
  <c r="N1036" i="2"/>
  <c r="L1036" i="2"/>
  <c r="K1036" i="2"/>
  <c r="J1036" i="2"/>
  <c r="O1036" i="2" s="1"/>
  <c r="F1036" i="2"/>
  <c r="N1035" i="2"/>
  <c r="K1035" i="2"/>
  <c r="J1035" i="2"/>
  <c r="I1035" i="2" s="1"/>
  <c r="F1035" i="2"/>
  <c r="N1034" i="2"/>
  <c r="K1034" i="2"/>
  <c r="J1034" i="2"/>
  <c r="L1034" i="2" s="1"/>
  <c r="I1034" i="2"/>
  <c r="F1034" i="2"/>
  <c r="N1033" i="2"/>
  <c r="L1033" i="2"/>
  <c r="K1033" i="2"/>
  <c r="J1033" i="2"/>
  <c r="O1033" i="2" s="1"/>
  <c r="I1033" i="2"/>
  <c r="F1033" i="2"/>
  <c r="N1032" i="2"/>
  <c r="L1032" i="2"/>
  <c r="K1032" i="2"/>
  <c r="J1032" i="2"/>
  <c r="O1032" i="2" s="1"/>
  <c r="F1032" i="2"/>
  <c r="N1031" i="2"/>
  <c r="K1031" i="2"/>
  <c r="J1031" i="2"/>
  <c r="I1031" i="2" s="1"/>
  <c r="F1031" i="2"/>
  <c r="N1030" i="2"/>
  <c r="K1030" i="2"/>
  <c r="J1030" i="2"/>
  <c r="L1030" i="2" s="1"/>
  <c r="I1030" i="2"/>
  <c r="F1030" i="2"/>
  <c r="N1029" i="2"/>
  <c r="L1029" i="2"/>
  <c r="K1029" i="2"/>
  <c r="J1029" i="2"/>
  <c r="O1029" i="2" s="1"/>
  <c r="I1029" i="2"/>
  <c r="F1029" i="2"/>
  <c r="N1028" i="2"/>
  <c r="F1028" i="2"/>
  <c r="N1027" i="2"/>
  <c r="K1027" i="2"/>
  <c r="J1027" i="2"/>
  <c r="I1027" i="2" s="1"/>
  <c r="F1027" i="2"/>
  <c r="N1026" i="2"/>
  <c r="K1026" i="2"/>
  <c r="J1026" i="2"/>
  <c r="L1026" i="2" s="1"/>
  <c r="I1026" i="2"/>
  <c r="F1026" i="2"/>
  <c r="N1025" i="2"/>
  <c r="F1025" i="2"/>
  <c r="N1023" i="2"/>
  <c r="L1023" i="2"/>
  <c r="K1023" i="2"/>
  <c r="J1023" i="2"/>
  <c r="O1023" i="2" s="1"/>
  <c r="F1023" i="2"/>
  <c r="H1022" i="2"/>
  <c r="G1022" i="2"/>
  <c r="E1022" i="2"/>
  <c r="D1022" i="2"/>
  <c r="N1021" i="2"/>
  <c r="K1021" i="2"/>
  <c r="J1021" i="2"/>
  <c r="L1021" i="2" s="1"/>
  <c r="I1021" i="2"/>
  <c r="F1021" i="2"/>
  <c r="N1020" i="2"/>
  <c r="L1020" i="2"/>
  <c r="K1020" i="2"/>
  <c r="J1020" i="2"/>
  <c r="O1020" i="2" s="1"/>
  <c r="F1020" i="2"/>
  <c r="N1019" i="2"/>
  <c r="K1019" i="2"/>
  <c r="J1019" i="2"/>
  <c r="O1019" i="2" s="1"/>
  <c r="F1019" i="2"/>
  <c r="I1019" i="2" s="1"/>
  <c r="N1018" i="2"/>
  <c r="N1022" i="2" s="1"/>
  <c r="K1018" i="2"/>
  <c r="K1022" i="2" s="1"/>
  <c r="J1018" i="2"/>
  <c r="I1018" i="2" s="1"/>
  <c r="F1018" i="2"/>
  <c r="N1017" i="2"/>
  <c r="H1017" i="2"/>
  <c r="G1017" i="2"/>
  <c r="E1017" i="2"/>
  <c r="D1017" i="2"/>
  <c r="N1016" i="2"/>
  <c r="L1016" i="2"/>
  <c r="K1016" i="2"/>
  <c r="J1016" i="2"/>
  <c r="O1016" i="2" s="1"/>
  <c r="F1016" i="2"/>
  <c r="N1015" i="2"/>
  <c r="K1015" i="2"/>
  <c r="I1015" i="2" s="1"/>
  <c r="J1015" i="2"/>
  <c r="O1015" i="2" s="1"/>
  <c r="F1015" i="2"/>
  <c r="N1014" i="2"/>
  <c r="K1014" i="2"/>
  <c r="J1014" i="2"/>
  <c r="I1014" i="2" s="1"/>
  <c r="F1014" i="2"/>
  <c r="N1013" i="2"/>
  <c r="K1013" i="2"/>
  <c r="J1013" i="2"/>
  <c r="O1013" i="2" s="1"/>
  <c r="F1013" i="2"/>
  <c r="N1012" i="2"/>
  <c r="K1012" i="2"/>
  <c r="I1012" i="2" s="1"/>
  <c r="J1012" i="2"/>
  <c r="O1012" i="2" s="1"/>
  <c r="F1012" i="2"/>
  <c r="N1011" i="2"/>
  <c r="K1011" i="2"/>
  <c r="J1011" i="2"/>
  <c r="I1011" i="2" s="1"/>
  <c r="F1011" i="2"/>
  <c r="N1010" i="2"/>
  <c r="L1010" i="2"/>
  <c r="K1010" i="2"/>
  <c r="K1017" i="2" s="1"/>
  <c r="J1010" i="2"/>
  <c r="J1017" i="2" s="1"/>
  <c r="I1010" i="2"/>
  <c r="F1010" i="2"/>
  <c r="F1017" i="2" s="1"/>
  <c r="H1008" i="2"/>
  <c r="G1008" i="2"/>
  <c r="K1007" i="2"/>
  <c r="K1008" i="2" s="1"/>
  <c r="J1007" i="2"/>
  <c r="O1007" i="2" s="1"/>
  <c r="N1006" i="2"/>
  <c r="L1006" i="2"/>
  <c r="K1006" i="2"/>
  <c r="J1006" i="2"/>
  <c r="O1006" i="2" s="1"/>
  <c r="I1006" i="2"/>
  <c r="F1006" i="2"/>
  <c r="N1005" i="2"/>
  <c r="L1005" i="2"/>
  <c r="K1005" i="2"/>
  <c r="J1005" i="2"/>
  <c r="O1005" i="2" s="1"/>
  <c r="F1005" i="2"/>
  <c r="O1004" i="2"/>
  <c r="K1004" i="2"/>
  <c r="J1004" i="2"/>
  <c r="I1004" i="2"/>
  <c r="F1004" i="2"/>
  <c r="N1003" i="2"/>
  <c r="L1003" i="2"/>
  <c r="K1003" i="2"/>
  <c r="J1003" i="2"/>
  <c r="J1008" i="2" s="1"/>
  <c r="F1003" i="2"/>
  <c r="H1002" i="2"/>
  <c r="G1002" i="2"/>
  <c r="O1001" i="2"/>
  <c r="N1001" i="2"/>
  <c r="K1001" i="2"/>
  <c r="J1001" i="2"/>
  <c r="I1001" i="2"/>
  <c r="F1001" i="2"/>
  <c r="N1000" i="2"/>
  <c r="L1000" i="2"/>
  <c r="K1000" i="2"/>
  <c r="J1000" i="2"/>
  <c r="O1000" i="2" s="1"/>
  <c r="F1000" i="2"/>
  <c r="N999" i="2"/>
  <c r="K999" i="2"/>
  <c r="J999" i="2"/>
  <c r="O999" i="2" s="1"/>
  <c r="F999" i="2"/>
  <c r="O998" i="2"/>
  <c r="N998" i="2"/>
  <c r="K998" i="2"/>
  <c r="J998" i="2"/>
  <c r="I998" i="2"/>
  <c r="F998" i="2"/>
  <c r="N997" i="2"/>
  <c r="K997" i="2"/>
  <c r="J997" i="2"/>
  <c r="O997" i="2" s="1"/>
  <c r="F997" i="2"/>
  <c r="N996" i="2"/>
  <c r="K996" i="2"/>
  <c r="J996" i="2"/>
  <c r="O996" i="2" s="1"/>
  <c r="F996" i="2"/>
  <c r="N995" i="2"/>
  <c r="K995" i="2"/>
  <c r="K1002" i="2" s="1"/>
  <c r="J995" i="2"/>
  <c r="L995" i="2" s="1"/>
  <c r="F995" i="2"/>
  <c r="F1002" i="2" s="1"/>
  <c r="J120" i="13" l="1"/>
  <c r="J111" i="13"/>
  <c r="J115" i="13"/>
  <c r="J113" i="13"/>
  <c r="J116" i="13"/>
  <c r="J108" i="13"/>
  <c r="J102" i="13"/>
  <c r="J103" i="13"/>
  <c r="J107" i="13"/>
  <c r="J114" i="13"/>
  <c r="F1022" i="2"/>
  <c r="I1008" i="2"/>
  <c r="F1008" i="2"/>
  <c r="L997" i="2"/>
  <c r="I995" i="2"/>
  <c r="L1017" i="2"/>
  <c r="K1024" i="2"/>
  <c r="O1011" i="2"/>
  <c r="J1022" i="2"/>
  <c r="L1022" i="2" s="1"/>
  <c r="O1027" i="2"/>
  <c r="O1035" i="2"/>
  <c r="O1039" i="2"/>
  <c r="O1050" i="2"/>
  <c r="O995" i="2"/>
  <c r="O1002" i="2" s="1"/>
  <c r="I997" i="2"/>
  <c r="L999" i="2"/>
  <c r="I1000" i="2"/>
  <c r="J1002" i="2"/>
  <c r="I1002" i="2" s="1"/>
  <c r="I1003" i="2"/>
  <c r="I1005" i="2"/>
  <c r="L1007" i="2"/>
  <c r="O1010" i="2"/>
  <c r="L1012" i="2"/>
  <c r="I1013" i="2"/>
  <c r="L1015" i="2"/>
  <c r="I1016" i="2"/>
  <c r="I1017" i="2" s="1"/>
  <c r="L1019" i="2"/>
  <c r="I1020" i="2"/>
  <c r="I1022" i="2" s="1"/>
  <c r="O1021" i="2"/>
  <c r="O1026" i="2"/>
  <c r="O1030" i="2"/>
  <c r="O1034" i="2"/>
  <c r="I1044" i="2"/>
  <c r="O1045" i="2"/>
  <c r="L1047" i="2"/>
  <c r="I1048" i="2"/>
  <c r="O1049" i="2"/>
  <c r="L1051" i="2"/>
  <c r="I1052" i="2"/>
  <c r="O1014" i="2"/>
  <c r="I999" i="2"/>
  <c r="O1003" i="2"/>
  <c r="O1008" i="2" s="1"/>
  <c r="I1007" i="2"/>
  <c r="L1011" i="2"/>
  <c r="L1014" i="2"/>
  <c r="L1018" i="2"/>
  <c r="I1023" i="2"/>
  <c r="L1027" i="2"/>
  <c r="L1031" i="2"/>
  <c r="I1032" i="2"/>
  <c r="L1035" i="2"/>
  <c r="I1036" i="2"/>
  <c r="L1039" i="2"/>
  <c r="I1040" i="2"/>
  <c r="L1042" i="2"/>
  <c r="L1050" i="2"/>
  <c r="O1018" i="2"/>
  <c r="O1022" i="2" s="1"/>
  <c r="O1031" i="2"/>
  <c r="O1042" i="2"/>
  <c r="I996" i="2"/>
  <c r="G104" i="13" l="1"/>
  <c r="J101" i="13"/>
  <c r="J104" i="13" s="1"/>
  <c r="J106" i="13"/>
  <c r="J88" i="13"/>
  <c r="G117" i="13"/>
  <c r="G112" i="13"/>
  <c r="J110" i="13"/>
  <c r="J112" i="13" s="1"/>
  <c r="J83" i="13"/>
  <c r="G121" i="13"/>
  <c r="J118" i="13"/>
  <c r="J121" i="13" s="1"/>
  <c r="J87" i="13"/>
  <c r="J105" i="13"/>
  <c r="J117" i="13"/>
  <c r="J1024" i="2"/>
  <c r="I1024" i="2" s="1"/>
  <c r="O1009" i="2"/>
  <c r="O1017" i="2"/>
  <c r="O1024" i="2" s="1"/>
  <c r="N987" i="2"/>
  <c r="L987" i="2"/>
  <c r="K987" i="2"/>
  <c r="J987" i="2"/>
  <c r="O987" i="2" s="1"/>
  <c r="F987" i="2"/>
  <c r="N986" i="2"/>
  <c r="K986" i="2"/>
  <c r="J986" i="2"/>
  <c r="O986" i="2" s="1"/>
  <c r="F986" i="2"/>
  <c r="N985" i="2"/>
  <c r="K985" i="2"/>
  <c r="J985" i="2"/>
  <c r="I985" i="2" s="1"/>
  <c r="F985" i="2"/>
  <c r="N984" i="2"/>
  <c r="L984" i="2"/>
  <c r="K984" i="2"/>
  <c r="J984" i="2"/>
  <c r="O984" i="2" s="1"/>
  <c r="I984" i="2"/>
  <c r="F984" i="2"/>
  <c r="N983" i="2"/>
  <c r="L983" i="2"/>
  <c r="K983" i="2"/>
  <c r="J983" i="2"/>
  <c r="O983" i="2" s="1"/>
  <c r="F983" i="2"/>
  <c r="N982" i="2"/>
  <c r="K982" i="2"/>
  <c r="J982" i="2"/>
  <c r="O982" i="2" s="1"/>
  <c r="F982" i="2"/>
  <c r="N981" i="2"/>
  <c r="K981" i="2"/>
  <c r="K1046" i="2" s="1"/>
  <c r="J981" i="2"/>
  <c r="J1046" i="2" s="1"/>
  <c r="F981" i="2"/>
  <c r="N980" i="2"/>
  <c r="L980" i="2"/>
  <c r="K980" i="2"/>
  <c r="J980" i="2"/>
  <c r="O980" i="2" s="1"/>
  <c r="I980" i="2"/>
  <c r="F980" i="2"/>
  <c r="N979" i="2"/>
  <c r="L979" i="2"/>
  <c r="K979" i="2"/>
  <c r="J979" i="2"/>
  <c r="O979" i="2" s="1"/>
  <c r="F979" i="2"/>
  <c r="N978" i="2"/>
  <c r="K978" i="2"/>
  <c r="K1043" i="2" s="1"/>
  <c r="J978" i="2"/>
  <c r="F978" i="2"/>
  <c r="N977" i="2"/>
  <c r="K977" i="2"/>
  <c r="J977" i="2"/>
  <c r="I977" i="2" s="1"/>
  <c r="F977" i="2"/>
  <c r="N976" i="2"/>
  <c r="K976" i="2"/>
  <c r="J976" i="2"/>
  <c r="O976" i="2" s="1"/>
  <c r="F976" i="2"/>
  <c r="N975" i="2"/>
  <c r="K975" i="2"/>
  <c r="J975" i="2"/>
  <c r="O975" i="2" s="1"/>
  <c r="F975" i="2"/>
  <c r="N974" i="2"/>
  <c r="K974" i="2"/>
  <c r="J974" i="2"/>
  <c r="I974" i="2" s="1"/>
  <c r="F974" i="2"/>
  <c r="N973" i="2"/>
  <c r="K973" i="2"/>
  <c r="K1038" i="2" s="1"/>
  <c r="J973" i="2"/>
  <c r="L973" i="2" s="1"/>
  <c r="F973" i="2"/>
  <c r="N972" i="2"/>
  <c r="K972" i="2"/>
  <c r="K1037" i="2" s="1"/>
  <c r="J972" i="2"/>
  <c r="F972" i="2"/>
  <c r="N971" i="2"/>
  <c r="K971" i="2"/>
  <c r="J971" i="2"/>
  <c r="O971" i="2" s="1"/>
  <c r="F971" i="2"/>
  <c r="N970" i="2"/>
  <c r="K970" i="2"/>
  <c r="J970" i="2"/>
  <c r="I970" i="2" s="1"/>
  <c r="F970" i="2"/>
  <c r="N969" i="2"/>
  <c r="L969" i="2"/>
  <c r="K969" i="2"/>
  <c r="J969" i="2"/>
  <c r="O969" i="2" s="1"/>
  <c r="I969" i="2"/>
  <c r="F969" i="2"/>
  <c r="N968" i="2"/>
  <c r="L968" i="2"/>
  <c r="K968" i="2"/>
  <c r="J968" i="2"/>
  <c r="O968" i="2" s="1"/>
  <c r="F968" i="2"/>
  <c r="N967" i="2"/>
  <c r="K967" i="2"/>
  <c r="J967" i="2"/>
  <c r="O967" i="2" s="1"/>
  <c r="F967" i="2"/>
  <c r="N966" i="2"/>
  <c r="K966" i="2"/>
  <c r="J966" i="2"/>
  <c r="I966" i="2" s="1"/>
  <c r="F966" i="2"/>
  <c r="N965" i="2"/>
  <c r="L965" i="2"/>
  <c r="K965" i="2"/>
  <c r="J965" i="2"/>
  <c r="O965" i="2" s="1"/>
  <c r="I965" i="2"/>
  <c r="F965" i="2"/>
  <c r="N964" i="2"/>
  <c r="L964" i="2"/>
  <c r="K964" i="2"/>
  <c r="I964" i="2" s="1"/>
  <c r="J964" i="2"/>
  <c r="O964" i="2" s="1"/>
  <c r="F964" i="2"/>
  <c r="N963" i="2"/>
  <c r="K963" i="2"/>
  <c r="K1028" i="2" s="1"/>
  <c r="J963" i="2"/>
  <c r="F963" i="2"/>
  <c r="N962" i="2"/>
  <c r="K962" i="2"/>
  <c r="J962" i="2"/>
  <c r="I962" i="2" s="1"/>
  <c r="F962" i="2"/>
  <c r="N961" i="2"/>
  <c r="L961" i="2"/>
  <c r="K961" i="2"/>
  <c r="J961" i="2"/>
  <c r="O961" i="2" s="1"/>
  <c r="I961" i="2"/>
  <c r="F961" i="2"/>
  <c r="N960" i="2"/>
  <c r="L960" i="2"/>
  <c r="K960" i="2"/>
  <c r="J960" i="2"/>
  <c r="F960" i="2"/>
  <c r="N958" i="2"/>
  <c r="K958" i="2"/>
  <c r="J958" i="2"/>
  <c r="O958" i="2" s="1"/>
  <c r="F958" i="2"/>
  <c r="H957" i="2"/>
  <c r="G957" i="2"/>
  <c r="E957" i="2"/>
  <c r="D957" i="2"/>
  <c r="N956" i="2"/>
  <c r="L956" i="2"/>
  <c r="K956" i="2"/>
  <c r="J956" i="2"/>
  <c r="O956" i="2" s="1"/>
  <c r="I956" i="2"/>
  <c r="F956" i="2"/>
  <c r="N955" i="2"/>
  <c r="L955" i="2"/>
  <c r="K955" i="2"/>
  <c r="J955" i="2"/>
  <c r="O955" i="2" s="1"/>
  <c r="F955" i="2"/>
  <c r="N954" i="2"/>
  <c r="K954" i="2"/>
  <c r="J954" i="2"/>
  <c r="O954" i="2" s="1"/>
  <c r="F954" i="2"/>
  <c r="I954" i="2" s="1"/>
  <c r="N953" i="2"/>
  <c r="N957" i="2" s="1"/>
  <c r="K953" i="2"/>
  <c r="K957" i="2" s="1"/>
  <c r="J953" i="2"/>
  <c r="I953" i="2" s="1"/>
  <c r="F953" i="2"/>
  <c r="N952" i="2"/>
  <c r="H952" i="2"/>
  <c r="G952" i="2"/>
  <c r="E952" i="2"/>
  <c r="D952" i="2"/>
  <c r="N951" i="2"/>
  <c r="L951" i="2"/>
  <c r="K951" i="2"/>
  <c r="J951" i="2"/>
  <c r="O951" i="2" s="1"/>
  <c r="F951" i="2"/>
  <c r="N950" i="2"/>
  <c r="K950" i="2"/>
  <c r="J950" i="2"/>
  <c r="O950" i="2" s="1"/>
  <c r="F950" i="2"/>
  <c r="N949" i="2"/>
  <c r="K949" i="2"/>
  <c r="J949" i="2"/>
  <c r="I949" i="2" s="1"/>
  <c r="F949" i="2"/>
  <c r="N948" i="2"/>
  <c r="K948" i="2"/>
  <c r="J948" i="2"/>
  <c r="O948" i="2" s="1"/>
  <c r="F948" i="2"/>
  <c r="N947" i="2"/>
  <c r="K947" i="2"/>
  <c r="J947" i="2"/>
  <c r="O947" i="2" s="1"/>
  <c r="F947" i="2"/>
  <c r="N946" i="2"/>
  <c r="K946" i="2"/>
  <c r="J946" i="2"/>
  <c r="I946" i="2" s="1"/>
  <c r="F946" i="2"/>
  <c r="N945" i="2"/>
  <c r="L945" i="2"/>
  <c r="K945" i="2"/>
  <c r="K952" i="2" s="1"/>
  <c r="J945" i="2"/>
  <c r="J952" i="2" s="1"/>
  <c r="I945" i="2"/>
  <c r="F945" i="2"/>
  <c r="F952" i="2" s="1"/>
  <c r="H943" i="2"/>
  <c r="G943" i="2"/>
  <c r="K942" i="2"/>
  <c r="K943" i="2" s="1"/>
  <c r="J942" i="2"/>
  <c r="O942" i="2" s="1"/>
  <c r="N941" i="2"/>
  <c r="L941" i="2"/>
  <c r="K941" i="2"/>
  <c r="J941" i="2"/>
  <c r="O941" i="2" s="1"/>
  <c r="I941" i="2"/>
  <c r="F941" i="2"/>
  <c r="N940" i="2"/>
  <c r="L940" i="2"/>
  <c r="K940" i="2"/>
  <c r="J940" i="2"/>
  <c r="O940" i="2" s="1"/>
  <c r="F940" i="2"/>
  <c r="O939" i="2"/>
  <c r="K939" i="2"/>
  <c r="J939" i="2"/>
  <c r="I939" i="2"/>
  <c r="F939" i="2"/>
  <c r="O938" i="2"/>
  <c r="N938" i="2"/>
  <c r="L938" i="2"/>
  <c r="K938" i="2"/>
  <c r="J938" i="2"/>
  <c r="F938" i="2"/>
  <c r="H937" i="2"/>
  <c r="G937" i="2"/>
  <c r="O936" i="2"/>
  <c r="N936" i="2"/>
  <c r="K936" i="2"/>
  <c r="J936" i="2"/>
  <c r="I936" i="2"/>
  <c r="F936" i="2"/>
  <c r="N935" i="2"/>
  <c r="L935" i="2"/>
  <c r="K935" i="2"/>
  <c r="J935" i="2"/>
  <c r="O935" i="2" s="1"/>
  <c r="F935" i="2"/>
  <c r="N934" i="2"/>
  <c r="K934" i="2"/>
  <c r="I934" i="2" s="1"/>
  <c r="J934" i="2"/>
  <c r="O934" i="2" s="1"/>
  <c r="F934" i="2"/>
  <c r="O933" i="2"/>
  <c r="N933" i="2"/>
  <c r="K933" i="2"/>
  <c r="J933" i="2"/>
  <c r="I933" i="2"/>
  <c r="F933" i="2"/>
  <c r="N932" i="2"/>
  <c r="K932" i="2"/>
  <c r="J932" i="2"/>
  <c r="O932" i="2" s="1"/>
  <c r="F932" i="2"/>
  <c r="N931" i="2"/>
  <c r="K931" i="2"/>
  <c r="J931" i="2"/>
  <c r="O931" i="2" s="1"/>
  <c r="F931" i="2"/>
  <c r="N930" i="2"/>
  <c r="K930" i="2"/>
  <c r="K937" i="2" s="1"/>
  <c r="J930" i="2"/>
  <c r="F930" i="2"/>
  <c r="F937" i="2" s="1"/>
  <c r="J109" i="13" l="1"/>
  <c r="J125" i="13" s="1"/>
  <c r="J126" i="13" s="1"/>
  <c r="G109" i="13"/>
  <c r="G125" i="13" s="1"/>
  <c r="G126" i="13" s="1"/>
  <c r="J58" i="13"/>
  <c r="J60" i="13"/>
  <c r="J46" i="13"/>
  <c r="J55" i="13"/>
  <c r="J33" i="13"/>
  <c r="J59" i="13"/>
  <c r="J31" i="13"/>
  <c r="J26" i="13"/>
  <c r="J95" i="13"/>
  <c r="J51" i="13"/>
  <c r="J34" i="13"/>
  <c r="J50" i="13"/>
  <c r="J30" i="13"/>
  <c r="J18" i="13"/>
  <c r="J57" i="13"/>
  <c r="J22" i="13"/>
  <c r="J79" i="13"/>
  <c r="J25" i="13"/>
  <c r="J90" i="13"/>
  <c r="J52" i="13"/>
  <c r="J17" i="13"/>
  <c r="J32" i="13"/>
  <c r="J62" i="13"/>
  <c r="J45" i="13"/>
  <c r="J23" i="13"/>
  <c r="J93" i="13"/>
  <c r="J24" i="13"/>
  <c r="J21" i="13"/>
  <c r="J29" i="13"/>
  <c r="J56" i="13"/>
  <c r="G89" i="13"/>
  <c r="J86" i="13"/>
  <c r="J89" i="13" s="1"/>
  <c r="I1046" i="2"/>
  <c r="L1046" i="2"/>
  <c r="O1046" i="2"/>
  <c r="O978" i="2"/>
  <c r="J1043" i="2"/>
  <c r="O972" i="2"/>
  <c r="J1037" i="2"/>
  <c r="L972" i="2"/>
  <c r="I973" i="2"/>
  <c r="O973" i="2"/>
  <c r="J1038" i="2"/>
  <c r="O963" i="2"/>
  <c r="J1028" i="2"/>
  <c r="K988" i="2"/>
  <c r="K1025" i="2"/>
  <c r="K1053" i="2" s="1"/>
  <c r="O960" i="2"/>
  <c r="J1025" i="2"/>
  <c r="K959" i="2"/>
  <c r="F957" i="2"/>
  <c r="I981" i="2"/>
  <c r="F943" i="2"/>
  <c r="J943" i="2"/>
  <c r="I943" i="2" s="1"/>
  <c r="O943" i="2"/>
  <c r="J937" i="2"/>
  <c r="L932" i="2"/>
  <c r="L930" i="2"/>
  <c r="I930" i="2"/>
  <c r="I937" i="2"/>
  <c r="L952" i="2"/>
  <c r="J959" i="2"/>
  <c r="I959" i="2" s="1"/>
  <c r="O949" i="2"/>
  <c r="J957" i="2"/>
  <c r="L957" i="2" s="1"/>
  <c r="O962" i="2"/>
  <c r="O970" i="2"/>
  <c r="O974" i="2"/>
  <c r="O977" i="2"/>
  <c r="O981" i="2"/>
  <c r="O985" i="2"/>
  <c r="J988" i="2"/>
  <c r="O930" i="2"/>
  <c r="O937" i="2" s="1"/>
  <c r="I932" i="2"/>
  <c r="L934" i="2"/>
  <c r="I935" i="2"/>
  <c r="I938" i="2"/>
  <c r="I940" i="2"/>
  <c r="L942" i="2"/>
  <c r="O945" i="2"/>
  <c r="O952" i="2" s="1"/>
  <c r="L947" i="2"/>
  <c r="I948" i="2"/>
  <c r="L950" i="2"/>
  <c r="I951" i="2"/>
  <c r="I952" i="2" s="1"/>
  <c r="L954" i="2"/>
  <c r="I955" i="2"/>
  <c r="I957" i="2" s="1"/>
  <c r="L958" i="2"/>
  <c r="I960" i="2"/>
  <c r="L963" i="2"/>
  <c r="L967" i="2"/>
  <c r="I968" i="2"/>
  <c r="L971" i="2"/>
  <c r="I972" i="2"/>
  <c r="L975" i="2"/>
  <c r="I976" i="2"/>
  <c r="L978" i="2"/>
  <c r="I979" i="2"/>
  <c r="L982" i="2"/>
  <c r="I983" i="2"/>
  <c r="L986" i="2"/>
  <c r="I987" i="2"/>
  <c r="I942" i="2"/>
  <c r="L946" i="2"/>
  <c r="I947" i="2"/>
  <c r="L949" i="2"/>
  <c r="I950" i="2"/>
  <c r="L953" i="2"/>
  <c r="I958" i="2"/>
  <c r="L962" i="2"/>
  <c r="I963" i="2"/>
  <c r="L966" i="2"/>
  <c r="I967" i="2"/>
  <c r="L970" i="2"/>
  <c r="I971" i="2"/>
  <c r="L974" i="2"/>
  <c r="I975" i="2"/>
  <c r="L977" i="2"/>
  <c r="I978" i="2"/>
  <c r="L981" i="2"/>
  <c r="I982" i="2"/>
  <c r="L985" i="2"/>
  <c r="I986" i="2"/>
  <c r="O946" i="2"/>
  <c r="O953" i="2"/>
  <c r="O957" i="2" s="1"/>
  <c r="O959" i="2" s="1"/>
  <c r="O966" i="2"/>
  <c r="I931" i="2"/>
  <c r="N922" i="2"/>
  <c r="L922" i="2"/>
  <c r="K922" i="2"/>
  <c r="J922" i="2"/>
  <c r="O922" i="2" s="1"/>
  <c r="I922" i="2"/>
  <c r="F922" i="2"/>
  <c r="N921" i="2"/>
  <c r="L921" i="2"/>
  <c r="K921" i="2"/>
  <c r="I921" i="2" s="1"/>
  <c r="J921" i="2"/>
  <c r="O921" i="2" s="1"/>
  <c r="F921" i="2"/>
  <c r="N920" i="2"/>
  <c r="K920" i="2"/>
  <c r="J920" i="2"/>
  <c r="I920" i="2" s="1"/>
  <c r="F920" i="2"/>
  <c r="N919" i="2"/>
  <c r="K919" i="2"/>
  <c r="J919" i="2"/>
  <c r="L919" i="2" s="1"/>
  <c r="I919" i="2"/>
  <c r="F919" i="2"/>
  <c r="N918" i="2"/>
  <c r="L918" i="2"/>
  <c r="K918" i="2"/>
  <c r="J918" i="2"/>
  <c r="O918" i="2" s="1"/>
  <c r="I918" i="2"/>
  <c r="F918" i="2"/>
  <c r="N917" i="2"/>
  <c r="L917" i="2"/>
  <c r="K917" i="2"/>
  <c r="I917" i="2" s="1"/>
  <c r="J917" i="2"/>
  <c r="O917" i="2" s="1"/>
  <c r="F917" i="2"/>
  <c r="N916" i="2"/>
  <c r="K916" i="2"/>
  <c r="J916" i="2"/>
  <c r="I916" i="2" s="1"/>
  <c r="F916" i="2"/>
  <c r="N915" i="2"/>
  <c r="K915" i="2"/>
  <c r="J915" i="2"/>
  <c r="L915" i="2" s="1"/>
  <c r="I915" i="2"/>
  <c r="F915" i="2"/>
  <c r="N914" i="2"/>
  <c r="L914" i="2"/>
  <c r="K914" i="2"/>
  <c r="J914" i="2"/>
  <c r="O914" i="2" s="1"/>
  <c r="I914" i="2"/>
  <c r="F914" i="2"/>
  <c r="N913" i="2"/>
  <c r="L913" i="2"/>
  <c r="K913" i="2"/>
  <c r="J913" i="2"/>
  <c r="O913" i="2" s="1"/>
  <c r="F913" i="2"/>
  <c r="N912" i="2"/>
  <c r="K912" i="2"/>
  <c r="J912" i="2"/>
  <c r="F912" i="2"/>
  <c r="O911" i="2"/>
  <c r="N911" i="2"/>
  <c r="K911" i="2"/>
  <c r="J911" i="2"/>
  <c r="I911" i="2"/>
  <c r="F911" i="2"/>
  <c r="N910" i="2"/>
  <c r="L910" i="2"/>
  <c r="K910" i="2"/>
  <c r="I910" i="2" s="1"/>
  <c r="J910" i="2"/>
  <c r="O910" i="2" s="1"/>
  <c r="F910" i="2"/>
  <c r="N909" i="2"/>
  <c r="K909" i="2"/>
  <c r="J909" i="2"/>
  <c r="F909" i="2"/>
  <c r="N908" i="2"/>
  <c r="K908" i="2"/>
  <c r="J908" i="2"/>
  <c r="L908" i="2" s="1"/>
  <c r="I908" i="2"/>
  <c r="F908" i="2"/>
  <c r="N907" i="2"/>
  <c r="L907" i="2"/>
  <c r="K907" i="2"/>
  <c r="J907" i="2"/>
  <c r="O907" i="2" s="1"/>
  <c r="I907" i="2"/>
  <c r="F907" i="2"/>
  <c r="N906" i="2"/>
  <c r="L906" i="2"/>
  <c r="K906" i="2"/>
  <c r="I906" i="2" s="1"/>
  <c r="J906" i="2"/>
  <c r="O906" i="2" s="1"/>
  <c r="F906" i="2"/>
  <c r="N905" i="2"/>
  <c r="K905" i="2"/>
  <c r="J905" i="2"/>
  <c r="I905" i="2" s="1"/>
  <c r="F905" i="2"/>
  <c r="N904" i="2"/>
  <c r="K904" i="2"/>
  <c r="J904" i="2"/>
  <c r="L904" i="2" s="1"/>
  <c r="I904" i="2"/>
  <c r="F904" i="2"/>
  <c r="N903" i="2"/>
  <c r="K903" i="2"/>
  <c r="J903" i="2"/>
  <c r="O903" i="2" s="1"/>
  <c r="I903" i="2"/>
  <c r="F903" i="2"/>
  <c r="N902" i="2"/>
  <c r="L902" i="2"/>
  <c r="K902" i="2"/>
  <c r="I902" i="2" s="1"/>
  <c r="J902" i="2"/>
  <c r="O902" i="2" s="1"/>
  <c r="F902" i="2"/>
  <c r="N901" i="2"/>
  <c r="K901" i="2"/>
  <c r="J901" i="2"/>
  <c r="F901" i="2"/>
  <c r="N900" i="2"/>
  <c r="K900" i="2"/>
  <c r="J900" i="2"/>
  <c r="L900" i="2" s="1"/>
  <c r="I900" i="2"/>
  <c r="F900" i="2"/>
  <c r="N899" i="2"/>
  <c r="L899" i="2"/>
  <c r="K899" i="2"/>
  <c r="J899" i="2"/>
  <c r="O899" i="2" s="1"/>
  <c r="I899" i="2"/>
  <c r="F899" i="2"/>
  <c r="N898" i="2"/>
  <c r="K898" i="2"/>
  <c r="J898" i="2"/>
  <c r="O898" i="2" s="1"/>
  <c r="F898" i="2"/>
  <c r="N897" i="2"/>
  <c r="K897" i="2"/>
  <c r="J897" i="2"/>
  <c r="I897" i="2" s="1"/>
  <c r="F897" i="2"/>
  <c r="N896" i="2"/>
  <c r="K896" i="2"/>
  <c r="J896" i="2"/>
  <c r="L896" i="2" s="1"/>
  <c r="I896" i="2"/>
  <c r="F896" i="2"/>
  <c r="N895" i="2"/>
  <c r="K895" i="2"/>
  <c r="J895" i="2"/>
  <c r="O895" i="2" s="1"/>
  <c r="F895" i="2"/>
  <c r="N893" i="2"/>
  <c r="L893" i="2"/>
  <c r="K893" i="2"/>
  <c r="J893" i="2"/>
  <c r="O893" i="2" s="1"/>
  <c r="F893" i="2"/>
  <c r="H892" i="2"/>
  <c r="G892" i="2"/>
  <c r="E892" i="2"/>
  <c r="D892" i="2"/>
  <c r="N891" i="2"/>
  <c r="K891" i="2"/>
  <c r="J891" i="2"/>
  <c r="L891" i="2" s="1"/>
  <c r="I891" i="2"/>
  <c r="F891" i="2"/>
  <c r="N890" i="2"/>
  <c r="L890" i="2"/>
  <c r="K890" i="2"/>
  <c r="J890" i="2"/>
  <c r="O890" i="2" s="1"/>
  <c r="F890" i="2"/>
  <c r="F892" i="2" s="1"/>
  <c r="N889" i="2"/>
  <c r="L889" i="2"/>
  <c r="K889" i="2"/>
  <c r="J889" i="2"/>
  <c r="O889" i="2" s="1"/>
  <c r="F889" i="2"/>
  <c r="I889" i="2" s="1"/>
  <c r="N888" i="2"/>
  <c r="N892" i="2" s="1"/>
  <c r="K888" i="2"/>
  <c r="K892" i="2" s="1"/>
  <c r="J888" i="2"/>
  <c r="I888" i="2" s="1"/>
  <c r="F888" i="2"/>
  <c r="H887" i="2"/>
  <c r="G887" i="2"/>
  <c r="E887" i="2"/>
  <c r="D887" i="2"/>
  <c r="N886" i="2"/>
  <c r="L886" i="2"/>
  <c r="K886" i="2"/>
  <c r="J886" i="2"/>
  <c r="O886" i="2" s="1"/>
  <c r="I886" i="2"/>
  <c r="F886" i="2"/>
  <c r="N885" i="2"/>
  <c r="L885" i="2"/>
  <c r="K885" i="2"/>
  <c r="J885" i="2"/>
  <c r="O885" i="2" s="1"/>
  <c r="F885" i="2"/>
  <c r="N884" i="2"/>
  <c r="N887" i="2" s="1"/>
  <c r="K884" i="2"/>
  <c r="J884" i="2"/>
  <c r="F884" i="2"/>
  <c r="O883" i="2"/>
  <c r="N883" i="2"/>
  <c r="K883" i="2"/>
  <c r="J883" i="2"/>
  <c r="I883" i="2"/>
  <c r="F883" i="2"/>
  <c r="N882" i="2"/>
  <c r="L882" i="2"/>
  <c r="K882" i="2"/>
  <c r="J882" i="2"/>
  <c r="O882" i="2" s="1"/>
  <c r="F882" i="2"/>
  <c r="N881" i="2"/>
  <c r="K881" i="2"/>
  <c r="J881" i="2"/>
  <c r="I881" i="2" s="1"/>
  <c r="F881" i="2"/>
  <c r="N880" i="2"/>
  <c r="K880" i="2"/>
  <c r="J880" i="2"/>
  <c r="L880" i="2" s="1"/>
  <c r="I880" i="2"/>
  <c r="F880" i="2"/>
  <c r="H878" i="2"/>
  <c r="G878" i="2"/>
  <c r="F878" i="2" s="1"/>
  <c r="N876" i="2"/>
  <c r="K876" i="2"/>
  <c r="J876" i="2"/>
  <c r="L876" i="2" s="1"/>
  <c r="I876" i="2"/>
  <c r="F876" i="2"/>
  <c r="N875" i="2"/>
  <c r="L875" i="2"/>
  <c r="K875" i="2"/>
  <c r="J875" i="2"/>
  <c r="O875" i="2" s="1"/>
  <c r="I875" i="2"/>
  <c r="F875" i="2"/>
  <c r="K874" i="2"/>
  <c r="J874" i="2"/>
  <c r="O874" i="2" s="1"/>
  <c r="I874" i="2"/>
  <c r="F874" i="2"/>
  <c r="N873" i="2"/>
  <c r="L873" i="2"/>
  <c r="K873" i="2"/>
  <c r="J873" i="2"/>
  <c r="I873" i="2"/>
  <c r="F873" i="2"/>
  <c r="H872" i="2"/>
  <c r="G872" i="2"/>
  <c r="O871" i="2"/>
  <c r="N871" i="2"/>
  <c r="K871" i="2"/>
  <c r="J871" i="2"/>
  <c r="I871" i="2"/>
  <c r="F871" i="2"/>
  <c r="N870" i="2"/>
  <c r="L870" i="2"/>
  <c r="K870" i="2"/>
  <c r="J870" i="2"/>
  <c r="O870" i="2" s="1"/>
  <c r="I870" i="2"/>
  <c r="F870" i="2"/>
  <c r="N869" i="2"/>
  <c r="F869" i="2"/>
  <c r="O868" i="2"/>
  <c r="N868" i="2"/>
  <c r="K868" i="2"/>
  <c r="J868" i="2"/>
  <c r="I868" i="2"/>
  <c r="F868" i="2"/>
  <c r="N867" i="2"/>
  <c r="F867" i="2"/>
  <c r="N866" i="2"/>
  <c r="K866" i="2"/>
  <c r="J866" i="2"/>
  <c r="O866" i="2" s="1"/>
  <c r="F866" i="2"/>
  <c r="N865" i="2"/>
  <c r="K865" i="2"/>
  <c r="J865" i="2"/>
  <c r="L865" i="2" s="1"/>
  <c r="F865" i="2"/>
  <c r="I22" i="15" l="1"/>
  <c r="I24" i="15" s="1"/>
  <c r="F22" i="15"/>
  <c r="F24" i="15" s="1"/>
  <c r="G35" i="13"/>
  <c r="J28" i="13"/>
  <c r="J35" i="13" s="1"/>
  <c r="G53" i="13"/>
  <c r="J49" i="13"/>
  <c r="J53" i="13" s="1"/>
  <c r="J73" i="13"/>
  <c r="G96" i="13"/>
  <c r="G97" i="13" s="1"/>
  <c r="J16" i="13"/>
  <c r="J19" i="13" s="1"/>
  <c r="G19" i="13"/>
  <c r="J66" i="13"/>
  <c r="J71" i="13"/>
  <c r="J68" i="13"/>
  <c r="J69" i="13"/>
  <c r="J36" i="13"/>
  <c r="G43" i="13"/>
  <c r="G47" i="13"/>
  <c r="J44" i="13"/>
  <c r="J47" i="13" s="1"/>
  <c r="J72" i="13"/>
  <c r="J70" i="13"/>
  <c r="J67" i="13"/>
  <c r="J75" i="13"/>
  <c r="J96" i="13"/>
  <c r="J97" i="13" s="1"/>
  <c r="G27" i="13"/>
  <c r="J20" i="13"/>
  <c r="J27" i="13" s="1"/>
  <c r="G84" i="13"/>
  <c r="J77" i="13"/>
  <c r="J84" i="13" s="1"/>
  <c r="J54" i="13"/>
  <c r="J63" i="13" s="1"/>
  <c r="G63" i="13"/>
  <c r="O1043" i="2"/>
  <c r="L1043" i="2"/>
  <c r="I1043" i="2"/>
  <c r="O1037" i="2"/>
  <c r="L1037" i="2"/>
  <c r="I1037" i="2"/>
  <c r="L1038" i="2"/>
  <c r="I1038" i="2"/>
  <c r="O1038" i="2"/>
  <c r="I988" i="2"/>
  <c r="O1028" i="2"/>
  <c r="L1028" i="2"/>
  <c r="I1028" i="2"/>
  <c r="O1025" i="2"/>
  <c r="L1025" i="2"/>
  <c r="I1025" i="2"/>
  <c r="J1053" i="2"/>
  <c r="O944" i="2"/>
  <c r="O988" i="2"/>
  <c r="I895" i="2"/>
  <c r="I865" i="2"/>
  <c r="F872" i="2"/>
  <c r="I912" i="2"/>
  <c r="I909" i="2"/>
  <c r="I913" i="2"/>
  <c r="L903" i="2"/>
  <c r="K923" i="2"/>
  <c r="I901" i="2"/>
  <c r="L898" i="2"/>
  <c r="L895" i="2"/>
  <c r="F887" i="2"/>
  <c r="I884" i="2"/>
  <c r="K887" i="2"/>
  <c r="K894" i="2" s="1"/>
  <c r="J892" i="2"/>
  <c r="L892" i="2" s="1"/>
  <c r="O881" i="2"/>
  <c r="O901" i="2"/>
  <c r="O916" i="2"/>
  <c r="J923" i="2"/>
  <c r="O865" i="2"/>
  <c r="O876" i="2"/>
  <c r="J887" i="2"/>
  <c r="I890" i="2"/>
  <c r="I892" i="2" s="1"/>
  <c r="O891" i="2"/>
  <c r="O896" i="2"/>
  <c r="O900" i="2"/>
  <c r="O904" i="2"/>
  <c r="O908" i="2"/>
  <c r="O915" i="2"/>
  <c r="O919" i="2"/>
  <c r="O873" i="2"/>
  <c r="L881" i="2"/>
  <c r="I882" i="2"/>
  <c r="L884" i="2"/>
  <c r="I885" i="2"/>
  <c r="I887" i="2" s="1"/>
  <c r="L888" i="2"/>
  <c r="I893" i="2"/>
  <c r="L897" i="2"/>
  <c r="I898" i="2"/>
  <c r="L901" i="2"/>
  <c r="L905" i="2"/>
  <c r="L909" i="2"/>
  <c r="L912" i="2"/>
  <c r="L916" i="2"/>
  <c r="L920" i="2"/>
  <c r="O884" i="2"/>
  <c r="O888" i="2"/>
  <c r="O892" i="2" s="1"/>
  <c r="O897" i="2"/>
  <c r="O905" i="2"/>
  <c r="O909" i="2"/>
  <c r="O912" i="2"/>
  <c r="O920" i="2"/>
  <c r="O880" i="2"/>
  <c r="I866" i="2"/>
  <c r="G48" i="13" l="1"/>
  <c r="F15" i="15" s="1"/>
  <c r="G76" i="13"/>
  <c r="G85" i="13" s="1"/>
  <c r="G99" i="13" s="1"/>
  <c r="G100" i="13" s="1"/>
  <c r="G64" i="13"/>
  <c r="F16" i="15" s="1"/>
  <c r="J76" i="13"/>
  <c r="J85" i="13" s="1"/>
  <c r="J99" i="13" s="1"/>
  <c r="J100" i="13" s="1"/>
  <c r="I19" i="15" s="1"/>
  <c r="J64" i="13"/>
  <c r="I16" i="15" s="1"/>
  <c r="O1053" i="2"/>
  <c r="I1053" i="2"/>
  <c r="O1055" i="2"/>
  <c r="O990" i="2"/>
  <c r="I923" i="2"/>
  <c r="O923" i="2"/>
  <c r="O887" i="2"/>
  <c r="O894" i="2" s="1"/>
  <c r="L887" i="2"/>
  <c r="J894" i="2"/>
  <c r="I894" i="2" s="1"/>
  <c r="F19" i="15" l="1"/>
  <c r="F21" i="15" s="1"/>
  <c r="I21" i="15"/>
  <c r="F18" i="15"/>
  <c r="G65" i="13"/>
  <c r="G127" i="13" s="1"/>
  <c r="E16" i="15"/>
  <c r="N857" i="2"/>
  <c r="L857" i="2"/>
  <c r="K857" i="2"/>
  <c r="J857" i="2"/>
  <c r="O857" i="2" s="1"/>
  <c r="I857" i="2"/>
  <c r="F857" i="2"/>
  <c r="N856" i="2"/>
  <c r="L856" i="2"/>
  <c r="K856" i="2"/>
  <c r="I856" i="2" s="1"/>
  <c r="J856" i="2"/>
  <c r="O856" i="2" s="1"/>
  <c r="F856" i="2"/>
  <c r="N855" i="2"/>
  <c r="K855" i="2"/>
  <c r="J855" i="2"/>
  <c r="I855" i="2" s="1"/>
  <c r="F855" i="2"/>
  <c r="N854" i="2"/>
  <c r="K854" i="2"/>
  <c r="J854" i="2"/>
  <c r="L854" i="2" s="1"/>
  <c r="I854" i="2"/>
  <c r="F854" i="2"/>
  <c r="N853" i="2"/>
  <c r="L853" i="2"/>
  <c r="K853" i="2"/>
  <c r="J853" i="2"/>
  <c r="O853" i="2" s="1"/>
  <c r="I853" i="2"/>
  <c r="F853" i="2"/>
  <c r="N852" i="2"/>
  <c r="L852" i="2"/>
  <c r="K852" i="2"/>
  <c r="I852" i="2" s="1"/>
  <c r="J852" i="2"/>
  <c r="O852" i="2" s="1"/>
  <c r="F852" i="2"/>
  <c r="N851" i="2"/>
  <c r="K851" i="2"/>
  <c r="J851" i="2"/>
  <c r="F851" i="2"/>
  <c r="N850" i="2"/>
  <c r="K850" i="2"/>
  <c r="J850" i="2"/>
  <c r="L850" i="2" s="1"/>
  <c r="I850" i="2"/>
  <c r="F850" i="2"/>
  <c r="N849" i="2"/>
  <c r="L849" i="2"/>
  <c r="K849" i="2"/>
  <c r="J849" i="2"/>
  <c r="O849" i="2" s="1"/>
  <c r="I849" i="2"/>
  <c r="F849" i="2"/>
  <c r="N848" i="2"/>
  <c r="K848" i="2"/>
  <c r="J848" i="2"/>
  <c r="O848" i="2" s="1"/>
  <c r="F848" i="2"/>
  <c r="N847" i="2"/>
  <c r="K847" i="2"/>
  <c r="J847" i="2"/>
  <c r="F847" i="2"/>
  <c r="O846" i="2"/>
  <c r="N846" i="2"/>
  <c r="K846" i="2"/>
  <c r="J846" i="2"/>
  <c r="I846" i="2"/>
  <c r="F846" i="2"/>
  <c r="N845" i="2"/>
  <c r="L845" i="2"/>
  <c r="K845" i="2"/>
  <c r="J845" i="2"/>
  <c r="O845" i="2" s="1"/>
  <c r="F845" i="2"/>
  <c r="N844" i="2"/>
  <c r="K844" i="2"/>
  <c r="J844" i="2"/>
  <c r="F844" i="2"/>
  <c r="N843" i="2"/>
  <c r="K843" i="2"/>
  <c r="J843" i="2"/>
  <c r="L843" i="2" s="1"/>
  <c r="I843" i="2"/>
  <c r="F843" i="2"/>
  <c r="N842" i="2"/>
  <c r="L842" i="2"/>
  <c r="K842" i="2"/>
  <c r="J842" i="2"/>
  <c r="O842" i="2" s="1"/>
  <c r="I842" i="2"/>
  <c r="F842" i="2"/>
  <c r="N841" i="2"/>
  <c r="L841" i="2"/>
  <c r="K841" i="2"/>
  <c r="I841" i="2" s="1"/>
  <c r="J841" i="2"/>
  <c r="O841" i="2" s="1"/>
  <c r="F841" i="2"/>
  <c r="N840" i="2"/>
  <c r="K840" i="2"/>
  <c r="J840" i="2"/>
  <c r="I840" i="2" s="1"/>
  <c r="F840" i="2"/>
  <c r="N839" i="2"/>
  <c r="K839" i="2"/>
  <c r="J839" i="2"/>
  <c r="L839" i="2" s="1"/>
  <c r="I839" i="2"/>
  <c r="F839" i="2"/>
  <c r="N838" i="2"/>
  <c r="L838" i="2"/>
  <c r="K838" i="2"/>
  <c r="I838" i="2" s="1"/>
  <c r="J838" i="2"/>
  <c r="O838" i="2" s="1"/>
  <c r="F838" i="2"/>
  <c r="N837" i="2"/>
  <c r="L837" i="2"/>
  <c r="K837" i="2"/>
  <c r="I837" i="2" s="1"/>
  <c r="J837" i="2"/>
  <c r="O837" i="2" s="1"/>
  <c r="F837" i="2"/>
  <c r="N836" i="2"/>
  <c r="K836" i="2"/>
  <c r="J836" i="2"/>
  <c r="I836" i="2" s="1"/>
  <c r="F836" i="2"/>
  <c r="N835" i="2"/>
  <c r="K835" i="2"/>
  <c r="J835" i="2"/>
  <c r="L835" i="2" s="1"/>
  <c r="I835" i="2"/>
  <c r="F835" i="2"/>
  <c r="N834" i="2"/>
  <c r="L834" i="2"/>
  <c r="K834" i="2"/>
  <c r="J834" i="2"/>
  <c r="O834" i="2" s="1"/>
  <c r="I834" i="2"/>
  <c r="F834" i="2"/>
  <c r="N833" i="2"/>
  <c r="K833" i="2"/>
  <c r="J833" i="2"/>
  <c r="O833" i="2" s="1"/>
  <c r="F833" i="2"/>
  <c r="N832" i="2"/>
  <c r="K832" i="2"/>
  <c r="J832" i="2"/>
  <c r="I832" i="2" s="1"/>
  <c r="F832" i="2"/>
  <c r="N831" i="2"/>
  <c r="K831" i="2"/>
  <c r="J831" i="2"/>
  <c r="L831" i="2" s="1"/>
  <c r="I831" i="2"/>
  <c r="F831" i="2"/>
  <c r="N830" i="2"/>
  <c r="K830" i="2"/>
  <c r="I830" i="2" s="1"/>
  <c r="J830" i="2"/>
  <c r="O830" i="2" s="1"/>
  <c r="F830" i="2"/>
  <c r="N828" i="2"/>
  <c r="L828" i="2"/>
  <c r="K828" i="2"/>
  <c r="J828" i="2"/>
  <c r="O828" i="2" s="1"/>
  <c r="F828" i="2"/>
  <c r="H827" i="2"/>
  <c r="G827" i="2"/>
  <c r="E827" i="2"/>
  <c r="D827" i="2"/>
  <c r="N826" i="2"/>
  <c r="K826" i="2"/>
  <c r="J826" i="2"/>
  <c r="L826" i="2" s="1"/>
  <c r="I826" i="2"/>
  <c r="F826" i="2"/>
  <c r="N825" i="2"/>
  <c r="L825" i="2"/>
  <c r="K825" i="2"/>
  <c r="J825" i="2"/>
  <c r="O825" i="2" s="1"/>
  <c r="F825" i="2"/>
  <c r="F827" i="2" s="1"/>
  <c r="N824" i="2"/>
  <c r="L824" i="2"/>
  <c r="K824" i="2"/>
  <c r="J824" i="2"/>
  <c r="O824" i="2" s="1"/>
  <c r="F824" i="2"/>
  <c r="I824" i="2" s="1"/>
  <c r="N823" i="2"/>
  <c r="N827" i="2" s="1"/>
  <c r="K823" i="2"/>
  <c r="K827" i="2" s="1"/>
  <c r="J823" i="2"/>
  <c r="I823" i="2" s="1"/>
  <c r="F823" i="2"/>
  <c r="H822" i="2"/>
  <c r="G822" i="2"/>
  <c r="E822" i="2"/>
  <c r="D822" i="2"/>
  <c r="N821" i="2"/>
  <c r="L821" i="2"/>
  <c r="K821" i="2"/>
  <c r="J821" i="2"/>
  <c r="O821" i="2" s="1"/>
  <c r="I821" i="2"/>
  <c r="F821" i="2"/>
  <c r="N820" i="2"/>
  <c r="L820" i="2"/>
  <c r="K820" i="2"/>
  <c r="J820" i="2"/>
  <c r="O820" i="2" s="1"/>
  <c r="F820" i="2"/>
  <c r="N819" i="2"/>
  <c r="N822" i="2" s="1"/>
  <c r="K819" i="2"/>
  <c r="J819" i="2"/>
  <c r="F819" i="2"/>
  <c r="O818" i="2"/>
  <c r="N818" i="2"/>
  <c r="K818" i="2"/>
  <c r="J818" i="2"/>
  <c r="I818" i="2"/>
  <c r="F818" i="2"/>
  <c r="N817" i="2"/>
  <c r="L817" i="2"/>
  <c r="K817" i="2"/>
  <c r="J817" i="2"/>
  <c r="O817" i="2" s="1"/>
  <c r="F817" i="2"/>
  <c r="N816" i="2"/>
  <c r="K816" i="2"/>
  <c r="J816" i="2"/>
  <c r="I816" i="2" s="1"/>
  <c r="F816" i="2"/>
  <c r="N815" i="2"/>
  <c r="K815" i="2"/>
  <c r="J815" i="2"/>
  <c r="L815" i="2" s="1"/>
  <c r="I815" i="2"/>
  <c r="F815" i="2"/>
  <c r="H813" i="2"/>
  <c r="G813" i="2"/>
  <c r="K812" i="2"/>
  <c r="J812" i="2"/>
  <c r="N811" i="2"/>
  <c r="K811" i="2"/>
  <c r="J811" i="2"/>
  <c r="L811" i="2" s="1"/>
  <c r="I811" i="2"/>
  <c r="F811" i="2"/>
  <c r="N810" i="2"/>
  <c r="L810" i="2"/>
  <c r="K810" i="2"/>
  <c r="J810" i="2"/>
  <c r="O810" i="2" s="1"/>
  <c r="I810" i="2"/>
  <c r="F810" i="2"/>
  <c r="K809" i="2"/>
  <c r="J809" i="2"/>
  <c r="J813" i="2" s="1"/>
  <c r="I809" i="2"/>
  <c r="F809" i="2"/>
  <c r="N808" i="2"/>
  <c r="L808" i="2"/>
  <c r="K808" i="2"/>
  <c r="J808" i="2"/>
  <c r="O808" i="2" s="1"/>
  <c r="I808" i="2"/>
  <c r="F808" i="2"/>
  <c r="H807" i="2"/>
  <c r="G807" i="2"/>
  <c r="O806" i="2"/>
  <c r="N806" i="2"/>
  <c r="K806" i="2"/>
  <c r="J806" i="2"/>
  <c r="I806" i="2"/>
  <c r="F806" i="2"/>
  <c r="N805" i="2"/>
  <c r="L805" i="2"/>
  <c r="K805" i="2"/>
  <c r="J805" i="2"/>
  <c r="O805" i="2" s="1"/>
  <c r="I805" i="2"/>
  <c r="F805" i="2"/>
  <c r="N804" i="2"/>
  <c r="K804" i="2"/>
  <c r="K869" i="2" s="1"/>
  <c r="J804" i="2"/>
  <c r="F804" i="2"/>
  <c r="O803" i="2"/>
  <c r="N803" i="2"/>
  <c r="K803" i="2"/>
  <c r="J803" i="2"/>
  <c r="I803" i="2"/>
  <c r="F803" i="2"/>
  <c r="N802" i="2"/>
  <c r="K802" i="2"/>
  <c r="K867" i="2" s="1"/>
  <c r="K872" i="2" s="1"/>
  <c r="J802" i="2"/>
  <c r="F802" i="2"/>
  <c r="N801" i="2"/>
  <c r="K801" i="2"/>
  <c r="J801" i="2"/>
  <c r="O801" i="2" s="1"/>
  <c r="F801" i="2"/>
  <c r="N800" i="2"/>
  <c r="K800" i="2"/>
  <c r="J800" i="2"/>
  <c r="L800" i="2" s="1"/>
  <c r="I800" i="2"/>
  <c r="F800" i="2"/>
  <c r="J43" i="13" l="1"/>
  <c r="J48" i="13" s="1"/>
  <c r="F25" i="15"/>
  <c r="D24" i="15"/>
  <c r="E24" i="15" s="1"/>
  <c r="E22" i="15"/>
  <c r="E15" i="15"/>
  <c r="D18" i="15"/>
  <c r="K813" i="2"/>
  <c r="K877" i="2"/>
  <c r="K878" i="2" s="1"/>
  <c r="O812" i="2"/>
  <c r="J877" i="2"/>
  <c r="O804" i="2"/>
  <c r="J869" i="2"/>
  <c r="F807" i="2"/>
  <c r="L804" i="2"/>
  <c r="K807" i="2"/>
  <c r="O802" i="2"/>
  <c r="J867" i="2"/>
  <c r="I847" i="2"/>
  <c r="L848" i="2"/>
  <c r="I851" i="2"/>
  <c r="I844" i="2"/>
  <c r="I848" i="2"/>
  <c r="K858" i="2"/>
  <c r="L833" i="2"/>
  <c r="L830" i="2"/>
  <c r="I819" i="2"/>
  <c r="K822" i="2"/>
  <c r="K829" i="2" s="1"/>
  <c r="F822" i="2"/>
  <c r="F813" i="2"/>
  <c r="L812" i="2"/>
  <c r="L802" i="2"/>
  <c r="I802" i="2"/>
  <c r="I813" i="2"/>
  <c r="J827" i="2"/>
  <c r="L827" i="2" s="1"/>
  <c r="O836" i="2"/>
  <c r="O844" i="2"/>
  <c r="O855" i="2"/>
  <c r="O815" i="2"/>
  <c r="J822" i="2"/>
  <c r="I825" i="2"/>
  <c r="I827" i="2" s="1"/>
  <c r="O826" i="2"/>
  <c r="O831" i="2"/>
  <c r="O835" i="2"/>
  <c r="O839" i="2"/>
  <c r="O843" i="2"/>
  <c r="O850" i="2"/>
  <c r="O854" i="2"/>
  <c r="O816" i="2"/>
  <c r="O832" i="2"/>
  <c r="O840" i="2"/>
  <c r="O847" i="2"/>
  <c r="O851" i="2"/>
  <c r="J858" i="2"/>
  <c r="J807" i="2"/>
  <c r="O811" i="2"/>
  <c r="I804" i="2"/>
  <c r="I812" i="2"/>
  <c r="L816" i="2"/>
  <c r="I817" i="2"/>
  <c r="L819" i="2"/>
  <c r="I820" i="2"/>
  <c r="L823" i="2"/>
  <c r="I828" i="2"/>
  <c r="L832" i="2"/>
  <c r="I833" i="2"/>
  <c r="L836" i="2"/>
  <c r="L840" i="2"/>
  <c r="L844" i="2"/>
  <c r="I845" i="2"/>
  <c r="L847" i="2"/>
  <c r="L851" i="2"/>
  <c r="L855" i="2"/>
  <c r="O819" i="2"/>
  <c r="O823" i="2"/>
  <c r="O827" i="2" s="1"/>
  <c r="O800" i="2"/>
  <c r="O807" i="2" s="1"/>
  <c r="I801" i="2"/>
  <c r="O809" i="2"/>
  <c r="O813" i="2" s="1"/>
  <c r="I15" i="15" l="1"/>
  <c r="I18" i="15" s="1"/>
  <c r="I25" i="15" s="1"/>
  <c r="J65" i="13"/>
  <c r="J127" i="13" s="1"/>
  <c r="E18" i="15"/>
  <c r="D21" i="15"/>
  <c r="E21" i="15" s="1"/>
  <c r="E19" i="15"/>
  <c r="O877" i="2"/>
  <c r="O878" i="2" s="1"/>
  <c r="L877" i="2"/>
  <c r="J878" i="2"/>
  <c r="I878" i="2" s="1"/>
  <c r="I877" i="2"/>
  <c r="O869" i="2"/>
  <c r="L869" i="2"/>
  <c r="I869" i="2"/>
  <c r="O867" i="2"/>
  <c r="O872" i="2" s="1"/>
  <c r="I867" i="2"/>
  <c r="L867" i="2"/>
  <c r="J872" i="2"/>
  <c r="I872" i="2" s="1"/>
  <c r="I807" i="2"/>
  <c r="O858" i="2"/>
  <c r="I858" i="2"/>
  <c r="I822" i="2"/>
  <c r="O814" i="2"/>
  <c r="O822" i="2"/>
  <c r="O829" i="2" s="1"/>
  <c r="L822" i="2"/>
  <c r="J829" i="2"/>
  <c r="D25" i="15" l="1"/>
  <c r="E25" i="15" s="1"/>
  <c r="O879" i="2"/>
  <c r="O925" i="2" s="1"/>
  <c r="I829" i="2"/>
  <c r="O860" i="2"/>
  <c r="N792" i="2"/>
  <c r="L792" i="2"/>
  <c r="K792" i="2"/>
  <c r="J792" i="2"/>
  <c r="O792" i="2" s="1"/>
  <c r="I792" i="2"/>
  <c r="F792" i="2"/>
  <c r="N791" i="2"/>
  <c r="L791" i="2"/>
  <c r="K791" i="2"/>
  <c r="I791" i="2" s="1"/>
  <c r="J791" i="2"/>
  <c r="O791" i="2" s="1"/>
  <c r="F791" i="2"/>
  <c r="N790" i="2"/>
  <c r="K790" i="2"/>
  <c r="J790" i="2"/>
  <c r="I790" i="2" s="1"/>
  <c r="F790" i="2"/>
  <c r="N789" i="2"/>
  <c r="K789" i="2"/>
  <c r="J789" i="2"/>
  <c r="L789" i="2" s="1"/>
  <c r="I789" i="2"/>
  <c r="F789" i="2"/>
  <c r="N788" i="2"/>
  <c r="L788" i="2"/>
  <c r="K788" i="2"/>
  <c r="J788" i="2"/>
  <c r="O788" i="2" s="1"/>
  <c r="I788" i="2"/>
  <c r="F788" i="2"/>
  <c r="N787" i="2"/>
  <c r="L787" i="2"/>
  <c r="K787" i="2"/>
  <c r="I787" i="2" s="1"/>
  <c r="J787" i="2"/>
  <c r="O787" i="2" s="1"/>
  <c r="F787" i="2"/>
  <c r="N786" i="2"/>
  <c r="K786" i="2"/>
  <c r="J786" i="2"/>
  <c r="F786" i="2"/>
  <c r="N785" i="2"/>
  <c r="K785" i="2"/>
  <c r="J785" i="2"/>
  <c r="L785" i="2" s="1"/>
  <c r="I785" i="2"/>
  <c r="F785" i="2"/>
  <c r="N784" i="2"/>
  <c r="L784" i="2"/>
  <c r="K784" i="2"/>
  <c r="J784" i="2"/>
  <c r="O784" i="2" s="1"/>
  <c r="I784" i="2"/>
  <c r="F784" i="2"/>
  <c r="N783" i="2"/>
  <c r="K783" i="2"/>
  <c r="J783" i="2"/>
  <c r="O783" i="2" s="1"/>
  <c r="F783" i="2"/>
  <c r="N782" i="2"/>
  <c r="K782" i="2"/>
  <c r="J782" i="2"/>
  <c r="F782" i="2"/>
  <c r="O781" i="2"/>
  <c r="N781" i="2"/>
  <c r="K781" i="2"/>
  <c r="J781" i="2"/>
  <c r="I781" i="2"/>
  <c r="F781" i="2"/>
  <c r="N780" i="2"/>
  <c r="L780" i="2"/>
  <c r="K780" i="2"/>
  <c r="I780" i="2" s="1"/>
  <c r="J780" i="2"/>
  <c r="O780" i="2" s="1"/>
  <c r="F780" i="2"/>
  <c r="N779" i="2"/>
  <c r="K779" i="2"/>
  <c r="J779" i="2"/>
  <c r="I779" i="2" s="1"/>
  <c r="F779" i="2"/>
  <c r="N778" i="2"/>
  <c r="K778" i="2"/>
  <c r="J778" i="2"/>
  <c r="L778" i="2" s="1"/>
  <c r="I778" i="2"/>
  <c r="F778" i="2"/>
  <c r="N777" i="2"/>
  <c r="L777" i="2"/>
  <c r="K777" i="2"/>
  <c r="J777" i="2"/>
  <c r="O777" i="2" s="1"/>
  <c r="I777" i="2"/>
  <c r="F777" i="2"/>
  <c r="N776" i="2"/>
  <c r="L776" i="2"/>
  <c r="K776" i="2"/>
  <c r="I776" i="2" s="1"/>
  <c r="J776" i="2"/>
  <c r="O776" i="2" s="1"/>
  <c r="F776" i="2"/>
  <c r="N775" i="2"/>
  <c r="K775" i="2"/>
  <c r="J775" i="2"/>
  <c r="I775" i="2" s="1"/>
  <c r="F775" i="2"/>
  <c r="N774" i="2"/>
  <c r="K774" i="2"/>
  <c r="J774" i="2"/>
  <c r="L774" i="2" s="1"/>
  <c r="I774" i="2"/>
  <c r="F774" i="2"/>
  <c r="N773" i="2"/>
  <c r="K773" i="2"/>
  <c r="J773" i="2"/>
  <c r="O773" i="2" s="1"/>
  <c r="I773" i="2"/>
  <c r="F773" i="2"/>
  <c r="N772" i="2"/>
  <c r="L772" i="2"/>
  <c r="K772" i="2"/>
  <c r="I772" i="2" s="1"/>
  <c r="J772" i="2"/>
  <c r="O772" i="2" s="1"/>
  <c r="F772" i="2"/>
  <c r="N771" i="2"/>
  <c r="K771" i="2"/>
  <c r="J771" i="2"/>
  <c r="F771" i="2"/>
  <c r="N770" i="2"/>
  <c r="K770" i="2"/>
  <c r="J770" i="2"/>
  <c r="L770" i="2" s="1"/>
  <c r="I770" i="2"/>
  <c r="F770" i="2"/>
  <c r="N769" i="2"/>
  <c r="L769" i="2"/>
  <c r="K769" i="2"/>
  <c r="J769" i="2"/>
  <c r="O769" i="2" s="1"/>
  <c r="I769" i="2"/>
  <c r="F769" i="2"/>
  <c r="N768" i="2"/>
  <c r="K768" i="2"/>
  <c r="J768" i="2"/>
  <c r="O768" i="2" s="1"/>
  <c r="F768" i="2"/>
  <c r="N767" i="2"/>
  <c r="K767" i="2"/>
  <c r="J767" i="2"/>
  <c r="I767" i="2" s="1"/>
  <c r="F767" i="2"/>
  <c r="N766" i="2"/>
  <c r="K766" i="2"/>
  <c r="J766" i="2"/>
  <c r="L766" i="2" s="1"/>
  <c r="I766" i="2"/>
  <c r="F766" i="2"/>
  <c r="N765" i="2"/>
  <c r="K765" i="2"/>
  <c r="I765" i="2" s="1"/>
  <c r="J765" i="2"/>
  <c r="O765" i="2" s="1"/>
  <c r="F765" i="2"/>
  <c r="N763" i="2"/>
  <c r="L763" i="2"/>
  <c r="K763" i="2"/>
  <c r="I763" i="2" s="1"/>
  <c r="J763" i="2"/>
  <c r="O763" i="2" s="1"/>
  <c r="F763" i="2"/>
  <c r="H762" i="2"/>
  <c r="G762" i="2"/>
  <c r="E762" i="2"/>
  <c r="D762" i="2"/>
  <c r="N761" i="2"/>
  <c r="K761" i="2"/>
  <c r="J761" i="2"/>
  <c r="L761" i="2" s="1"/>
  <c r="I761" i="2"/>
  <c r="F761" i="2"/>
  <c r="N760" i="2"/>
  <c r="L760" i="2"/>
  <c r="K760" i="2"/>
  <c r="J760" i="2"/>
  <c r="O760" i="2" s="1"/>
  <c r="F760" i="2"/>
  <c r="F762" i="2" s="1"/>
  <c r="N759" i="2"/>
  <c r="L759" i="2"/>
  <c r="K759" i="2"/>
  <c r="J759" i="2"/>
  <c r="O759" i="2" s="1"/>
  <c r="F759" i="2"/>
  <c r="I759" i="2" s="1"/>
  <c r="N758" i="2"/>
  <c r="N762" i="2" s="1"/>
  <c r="K758" i="2"/>
  <c r="K762" i="2" s="1"/>
  <c r="J758" i="2"/>
  <c r="I758" i="2" s="1"/>
  <c r="F758" i="2"/>
  <c r="H757" i="2"/>
  <c r="G757" i="2"/>
  <c r="E757" i="2"/>
  <c r="D757" i="2"/>
  <c r="N756" i="2"/>
  <c r="L756" i="2"/>
  <c r="K756" i="2"/>
  <c r="J756" i="2"/>
  <c r="O756" i="2" s="1"/>
  <c r="I756" i="2"/>
  <c r="F756" i="2"/>
  <c r="N755" i="2"/>
  <c r="L755" i="2"/>
  <c r="K755" i="2"/>
  <c r="I755" i="2" s="1"/>
  <c r="J755" i="2"/>
  <c r="O755" i="2" s="1"/>
  <c r="F755" i="2"/>
  <c r="N754" i="2"/>
  <c r="N757" i="2" s="1"/>
  <c r="K754" i="2"/>
  <c r="J754" i="2"/>
  <c r="F754" i="2"/>
  <c r="O753" i="2"/>
  <c r="N753" i="2"/>
  <c r="K753" i="2"/>
  <c r="J753" i="2"/>
  <c r="I753" i="2"/>
  <c r="F753" i="2"/>
  <c r="N752" i="2"/>
  <c r="L752" i="2"/>
  <c r="K752" i="2"/>
  <c r="I752" i="2" s="1"/>
  <c r="J752" i="2"/>
  <c r="O752" i="2" s="1"/>
  <c r="F752" i="2"/>
  <c r="N751" i="2"/>
  <c r="K751" i="2"/>
  <c r="J751" i="2"/>
  <c r="I751" i="2" s="1"/>
  <c r="F751" i="2"/>
  <c r="N750" i="2"/>
  <c r="K750" i="2"/>
  <c r="J750" i="2"/>
  <c r="L750" i="2" s="1"/>
  <c r="I750" i="2"/>
  <c r="F750" i="2"/>
  <c r="H748" i="2"/>
  <c r="G748" i="2"/>
  <c r="K747" i="2"/>
  <c r="K748" i="2" s="1"/>
  <c r="J747" i="2"/>
  <c r="L747" i="2" s="1"/>
  <c r="N746" i="2"/>
  <c r="K746" i="2"/>
  <c r="J746" i="2"/>
  <c r="L746" i="2" s="1"/>
  <c r="I746" i="2"/>
  <c r="F746" i="2"/>
  <c r="N745" i="2"/>
  <c r="L745" i="2"/>
  <c r="K745" i="2"/>
  <c r="J745" i="2"/>
  <c r="O745" i="2" s="1"/>
  <c r="I745" i="2"/>
  <c r="F745" i="2"/>
  <c r="K744" i="2"/>
  <c r="J744" i="2"/>
  <c r="O744" i="2" s="1"/>
  <c r="I744" i="2"/>
  <c r="F744" i="2"/>
  <c r="N743" i="2"/>
  <c r="L743" i="2"/>
  <c r="K743" i="2"/>
  <c r="J743" i="2"/>
  <c r="I743" i="2"/>
  <c r="F743" i="2"/>
  <c r="H742" i="2"/>
  <c r="G742" i="2"/>
  <c r="O741" i="2"/>
  <c r="N741" i="2"/>
  <c r="K741" i="2"/>
  <c r="J741" i="2"/>
  <c r="I741" i="2"/>
  <c r="F741" i="2"/>
  <c r="N740" i="2"/>
  <c r="L740" i="2"/>
  <c r="K740" i="2"/>
  <c r="J740" i="2"/>
  <c r="O740" i="2" s="1"/>
  <c r="I740" i="2"/>
  <c r="F740" i="2"/>
  <c r="N739" i="2"/>
  <c r="L739" i="2"/>
  <c r="K739" i="2"/>
  <c r="I739" i="2" s="1"/>
  <c r="J739" i="2"/>
  <c r="O739" i="2" s="1"/>
  <c r="F739" i="2"/>
  <c r="O738" i="2"/>
  <c r="N738" i="2"/>
  <c r="K738" i="2"/>
  <c r="J738" i="2"/>
  <c r="I738" i="2"/>
  <c r="F738" i="2"/>
  <c r="N737" i="2"/>
  <c r="K737" i="2"/>
  <c r="J737" i="2"/>
  <c r="O737" i="2" s="1"/>
  <c r="F737" i="2"/>
  <c r="F742" i="2" s="1"/>
  <c r="N736" i="2"/>
  <c r="K736" i="2"/>
  <c r="J736" i="2"/>
  <c r="O736" i="2" s="1"/>
  <c r="F736" i="2"/>
  <c r="N735" i="2"/>
  <c r="K735" i="2"/>
  <c r="K742" i="2" s="1"/>
  <c r="J735" i="2"/>
  <c r="L735" i="2" s="1"/>
  <c r="I735" i="2"/>
  <c r="F735" i="2"/>
  <c r="O747" i="2" l="1"/>
  <c r="I737" i="2"/>
  <c r="I786" i="2"/>
  <c r="I768" i="2"/>
  <c r="L768" i="2"/>
  <c r="K793" i="2"/>
  <c r="I782" i="2"/>
  <c r="L783" i="2"/>
  <c r="I783" i="2"/>
  <c r="L773" i="2"/>
  <c r="I771" i="2"/>
  <c r="L765" i="2"/>
  <c r="F757" i="2"/>
  <c r="I754" i="2"/>
  <c r="I757" i="2" s="1"/>
  <c r="K757" i="2"/>
  <c r="K764" i="2" s="1"/>
  <c r="F748" i="2"/>
  <c r="J748" i="2"/>
  <c r="I748" i="2" s="1"/>
  <c r="L737" i="2"/>
  <c r="O754" i="2"/>
  <c r="O779" i="2"/>
  <c r="O790" i="2"/>
  <c r="J793" i="2"/>
  <c r="O735" i="2"/>
  <c r="O742" i="2" s="1"/>
  <c r="O746" i="2"/>
  <c r="O750" i="2"/>
  <c r="J757" i="2"/>
  <c r="O766" i="2"/>
  <c r="O770" i="2"/>
  <c r="J762" i="2"/>
  <c r="L762" i="2" s="1"/>
  <c r="O771" i="2"/>
  <c r="I760" i="2"/>
  <c r="I762" i="2" s="1"/>
  <c r="O785" i="2"/>
  <c r="I747" i="2"/>
  <c r="L751" i="2"/>
  <c r="L754" i="2"/>
  <c r="L758" i="2"/>
  <c r="L767" i="2"/>
  <c r="L771" i="2"/>
  <c r="L775" i="2"/>
  <c r="L779" i="2"/>
  <c r="L782" i="2"/>
  <c r="L786" i="2"/>
  <c r="L790" i="2"/>
  <c r="O751" i="2"/>
  <c r="O758" i="2"/>
  <c r="O767" i="2"/>
  <c r="O775" i="2"/>
  <c r="O782" i="2"/>
  <c r="O786" i="2"/>
  <c r="J742" i="2"/>
  <c r="I742" i="2" s="1"/>
  <c r="O761" i="2"/>
  <c r="O774" i="2"/>
  <c r="O778" i="2"/>
  <c r="O789" i="2"/>
  <c r="O743" i="2"/>
  <c r="O748" i="2" s="1"/>
  <c r="I736" i="2"/>
  <c r="I793" i="2" l="1"/>
  <c r="O793" i="2"/>
  <c r="L757" i="2"/>
  <c r="J764" i="2"/>
  <c r="I764" i="2" s="1"/>
  <c r="O749" i="2"/>
  <c r="O762" i="2"/>
  <c r="O764" i="2" s="1"/>
  <c r="O757" i="2"/>
  <c r="O795" i="2" l="1"/>
  <c r="N727" i="2" l="1"/>
  <c r="L727" i="2"/>
  <c r="K727" i="2"/>
  <c r="J727" i="2"/>
  <c r="O727" i="2" s="1"/>
  <c r="F727" i="2"/>
  <c r="N726" i="2"/>
  <c r="K726" i="2"/>
  <c r="I726" i="2" s="1"/>
  <c r="J726" i="2"/>
  <c r="O726" i="2" s="1"/>
  <c r="F726" i="2"/>
  <c r="N725" i="2"/>
  <c r="K725" i="2"/>
  <c r="J725" i="2"/>
  <c r="I725" i="2" s="1"/>
  <c r="F725" i="2"/>
  <c r="N724" i="2"/>
  <c r="K724" i="2"/>
  <c r="J724" i="2"/>
  <c r="L724" i="2" s="1"/>
  <c r="I724" i="2"/>
  <c r="F724" i="2"/>
  <c r="N723" i="2"/>
  <c r="L723" i="2"/>
  <c r="K723" i="2"/>
  <c r="J723" i="2"/>
  <c r="O723" i="2" s="1"/>
  <c r="F723" i="2"/>
  <c r="N722" i="2"/>
  <c r="K722" i="2"/>
  <c r="J722" i="2"/>
  <c r="O722" i="2" s="1"/>
  <c r="F722" i="2"/>
  <c r="N721" i="2"/>
  <c r="K721" i="2"/>
  <c r="J721" i="2"/>
  <c r="F721" i="2"/>
  <c r="N720" i="2"/>
  <c r="K720" i="2"/>
  <c r="J720" i="2"/>
  <c r="L720" i="2" s="1"/>
  <c r="I720" i="2"/>
  <c r="F720" i="2"/>
  <c r="N719" i="2"/>
  <c r="L719" i="2"/>
  <c r="K719" i="2"/>
  <c r="J719" i="2"/>
  <c r="O719" i="2" s="1"/>
  <c r="F719" i="2"/>
  <c r="N718" i="2"/>
  <c r="K718" i="2"/>
  <c r="J718" i="2"/>
  <c r="O718" i="2" s="1"/>
  <c r="F718" i="2"/>
  <c r="N717" i="2"/>
  <c r="K717" i="2"/>
  <c r="J717" i="2"/>
  <c r="I717" i="2" s="1"/>
  <c r="F717" i="2"/>
  <c r="N716" i="2"/>
  <c r="K716" i="2"/>
  <c r="J716" i="2"/>
  <c r="O716" i="2" s="1"/>
  <c r="F716" i="2"/>
  <c r="N715" i="2"/>
  <c r="K715" i="2"/>
  <c r="J715" i="2"/>
  <c r="O715" i="2" s="1"/>
  <c r="F715" i="2"/>
  <c r="N714" i="2"/>
  <c r="K714" i="2"/>
  <c r="J714" i="2"/>
  <c r="I714" i="2" s="1"/>
  <c r="F714" i="2"/>
  <c r="N713" i="2"/>
  <c r="L713" i="2"/>
  <c r="K713" i="2"/>
  <c r="J713" i="2"/>
  <c r="O713" i="2" s="1"/>
  <c r="I713" i="2"/>
  <c r="F713" i="2"/>
  <c r="N712" i="2"/>
  <c r="L712" i="2"/>
  <c r="K712" i="2"/>
  <c r="J712" i="2"/>
  <c r="O712" i="2" s="1"/>
  <c r="F712" i="2"/>
  <c r="N711" i="2"/>
  <c r="K711" i="2"/>
  <c r="J711" i="2"/>
  <c r="O711" i="2" s="1"/>
  <c r="F711" i="2"/>
  <c r="N710" i="2"/>
  <c r="K710" i="2"/>
  <c r="J710" i="2"/>
  <c r="F710" i="2"/>
  <c r="N709" i="2"/>
  <c r="L709" i="2"/>
  <c r="K709" i="2"/>
  <c r="J709" i="2"/>
  <c r="O709" i="2" s="1"/>
  <c r="I709" i="2"/>
  <c r="F709" i="2"/>
  <c r="N708" i="2"/>
  <c r="L708" i="2"/>
  <c r="K708" i="2"/>
  <c r="J708" i="2"/>
  <c r="O708" i="2" s="1"/>
  <c r="F708" i="2"/>
  <c r="N707" i="2"/>
  <c r="K707" i="2"/>
  <c r="J707" i="2"/>
  <c r="O707" i="2" s="1"/>
  <c r="F707" i="2"/>
  <c r="N706" i="2"/>
  <c r="K706" i="2"/>
  <c r="J706" i="2"/>
  <c r="F706" i="2"/>
  <c r="N705" i="2"/>
  <c r="L705" i="2"/>
  <c r="K705" i="2"/>
  <c r="J705" i="2"/>
  <c r="O705" i="2" s="1"/>
  <c r="I705" i="2"/>
  <c r="F705" i="2"/>
  <c r="N704" i="2"/>
  <c r="L704" i="2"/>
  <c r="K704" i="2"/>
  <c r="J704" i="2"/>
  <c r="O704" i="2" s="1"/>
  <c r="F704" i="2"/>
  <c r="N703" i="2"/>
  <c r="K703" i="2"/>
  <c r="J703" i="2"/>
  <c r="O703" i="2" s="1"/>
  <c r="F703" i="2"/>
  <c r="N702" i="2"/>
  <c r="K702" i="2"/>
  <c r="J702" i="2"/>
  <c r="I702" i="2" s="1"/>
  <c r="F702" i="2"/>
  <c r="N701" i="2"/>
  <c r="L701" i="2"/>
  <c r="K701" i="2"/>
  <c r="I701" i="2" s="1"/>
  <c r="J701" i="2"/>
  <c r="O701" i="2" s="1"/>
  <c r="F701" i="2"/>
  <c r="N700" i="2"/>
  <c r="K700" i="2"/>
  <c r="J700" i="2"/>
  <c r="O700" i="2" s="1"/>
  <c r="F700" i="2"/>
  <c r="N698" i="2"/>
  <c r="K698" i="2"/>
  <c r="J698" i="2"/>
  <c r="O698" i="2" s="1"/>
  <c r="F698" i="2"/>
  <c r="H697" i="2"/>
  <c r="G697" i="2"/>
  <c r="E697" i="2"/>
  <c r="D697" i="2"/>
  <c r="N696" i="2"/>
  <c r="L696" i="2"/>
  <c r="K696" i="2"/>
  <c r="J696" i="2"/>
  <c r="O696" i="2" s="1"/>
  <c r="I696" i="2"/>
  <c r="F696" i="2"/>
  <c r="N695" i="2"/>
  <c r="L695" i="2"/>
  <c r="K695" i="2"/>
  <c r="J695" i="2"/>
  <c r="O695" i="2" s="1"/>
  <c r="F695" i="2"/>
  <c r="I695" i="2" s="1"/>
  <c r="N694" i="2"/>
  <c r="K694" i="2"/>
  <c r="J694" i="2"/>
  <c r="O694" i="2" s="1"/>
  <c r="I694" i="2"/>
  <c r="F694" i="2"/>
  <c r="N693" i="2"/>
  <c r="N697" i="2" s="1"/>
  <c r="K693" i="2"/>
  <c r="K697" i="2" s="1"/>
  <c r="J693" i="2"/>
  <c r="I693" i="2" s="1"/>
  <c r="I697" i="2" s="1"/>
  <c r="F693" i="2"/>
  <c r="H692" i="2"/>
  <c r="G692" i="2"/>
  <c r="E692" i="2"/>
  <c r="D692" i="2"/>
  <c r="N691" i="2"/>
  <c r="L691" i="2"/>
  <c r="K691" i="2"/>
  <c r="J691" i="2"/>
  <c r="O691" i="2" s="1"/>
  <c r="F691" i="2"/>
  <c r="N690" i="2"/>
  <c r="K690" i="2"/>
  <c r="J690" i="2"/>
  <c r="O690" i="2" s="1"/>
  <c r="F690" i="2"/>
  <c r="N689" i="2"/>
  <c r="N692" i="2" s="1"/>
  <c r="K689" i="2"/>
  <c r="J689" i="2"/>
  <c r="F689" i="2"/>
  <c r="N688" i="2"/>
  <c r="K688" i="2"/>
  <c r="J688" i="2"/>
  <c r="O688" i="2" s="1"/>
  <c r="F688" i="2"/>
  <c r="N687" i="2"/>
  <c r="K687" i="2"/>
  <c r="J687" i="2"/>
  <c r="O687" i="2" s="1"/>
  <c r="F687" i="2"/>
  <c r="N686" i="2"/>
  <c r="K686" i="2"/>
  <c r="J686" i="2"/>
  <c r="I686" i="2" s="1"/>
  <c r="F686" i="2"/>
  <c r="N685" i="2"/>
  <c r="L685" i="2"/>
  <c r="K685" i="2"/>
  <c r="J685" i="2"/>
  <c r="I685" i="2"/>
  <c r="F685" i="2"/>
  <c r="H683" i="2"/>
  <c r="G683" i="2"/>
  <c r="K682" i="2"/>
  <c r="K683" i="2" s="1"/>
  <c r="J682" i="2"/>
  <c r="J683" i="2" s="1"/>
  <c r="N681" i="2"/>
  <c r="L681" i="2"/>
  <c r="K681" i="2"/>
  <c r="J681" i="2"/>
  <c r="O681" i="2" s="1"/>
  <c r="I681" i="2"/>
  <c r="F681" i="2"/>
  <c r="N680" i="2"/>
  <c r="L680" i="2"/>
  <c r="K680" i="2"/>
  <c r="J680" i="2"/>
  <c r="O680" i="2" s="1"/>
  <c r="F680" i="2"/>
  <c r="O679" i="2"/>
  <c r="K679" i="2"/>
  <c r="J679" i="2"/>
  <c r="I679" i="2"/>
  <c r="F679" i="2"/>
  <c r="N678" i="2"/>
  <c r="L678" i="2"/>
  <c r="K678" i="2"/>
  <c r="J678" i="2"/>
  <c r="O678" i="2" s="1"/>
  <c r="F678" i="2"/>
  <c r="H677" i="2"/>
  <c r="G677" i="2"/>
  <c r="O676" i="2"/>
  <c r="N676" i="2"/>
  <c r="K676" i="2"/>
  <c r="J676" i="2"/>
  <c r="I676" i="2"/>
  <c r="F676" i="2"/>
  <c r="N675" i="2"/>
  <c r="L675" i="2"/>
  <c r="K675" i="2"/>
  <c r="J675" i="2"/>
  <c r="O675" i="2" s="1"/>
  <c r="F675" i="2"/>
  <c r="N674" i="2"/>
  <c r="K674" i="2"/>
  <c r="J674" i="2"/>
  <c r="O674" i="2" s="1"/>
  <c r="F674" i="2"/>
  <c r="O673" i="2"/>
  <c r="N673" i="2"/>
  <c r="K673" i="2"/>
  <c r="J673" i="2"/>
  <c r="I673" i="2"/>
  <c r="F673" i="2"/>
  <c r="N672" i="2"/>
  <c r="K672" i="2"/>
  <c r="J672" i="2"/>
  <c r="O672" i="2" s="1"/>
  <c r="F672" i="2"/>
  <c r="N671" i="2"/>
  <c r="K671" i="2"/>
  <c r="J671" i="2"/>
  <c r="O671" i="2" s="1"/>
  <c r="F671" i="2"/>
  <c r="N670" i="2"/>
  <c r="L670" i="2"/>
  <c r="K670" i="2"/>
  <c r="J670" i="2"/>
  <c r="J677" i="2" s="1"/>
  <c r="I670" i="2"/>
  <c r="F670" i="2"/>
  <c r="F677" i="2" s="1"/>
  <c r="I721" i="2" l="1"/>
  <c r="K728" i="2"/>
  <c r="I706" i="2"/>
  <c r="F683" i="2"/>
  <c r="L672" i="2"/>
  <c r="I710" i="2"/>
  <c r="L700" i="2"/>
  <c r="K692" i="2"/>
  <c r="K699" i="2" s="1"/>
  <c r="I689" i="2"/>
  <c r="J692" i="2"/>
  <c r="F692" i="2"/>
  <c r="K677" i="2"/>
  <c r="I677" i="2" s="1"/>
  <c r="L692" i="2"/>
  <c r="I683" i="2"/>
  <c r="O686" i="2"/>
  <c r="F697" i="2"/>
  <c r="O702" i="2"/>
  <c r="O706" i="2"/>
  <c r="O710" i="2"/>
  <c r="O721" i="2"/>
  <c r="O725" i="2"/>
  <c r="J728" i="2"/>
  <c r="O670" i="2"/>
  <c r="O677" i="2" s="1"/>
  <c r="I672" i="2"/>
  <c r="L674" i="2"/>
  <c r="I675" i="2"/>
  <c r="I678" i="2"/>
  <c r="I680" i="2"/>
  <c r="L682" i="2"/>
  <c r="O685" i="2"/>
  <c r="L687" i="2"/>
  <c r="I688" i="2"/>
  <c r="L690" i="2"/>
  <c r="I691" i="2"/>
  <c r="L694" i="2"/>
  <c r="L698" i="2"/>
  <c r="I700" i="2"/>
  <c r="L703" i="2"/>
  <c r="I704" i="2"/>
  <c r="L707" i="2"/>
  <c r="I708" i="2"/>
  <c r="L711" i="2"/>
  <c r="I712" i="2"/>
  <c r="L715" i="2"/>
  <c r="I716" i="2"/>
  <c r="L718" i="2"/>
  <c r="I719" i="2"/>
  <c r="O720" i="2"/>
  <c r="L722" i="2"/>
  <c r="I723" i="2"/>
  <c r="O724" i="2"/>
  <c r="L726" i="2"/>
  <c r="I727" i="2"/>
  <c r="I674" i="2"/>
  <c r="I682" i="2"/>
  <c r="O682" i="2"/>
  <c r="O683" i="2" s="1"/>
  <c r="L686" i="2"/>
  <c r="I687" i="2"/>
  <c r="L689" i="2"/>
  <c r="I690" i="2"/>
  <c r="I692" i="2" s="1"/>
  <c r="L693" i="2"/>
  <c r="I698" i="2"/>
  <c r="L702" i="2"/>
  <c r="I703" i="2"/>
  <c r="L706" i="2"/>
  <c r="I707" i="2"/>
  <c r="L710" i="2"/>
  <c r="I711" i="2"/>
  <c r="L714" i="2"/>
  <c r="I715" i="2"/>
  <c r="L717" i="2"/>
  <c r="I718" i="2"/>
  <c r="L721" i="2"/>
  <c r="I722" i="2"/>
  <c r="L725" i="2"/>
  <c r="O689" i="2"/>
  <c r="O693" i="2"/>
  <c r="O697" i="2" s="1"/>
  <c r="J697" i="2"/>
  <c r="L697" i="2" s="1"/>
  <c r="O714" i="2"/>
  <c r="O717" i="2"/>
  <c r="I671" i="2"/>
  <c r="N662" i="2"/>
  <c r="K662" i="2"/>
  <c r="J662" i="2"/>
  <c r="O662" i="2" s="1"/>
  <c r="F662" i="2"/>
  <c r="N661" i="2"/>
  <c r="K661" i="2"/>
  <c r="J661" i="2"/>
  <c r="L661" i="2" s="1"/>
  <c r="I661" i="2"/>
  <c r="F661" i="2"/>
  <c r="N660" i="2"/>
  <c r="L660" i="2"/>
  <c r="K660" i="2"/>
  <c r="J660" i="2"/>
  <c r="O660" i="2" s="1"/>
  <c r="I660" i="2"/>
  <c r="F660" i="2"/>
  <c r="N659" i="2"/>
  <c r="L659" i="2"/>
  <c r="K659" i="2"/>
  <c r="J659" i="2"/>
  <c r="O659" i="2" s="1"/>
  <c r="F659" i="2"/>
  <c r="N658" i="2"/>
  <c r="K658" i="2"/>
  <c r="J658" i="2"/>
  <c r="O658" i="2" s="1"/>
  <c r="F658" i="2"/>
  <c r="N657" i="2"/>
  <c r="K657" i="2"/>
  <c r="J657" i="2"/>
  <c r="L657" i="2" s="1"/>
  <c r="I657" i="2"/>
  <c r="F657" i="2"/>
  <c r="N656" i="2"/>
  <c r="K656" i="2"/>
  <c r="J656" i="2"/>
  <c r="O656" i="2" s="1"/>
  <c r="F656" i="2"/>
  <c r="N655" i="2"/>
  <c r="K655" i="2"/>
  <c r="J655" i="2"/>
  <c r="O655" i="2" s="1"/>
  <c r="F655" i="2"/>
  <c r="N654" i="2"/>
  <c r="K654" i="2"/>
  <c r="J654" i="2"/>
  <c r="O654" i="2" s="1"/>
  <c r="F654" i="2"/>
  <c r="N653" i="2"/>
  <c r="K653" i="2"/>
  <c r="J653" i="2"/>
  <c r="L653" i="2" s="1"/>
  <c r="I653" i="2"/>
  <c r="F653" i="2"/>
  <c r="N652" i="2"/>
  <c r="K652" i="2"/>
  <c r="J652" i="2"/>
  <c r="O652" i="2" s="1"/>
  <c r="F652" i="2"/>
  <c r="N651" i="2"/>
  <c r="K651" i="2"/>
  <c r="J651" i="2"/>
  <c r="O651" i="2" s="1"/>
  <c r="F651" i="2"/>
  <c r="N650" i="2"/>
  <c r="K650" i="2"/>
  <c r="J650" i="2"/>
  <c r="L650" i="2" s="1"/>
  <c r="I650" i="2"/>
  <c r="F650" i="2"/>
  <c r="N649" i="2"/>
  <c r="K649" i="2"/>
  <c r="J649" i="2"/>
  <c r="O649" i="2" s="1"/>
  <c r="F649" i="2"/>
  <c r="N648" i="2"/>
  <c r="L648" i="2"/>
  <c r="K648" i="2"/>
  <c r="J648" i="2"/>
  <c r="O648" i="2" s="1"/>
  <c r="F648" i="2"/>
  <c r="N647" i="2"/>
  <c r="K647" i="2"/>
  <c r="J647" i="2"/>
  <c r="O647" i="2" s="1"/>
  <c r="F647" i="2"/>
  <c r="N646" i="2"/>
  <c r="K646" i="2"/>
  <c r="J646" i="2"/>
  <c r="L646" i="2" s="1"/>
  <c r="I646" i="2"/>
  <c r="F646" i="2"/>
  <c r="N645" i="2"/>
  <c r="K645" i="2"/>
  <c r="J645" i="2"/>
  <c r="O645" i="2" s="1"/>
  <c r="F645" i="2"/>
  <c r="N644" i="2"/>
  <c r="L644" i="2"/>
  <c r="K644" i="2"/>
  <c r="J644" i="2"/>
  <c r="O644" i="2" s="1"/>
  <c r="F644" i="2"/>
  <c r="N643" i="2"/>
  <c r="K643" i="2"/>
  <c r="J643" i="2"/>
  <c r="O643" i="2" s="1"/>
  <c r="F643" i="2"/>
  <c r="N642" i="2"/>
  <c r="K642" i="2"/>
  <c r="J642" i="2"/>
  <c r="L642" i="2" s="1"/>
  <c r="I642" i="2"/>
  <c r="F642" i="2"/>
  <c r="N641" i="2"/>
  <c r="K641" i="2"/>
  <c r="J641" i="2"/>
  <c r="O641" i="2" s="1"/>
  <c r="F641" i="2"/>
  <c r="N640" i="2"/>
  <c r="L640" i="2"/>
  <c r="K640" i="2"/>
  <c r="J640" i="2"/>
  <c r="O640" i="2" s="1"/>
  <c r="F640" i="2"/>
  <c r="N639" i="2"/>
  <c r="K639" i="2"/>
  <c r="J639" i="2"/>
  <c r="O639" i="2" s="1"/>
  <c r="F639" i="2"/>
  <c r="N638" i="2"/>
  <c r="K638" i="2"/>
  <c r="J638" i="2"/>
  <c r="L638" i="2" s="1"/>
  <c r="F638" i="2"/>
  <c r="N637" i="2"/>
  <c r="L637" i="2"/>
  <c r="K637" i="2"/>
  <c r="J637" i="2"/>
  <c r="O637" i="2" s="1"/>
  <c r="I637" i="2"/>
  <c r="F637" i="2"/>
  <c r="N636" i="2"/>
  <c r="K636" i="2"/>
  <c r="J636" i="2"/>
  <c r="O636" i="2" s="1"/>
  <c r="F636" i="2"/>
  <c r="N635" i="2"/>
  <c r="K635" i="2"/>
  <c r="J635" i="2"/>
  <c r="F635" i="2"/>
  <c r="N633" i="2"/>
  <c r="K633" i="2"/>
  <c r="J633" i="2"/>
  <c r="L633" i="2" s="1"/>
  <c r="I633" i="2"/>
  <c r="F633" i="2"/>
  <c r="H632" i="2"/>
  <c r="G632" i="2"/>
  <c r="E632" i="2"/>
  <c r="D632" i="2"/>
  <c r="N631" i="2"/>
  <c r="L631" i="2"/>
  <c r="K631" i="2"/>
  <c r="J631" i="2"/>
  <c r="O631" i="2" s="1"/>
  <c r="F631" i="2"/>
  <c r="I631" i="2" s="1"/>
  <c r="N630" i="2"/>
  <c r="K630" i="2"/>
  <c r="J630" i="2"/>
  <c r="O630" i="2" s="1"/>
  <c r="I630" i="2"/>
  <c r="F630" i="2"/>
  <c r="N629" i="2"/>
  <c r="K629" i="2"/>
  <c r="J629" i="2"/>
  <c r="L629" i="2" s="1"/>
  <c r="I629" i="2"/>
  <c r="F629" i="2"/>
  <c r="N628" i="2"/>
  <c r="N632" i="2" s="1"/>
  <c r="L628" i="2"/>
  <c r="K628" i="2"/>
  <c r="K632" i="2" s="1"/>
  <c r="J628" i="2"/>
  <c r="J632" i="2" s="1"/>
  <c r="L632" i="2" s="1"/>
  <c r="I628" i="2"/>
  <c r="I632" i="2" s="1"/>
  <c r="F628" i="2"/>
  <c r="F632" i="2" s="1"/>
  <c r="H627" i="2"/>
  <c r="G627" i="2"/>
  <c r="E627" i="2"/>
  <c r="D627" i="2"/>
  <c r="N626" i="2"/>
  <c r="K626" i="2"/>
  <c r="J626" i="2"/>
  <c r="O626" i="2" s="1"/>
  <c r="F626" i="2"/>
  <c r="N625" i="2"/>
  <c r="K625" i="2"/>
  <c r="J625" i="2"/>
  <c r="L625" i="2" s="1"/>
  <c r="I625" i="2"/>
  <c r="F625" i="2"/>
  <c r="N624" i="2"/>
  <c r="N627" i="2" s="1"/>
  <c r="K624" i="2"/>
  <c r="J624" i="2"/>
  <c r="O624" i="2" s="1"/>
  <c r="I624" i="2"/>
  <c r="F624" i="2"/>
  <c r="N623" i="2"/>
  <c r="K623" i="2"/>
  <c r="J623" i="2"/>
  <c r="O623" i="2" s="1"/>
  <c r="F623" i="2"/>
  <c r="N622" i="2"/>
  <c r="K622" i="2"/>
  <c r="J622" i="2"/>
  <c r="L622" i="2" s="1"/>
  <c r="I622" i="2"/>
  <c r="F622" i="2"/>
  <c r="N621" i="2"/>
  <c r="L621" i="2"/>
  <c r="K621" i="2"/>
  <c r="J621" i="2"/>
  <c r="O621" i="2" s="1"/>
  <c r="I621" i="2"/>
  <c r="F621" i="2"/>
  <c r="N620" i="2"/>
  <c r="L620" i="2"/>
  <c r="K620" i="2"/>
  <c r="K627" i="2" s="1"/>
  <c r="K634" i="2" s="1"/>
  <c r="J620" i="2"/>
  <c r="J627" i="2" s="1"/>
  <c r="F620" i="2"/>
  <c r="F627" i="2" s="1"/>
  <c r="H618" i="2"/>
  <c r="G618" i="2"/>
  <c r="F618" i="2" s="1"/>
  <c r="K617" i="2"/>
  <c r="J617" i="2"/>
  <c r="L617" i="2" s="1"/>
  <c r="N616" i="2"/>
  <c r="L616" i="2"/>
  <c r="K616" i="2"/>
  <c r="J616" i="2"/>
  <c r="O616" i="2" s="1"/>
  <c r="F616" i="2"/>
  <c r="N615" i="2"/>
  <c r="K615" i="2"/>
  <c r="J615" i="2"/>
  <c r="O615" i="2" s="1"/>
  <c r="F615" i="2"/>
  <c r="O614" i="2"/>
  <c r="K614" i="2"/>
  <c r="J614" i="2"/>
  <c r="I614" i="2" s="1"/>
  <c r="F614" i="2"/>
  <c r="N613" i="2"/>
  <c r="K613" i="2"/>
  <c r="K618" i="2" s="1"/>
  <c r="J613" i="2"/>
  <c r="O613" i="2" s="1"/>
  <c r="F613" i="2"/>
  <c r="H612" i="2"/>
  <c r="G612" i="2"/>
  <c r="N611" i="2"/>
  <c r="K611" i="2"/>
  <c r="J611" i="2"/>
  <c r="O611" i="2" s="1"/>
  <c r="F611" i="2"/>
  <c r="N610" i="2"/>
  <c r="K610" i="2"/>
  <c r="J610" i="2"/>
  <c r="I610" i="2" s="1"/>
  <c r="F610" i="2"/>
  <c r="N609" i="2"/>
  <c r="K609" i="2"/>
  <c r="J609" i="2"/>
  <c r="L609" i="2" s="1"/>
  <c r="I609" i="2"/>
  <c r="F609" i="2"/>
  <c r="N608" i="2"/>
  <c r="K608" i="2"/>
  <c r="J608" i="2"/>
  <c r="O608" i="2" s="1"/>
  <c r="F608" i="2"/>
  <c r="N607" i="2"/>
  <c r="K607" i="2"/>
  <c r="J607" i="2"/>
  <c r="F607" i="2"/>
  <c r="O606" i="2"/>
  <c r="N606" i="2"/>
  <c r="K606" i="2"/>
  <c r="J606" i="2"/>
  <c r="I606" i="2"/>
  <c r="F606" i="2"/>
  <c r="N605" i="2"/>
  <c r="L605" i="2"/>
  <c r="K605" i="2"/>
  <c r="J605" i="2"/>
  <c r="F605" i="2"/>
  <c r="I728" i="2" l="1"/>
  <c r="O728" i="2"/>
  <c r="O692" i="2"/>
  <c r="O699" i="2" s="1"/>
  <c r="J699" i="2"/>
  <c r="I699" i="2" s="1"/>
  <c r="O684" i="2"/>
  <c r="O617" i="2"/>
  <c r="O618" i="2"/>
  <c r="I617" i="2"/>
  <c r="L624" i="2"/>
  <c r="I652" i="2"/>
  <c r="L652" i="2"/>
  <c r="L645" i="2"/>
  <c r="I645" i="2"/>
  <c r="K663" i="2"/>
  <c r="L641" i="2"/>
  <c r="I641" i="2"/>
  <c r="L636" i="2"/>
  <c r="I635" i="2"/>
  <c r="L656" i="2"/>
  <c r="I656" i="2"/>
  <c r="L655" i="2"/>
  <c r="L649" i="2"/>
  <c r="I649" i="2"/>
  <c r="I638" i="2"/>
  <c r="K612" i="2"/>
  <c r="F612" i="2"/>
  <c r="I607" i="2"/>
  <c r="J612" i="2"/>
  <c r="J634" i="2"/>
  <c r="I634" i="2" s="1"/>
  <c r="L627" i="2"/>
  <c r="O607" i="2"/>
  <c r="O610" i="2"/>
  <c r="O635" i="2"/>
  <c r="O609" i="2"/>
  <c r="O625" i="2"/>
  <c r="I605" i="2"/>
  <c r="L607" i="2"/>
  <c r="I608" i="2"/>
  <c r="L610" i="2"/>
  <c r="I611" i="2"/>
  <c r="L613" i="2"/>
  <c r="L615" i="2"/>
  <c r="I616" i="2"/>
  <c r="I620" i="2"/>
  <c r="L626" i="2"/>
  <c r="O628" i="2"/>
  <c r="O632" i="2" s="1"/>
  <c r="L630" i="2"/>
  <c r="L635" i="2"/>
  <c r="I636" i="2"/>
  <c r="L639" i="2"/>
  <c r="I640" i="2"/>
  <c r="L643" i="2"/>
  <c r="I644" i="2"/>
  <c r="L647" i="2"/>
  <c r="I648" i="2"/>
  <c r="L654" i="2"/>
  <c r="I655" i="2"/>
  <c r="L658" i="2"/>
  <c r="I659" i="2"/>
  <c r="L662" i="2"/>
  <c r="J663" i="2"/>
  <c r="J618" i="2"/>
  <c r="O622" i="2"/>
  <c r="O629" i="2"/>
  <c r="O633" i="2"/>
  <c r="O638" i="2"/>
  <c r="O642" i="2"/>
  <c r="O646" i="2"/>
  <c r="O650" i="2"/>
  <c r="O653" i="2"/>
  <c r="O657" i="2"/>
  <c r="O661" i="2"/>
  <c r="O605" i="2"/>
  <c r="I613" i="2"/>
  <c r="I615" i="2"/>
  <c r="O620" i="2"/>
  <c r="O627" i="2" s="1"/>
  <c r="I623" i="2"/>
  <c r="I626" i="2"/>
  <c r="I627" i="2" s="1"/>
  <c r="I639" i="2"/>
  <c r="I643" i="2"/>
  <c r="I647" i="2"/>
  <c r="I651" i="2"/>
  <c r="I654" i="2"/>
  <c r="I658" i="2"/>
  <c r="I662" i="2"/>
  <c r="O730" i="2" l="1"/>
  <c r="I618" i="2"/>
  <c r="I663" i="2"/>
  <c r="I612" i="2"/>
  <c r="O634" i="2"/>
  <c r="O612" i="2"/>
  <c r="O663" i="2"/>
  <c r="O619" i="2" l="1"/>
  <c r="O665" i="2"/>
  <c r="N597" i="2" l="1"/>
  <c r="L597" i="2"/>
  <c r="K597" i="2"/>
  <c r="J597" i="2"/>
  <c r="O597" i="2" s="1"/>
  <c r="I597" i="2"/>
  <c r="F597" i="2"/>
  <c r="N596" i="2"/>
  <c r="L596" i="2"/>
  <c r="K596" i="2"/>
  <c r="I596" i="2" s="1"/>
  <c r="J596" i="2"/>
  <c r="O596" i="2" s="1"/>
  <c r="F596" i="2"/>
  <c r="N595" i="2"/>
  <c r="K595" i="2"/>
  <c r="J595" i="2"/>
  <c r="I595" i="2" s="1"/>
  <c r="F595" i="2"/>
  <c r="N594" i="2"/>
  <c r="K594" i="2"/>
  <c r="J594" i="2"/>
  <c r="L594" i="2" s="1"/>
  <c r="I594" i="2"/>
  <c r="F594" i="2"/>
  <c r="N593" i="2"/>
  <c r="K593" i="2"/>
  <c r="J593" i="2"/>
  <c r="O593" i="2" s="1"/>
  <c r="F593" i="2"/>
  <c r="N592" i="2"/>
  <c r="L592" i="2"/>
  <c r="K592" i="2"/>
  <c r="I592" i="2" s="1"/>
  <c r="J592" i="2"/>
  <c r="O592" i="2" s="1"/>
  <c r="F592" i="2"/>
  <c r="N591" i="2"/>
  <c r="K591" i="2"/>
  <c r="J591" i="2"/>
  <c r="I591" i="2" s="1"/>
  <c r="F591" i="2"/>
  <c r="N590" i="2"/>
  <c r="K590" i="2"/>
  <c r="J590" i="2"/>
  <c r="L590" i="2" s="1"/>
  <c r="F590" i="2"/>
  <c r="N589" i="2"/>
  <c r="L589" i="2"/>
  <c r="K589" i="2"/>
  <c r="J589" i="2"/>
  <c r="O589" i="2" s="1"/>
  <c r="I589" i="2"/>
  <c r="F589" i="2"/>
  <c r="N588" i="2"/>
  <c r="L588" i="2"/>
  <c r="K588" i="2"/>
  <c r="J588" i="2"/>
  <c r="O588" i="2" s="1"/>
  <c r="F588" i="2"/>
  <c r="N587" i="2"/>
  <c r="K587" i="2"/>
  <c r="J587" i="2"/>
  <c r="F587" i="2"/>
  <c r="O586" i="2"/>
  <c r="N586" i="2"/>
  <c r="K586" i="2"/>
  <c r="J586" i="2"/>
  <c r="I586" i="2"/>
  <c r="F586" i="2"/>
  <c r="N585" i="2"/>
  <c r="L585" i="2"/>
  <c r="K585" i="2"/>
  <c r="J585" i="2"/>
  <c r="O585" i="2" s="1"/>
  <c r="F585" i="2"/>
  <c r="N584" i="2"/>
  <c r="K584" i="2"/>
  <c r="J584" i="2"/>
  <c r="F584" i="2"/>
  <c r="N583" i="2"/>
  <c r="K583" i="2"/>
  <c r="J583" i="2"/>
  <c r="L583" i="2" s="1"/>
  <c r="I583" i="2"/>
  <c r="F583" i="2"/>
  <c r="N582" i="2"/>
  <c r="L582" i="2"/>
  <c r="K582" i="2"/>
  <c r="J582" i="2"/>
  <c r="O582" i="2" s="1"/>
  <c r="I582" i="2"/>
  <c r="F582" i="2"/>
  <c r="N581" i="2"/>
  <c r="L581" i="2"/>
  <c r="K581" i="2"/>
  <c r="J581" i="2"/>
  <c r="O581" i="2" s="1"/>
  <c r="F581" i="2"/>
  <c r="N580" i="2"/>
  <c r="K580" i="2"/>
  <c r="J580" i="2"/>
  <c r="I580" i="2" s="1"/>
  <c r="F580" i="2"/>
  <c r="N579" i="2"/>
  <c r="K579" i="2"/>
  <c r="J579" i="2"/>
  <c r="L579" i="2" s="1"/>
  <c r="I579" i="2"/>
  <c r="F579" i="2"/>
  <c r="N578" i="2"/>
  <c r="L578" i="2"/>
  <c r="K578" i="2"/>
  <c r="J578" i="2"/>
  <c r="O578" i="2" s="1"/>
  <c r="I578" i="2"/>
  <c r="F578" i="2"/>
  <c r="N577" i="2"/>
  <c r="L577" i="2"/>
  <c r="K577" i="2"/>
  <c r="J577" i="2"/>
  <c r="O577" i="2" s="1"/>
  <c r="F577" i="2"/>
  <c r="N576" i="2"/>
  <c r="K576" i="2"/>
  <c r="J576" i="2"/>
  <c r="I576" i="2" s="1"/>
  <c r="F576" i="2"/>
  <c r="N575" i="2"/>
  <c r="K575" i="2"/>
  <c r="J575" i="2"/>
  <c r="L575" i="2" s="1"/>
  <c r="I575" i="2"/>
  <c r="F575" i="2"/>
  <c r="N574" i="2"/>
  <c r="L574" i="2"/>
  <c r="K574" i="2"/>
  <c r="J574" i="2"/>
  <c r="O574" i="2" s="1"/>
  <c r="I574" i="2"/>
  <c r="F574" i="2"/>
  <c r="N573" i="2"/>
  <c r="K573" i="2"/>
  <c r="J573" i="2"/>
  <c r="O573" i="2" s="1"/>
  <c r="F573" i="2"/>
  <c r="N572" i="2"/>
  <c r="K572" i="2"/>
  <c r="J572" i="2"/>
  <c r="I572" i="2" s="1"/>
  <c r="F572" i="2"/>
  <c r="N571" i="2"/>
  <c r="K571" i="2"/>
  <c r="F571" i="2"/>
  <c r="N570" i="2"/>
  <c r="L570" i="2"/>
  <c r="K570" i="2"/>
  <c r="J570" i="2"/>
  <c r="O570" i="2" s="1"/>
  <c r="I570" i="2"/>
  <c r="F570" i="2"/>
  <c r="N568" i="2"/>
  <c r="L568" i="2"/>
  <c r="K568" i="2"/>
  <c r="J568" i="2"/>
  <c r="O568" i="2" s="1"/>
  <c r="F568" i="2"/>
  <c r="H567" i="2"/>
  <c r="G567" i="2"/>
  <c r="E567" i="2"/>
  <c r="D567" i="2"/>
  <c r="N566" i="2"/>
  <c r="K566" i="2"/>
  <c r="J566" i="2"/>
  <c r="L566" i="2" s="1"/>
  <c r="I566" i="2"/>
  <c r="F566" i="2"/>
  <c r="N565" i="2"/>
  <c r="L565" i="2"/>
  <c r="K565" i="2"/>
  <c r="J565" i="2"/>
  <c r="O565" i="2" s="1"/>
  <c r="F565" i="2"/>
  <c r="I565" i="2" s="1"/>
  <c r="N564" i="2"/>
  <c r="L564" i="2"/>
  <c r="K564" i="2"/>
  <c r="J564" i="2"/>
  <c r="O564" i="2" s="1"/>
  <c r="F564" i="2"/>
  <c r="I564" i="2" s="1"/>
  <c r="N563" i="2"/>
  <c r="N567" i="2" s="1"/>
  <c r="K563" i="2"/>
  <c r="K567" i="2" s="1"/>
  <c r="J563" i="2"/>
  <c r="I563" i="2" s="1"/>
  <c r="I567" i="2" s="1"/>
  <c r="F563" i="2"/>
  <c r="H562" i="2"/>
  <c r="G562" i="2"/>
  <c r="E562" i="2"/>
  <c r="D562" i="2"/>
  <c r="N561" i="2"/>
  <c r="L561" i="2"/>
  <c r="K561" i="2"/>
  <c r="J561" i="2"/>
  <c r="O561" i="2" s="1"/>
  <c r="I561" i="2"/>
  <c r="F561" i="2"/>
  <c r="N560" i="2"/>
  <c r="L560" i="2"/>
  <c r="K560" i="2"/>
  <c r="I560" i="2" s="1"/>
  <c r="J560" i="2"/>
  <c r="O560" i="2" s="1"/>
  <c r="F560" i="2"/>
  <c r="N559" i="2"/>
  <c r="N562" i="2" s="1"/>
  <c r="K559" i="2"/>
  <c r="J559" i="2"/>
  <c r="F559" i="2"/>
  <c r="O558" i="2"/>
  <c r="N558" i="2"/>
  <c r="K558" i="2"/>
  <c r="J558" i="2"/>
  <c r="I558" i="2"/>
  <c r="F558" i="2"/>
  <c r="N557" i="2"/>
  <c r="L557" i="2"/>
  <c r="K557" i="2"/>
  <c r="I557" i="2" s="1"/>
  <c r="J557" i="2"/>
  <c r="O557" i="2" s="1"/>
  <c r="F557" i="2"/>
  <c r="F562" i="2" s="1"/>
  <c r="N556" i="2"/>
  <c r="K556" i="2"/>
  <c r="J556" i="2"/>
  <c r="I556" i="2" s="1"/>
  <c r="F556" i="2"/>
  <c r="N555" i="2"/>
  <c r="K555" i="2"/>
  <c r="J555" i="2"/>
  <c r="L555" i="2" s="1"/>
  <c r="I555" i="2"/>
  <c r="F555" i="2"/>
  <c r="H553" i="2"/>
  <c r="G553" i="2"/>
  <c r="F553" i="2" s="1"/>
  <c r="L552" i="2"/>
  <c r="K552" i="2"/>
  <c r="K553" i="2" s="1"/>
  <c r="J552" i="2"/>
  <c r="O552" i="2" s="1"/>
  <c r="N551" i="2"/>
  <c r="K551" i="2"/>
  <c r="J551" i="2"/>
  <c r="L551" i="2" s="1"/>
  <c r="I551" i="2"/>
  <c r="F551" i="2"/>
  <c r="N550" i="2"/>
  <c r="L550" i="2"/>
  <c r="K550" i="2"/>
  <c r="J550" i="2"/>
  <c r="O550" i="2" s="1"/>
  <c r="I550" i="2"/>
  <c r="F550" i="2"/>
  <c r="K549" i="2"/>
  <c r="J549" i="2"/>
  <c r="O549" i="2" s="1"/>
  <c r="I549" i="2"/>
  <c r="F549" i="2"/>
  <c r="N548" i="2"/>
  <c r="L548" i="2"/>
  <c r="K548" i="2"/>
  <c r="J548" i="2"/>
  <c r="J553" i="2" s="1"/>
  <c r="I553" i="2" s="1"/>
  <c r="I548" i="2"/>
  <c r="F548" i="2"/>
  <c r="H547" i="2"/>
  <c r="G547" i="2"/>
  <c r="O546" i="2"/>
  <c r="N546" i="2"/>
  <c r="K546" i="2"/>
  <c r="J546" i="2"/>
  <c r="I546" i="2"/>
  <c r="F546" i="2"/>
  <c r="N545" i="2"/>
  <c r="L545" i="2"/>
  <c r="K545" i="2"/>
  <c r="J545" i="2"/>
  <c r="O545" i="2" s="1"/>
  <c r="I545" i="2"/>
  <c r="F545" i="2"/>
  <c r="N544" i="2"/>
  <c r="L544" i="2"/>
  <c r="K544" i="2"/>
  <c r="J544" i="2"/>
  <c r="O544" i="2" s="1"/>
  <c r="F544" i="2"/>
  <c r="O543" i="2"/>
  <c r="N543" i="2"/>
  <c r="K543" i="2"/>
  <c r="J543" i="2"/>
  <c r="I543" i="2"/>
  <c r="F543" i="2"/>
  <c r="N542" i="2"/>
  <c r="K542" i="2"/>
  <c r="J542" i="2"/>
  <c r="O542" i="2" s="1"/>
  <c r="F542" i="2"/>
  <c r="N541" i="2"/>
  <c r="K541" i="2"/>
  <c r="J541" i="2"/>
  <c r="O541" i="2" s="1"/>
  <c r="F541" i="2"/>
  <c r="N540" i="2"/>
  <c r="K540" i="2"/>
  <c r="K547" i="2" s="1"/>
  <c r="J540" i="2"/>
  <c r="L540" i="2" s="1"/>
  <c r="F540" i="2"/>
  <c r="K562" i="2" l="1"/>
  <c r="I559" i="2"/>
  <c r="I562" i="2" s="1"/>
  <c r="L593" i="2"/>
  <c r="I593" i="2"/>
  <c r="I590" i="2"/>
  <c r="L573" i="2"/>
  <c r="K598" i="2"/>
  <c r="L542" i="2"/>
  <c r="I542" i="2"/>
  <c r="I540" i="2"/>
  <c r="F547" i="2"/>
  <c r="I587" i="2"/>
  <c r="I584" i="2"/>
  <c r="K569" i="2"/>
  <c r="J567" i="2"/>
  <c r="L567" i="2" s="1"/>
  <c r="O576" i="2"/>
  <c r="O591" i="2"/>
  <c r="O540" i="2"/>
  <c r="O547" i="2" s="1"/>
  <c r="O551" i="2"/>
  <c r="O555" i="2"/>
  <c r="J562" i="2"/>
  <c r="O566" i="2"/>
  <c r="I544" i="2"/>
  <c r="O548" i="2"/>
  <c r="I552" i="2"/>
  <c r="L556" i="2"/>
  <c r="L559" i="2"/>
  <c r="L563" i="2"/>
  <c r="I568" i="2"/>
  <c r="L572" i="2"/>
  <c r="I573" i="2"/>
  <c r="L576" i="2"/>
  <c r="I577" i="2"/>
  <c r="L580" i="2"/>
  <c r="I581" i="2"/>
  <c r="L584" i="2"/>
  <c r="I585" i="2"/>
  <c r="L587" i="2"/>
  <c r="I588" i="2"/>
  <c r="L591" i="2"/>
  <c r="L595" i="2"/>
  <c r="O556" i="2"/>
  <c r="O559" i="2"/>
  <c r="O563" i="2"/>
  <c r="F567" i="2"/>
  <c r="O572" i="2"/>
  <c r="O580" i="2"/>
  <c r="O584" i="2"/>
  <c r="O587" i="2"/>
  <c r="O595" i="2"/>
  <c r="J547" i="2"/>
  <c r="I547" i="2" s="1"/>
  <c r="O575" i="2"/>
  <c r="O579" i="2"/>
  <c r="O583" i="2"/>
  <c r="O590" i="2"/>
  <c r="O594" i="2"/>
  <c r="I541" i="2"/>
  <c r="O567" i="2" l="1"/>
  <c r="O553" i="2"/>
  <c r="O554" i="2" s="1"/>
  <c r="L562" i="2"/>
  <c r="J569" i="2"/>
  <c r="I569" i="2" s="1"/>
  <c r="O562" i="2"/>
  <c r="O569" i="2" l="1"/>
  <c r="N532" i="2"/>
  <c r="L532" i="2"/>
  <c r="K532" i="2"/>
  <c r="J532" i="2"/>
  <c r="O532" i="2" s="1"/>
  <c r="F532" i="2"/>
  <c r="N531" i="2"/>
  <c r="K531" i="2"/>
  <c r="J531" i="2"/>
  <c r="O531" i="2" s="1"/>
  <c r="F531" i="2"/>
  <c r="N530" i="2"/>
  <c r="K530" i="2"/>
  <c r="J530" i="2"/>
  <c r="I530" i="2" s="1"/>
  <c r="F530" i="2"/>
  <c r="N529" i="2"/>
  <c r="K529" i="2"/>
  <c r="J529" i="2"/>
  <c r="L529" i="2" s="1"/>
  <c r="I529" i="2"/>
  <c r="F529" i="2"/>
  <c r="N528" i="2"/>
  <c r="L528" i="2"/>
  <c r="K528" i="2"/>
  <c r="J528" i="2"/>
  <c r="O528" i="2" s="1"/>
  <c r="F528" i="2"/>
  <c r="N527" i="2"/>
  <c r="K527" i="2"/>
  <c r="J527" i="2"/>
  <c r="O527" i="2" s="1"/>
  <c r="F527" i="2"/>
  <c r="N526" i="2"/>
  <c r="F526" i="2"/>
  <c r="N525" i="2"/>
  <c r="F525" i="2"/>
  <c r="N524" i="2"/>
  <c r="L524" i="2"/>
  <c r="K524" i="2"/>
  <c r="J524" i="2"/>
  <c r="O524" i="2" s="1"/>
  <c r="F524" i="2"/>
  <c r="N523" i="2"/>
  <c r="K523" i="2"/>
  <c r="J523" i="2"/>
  <c r="O523" i="2" s="1"/>
  <c r="F523" i="2"/>
  <c r="N522" i="2"/>
  <c r="J522" i="2"/>
  <c r="F522" i="2"/>
  <c r="N521" i="2"/>
  <c r="K521" i="2"/>
  <c r="J521" i="2"/>
  <c r="O521" i="2" s="1"/>
  <c r="F521" i="2"/>
  <c r="N520" i="2"/>
  <c r="K520" i="2"/>
  <c r="J520" i="2"/>
  <c r="O520" i="2" s="1"/>
  <c r="F520" i="2"/>
  <c r="N519" i="2"/>
  <c r="F519" i="2"/>
  <c r="N518" i="2"/>
  <c r="K518" i="2"/>
  <c r="J518" i="2"/>
  <c r="L518" i="2" s="1"/>
  <c r="I518" i="2"/>
  <c r="F518" i="2"/>
  <c r="N517" i="2"/>
  <c r="L517" i="2"/>
  <c r="K517" i="2"/>
  <c r="I517" i="2" s="1"/>
  <c r="J517" i="2"/>
  <c r="O517" i="2" s="1"/>
  <c r="F517" i="2"/>
  <c r="N516" i="2"/>
  <c r="K516" i="2"/>
  <c r="J516" i="2"/>
  <c r="O516" i="2" s="1"/>
  <c r="F516" i="2"/>
  <c r="N515" i="2"/>
  <c r="K515" i="2"/>
  <c r="J515" i="2"/>
  <c r="I515" i="2" s="1"/>
  <c r="F515" i="2"/>
  <c r="N514" i="2"/>
  <c r="K514" i="2"/>
  <c r="J514" i="2"/>
  <c r="L514" i="2" s="1"/>
  <c r="I514" i="2"/>
  <c r="F514" i="2"/>
  <c r="N513" i="2"/>
  <c r="L513" i="2"/>
  <c r="K513" i="2"/>
  <c r="J513" i="2"/>
  <c r="O513" i="2" s="1"/>
  <c r="F513" i="2"/>
  <c r="N512" i="2"/>
  <c r="K512" i="2"/>
  <c r="J512" i="2"/>
  <c r="O512" i="2" s="1"/>
  <c r="F512" i="2"/>
  <c r="N511" i="2"/>
  <c r="K511" i="2"/>
  <c r="J511" i="2"/>
  <c r="I511" i="2" s="1"/>
  <c r="F511" i="2"/>
  <c r="N510" i="2"/>
  <c r="F510" i="2"/>
  <c r="N509" i="2"/>
  <c r="L509" i="2"/>
  <c r="K509" i="2"/>
  <c r="J509" i="2"/>
  <c r="O509" i="2" s="1"/>
  <c r="F509" i="2"/>
  <c r="N508" i="2"/>
  <c r="F508" i="2"/>
  <c r="N507" i="2"/>
  <c r="K507" i="2"/>
  <c r="J507" i="2"/>
  <c r="I507" i="2" s="1"/>
  <c r="F507" i="2"/>
  <c r="N506" i="2"/>
  <c r="K506" i="2"/>
  <c r="F506" i="2"/>
  <c r="N505" i="2"/>
  <c r="L505" i="2"/>
  <c r="K505" i="2"/>
  <c r="J505" i="2"/>
  <c r="O505" i="2" s="1"/>
  <c r="F505" i="2"/>
  <c r="N503" i="2"/>
  <c r="K503" i="2"/>
  <c r="J503" i="2"/>
  <c r="O503" i="2" s="1"/>
  <c r="F503" i="2"/>
  <c r="H502" i="2"/>
  <c r="G502" i="2"/>
  <c r="E502" i="2"/>
  <c r="D502" i="2"/>
  <c r="N501" i="2"/>
  <c r="L501" i="2"/>
  <c r="K501" i="2"/>
  <c r="J501" i="2"/>
  <c r="O501" i="2" s="1"/>
  <c r="I501" i="2"/>
  <c r="F501" i="2"/>
  <c r="N500" i="2"/>
  <c r="L500" i="2"/>
  <c r="K500" i="2"/>
  <c r="J500" i="2"/>
  <c r="O500" i="2" s="1"/>
  <c r="F500" i="2"/>
  <c r="F502" i="2" s="1"/>
  <c r="N499" i="2"/>
  <c r="K499" i="2"/>
  <c r="J499" i="2"/>
  <c r="O499" i="2" s="1"/>
  <c r="I499" i="2"/>
  <c r="F499" i="2"/>
  <c r="N498" i="2"/>
  <c r="N502" i="2" s="1"/>
  <c r="K498" i="2"/>
  <c r="K502" i="2" s="1"/>
  <c r="J498" i="2"/>
  <c r="I498" i="2" s="1"/>
  <c r="F498" i="2"/>
  <c r="H497" i="2"/>
  <c r="G497" i="2"/>
  <c r="E497" i="2"/>
  <c r="D497" i="2"/>
  <c r="N496" i="2"/>
  <c r="L496" i="2"/>
  <c r="K496" i="2"/>
  <c r="J496" i="2"/>
  <c r="O496" i="2" s="1"/>
  <c r="F496" i="2"/>
  <c r="N495" i="2"/>
  <c r="K495" i="2"/>
  <c r="J495" i="2"/>
  <c r="O495" i="2" s="1"/>
  <c r="F495" i="2"/>
  <c r="N494" i="2"/>
  <c r="N497" i="2" s="1"/>
  <c r="K494" i="2"/>
  <c r="J494" i="2"/>
  <c r="F494" i="2"/>
  <c r="N493" i="2"/>
  <c r="K493" i="2"/>
  <c r="J493" i="2"/>
  <c r="O493" i="2" s="1"/>
  <c r="F493" i="2"/>
  <c r="N492" i="2"/>
  <c r="K492" i="2"/>
  <c r="J492" i="2"/>
  <c r="O492" i="2" s="1"/>
  <c r="F492" i="2"/>
  <c r="N491" i="2"/>
  <c r="K491" i="2"/>
  <c r="J491" i="2"/>
  <c r="I491" i="2" s="1"/>
  <c r="F491" i="2"/>
  <c r="N490" i="2"/>
  <c r="L490" i="2"/>
  <c r="K490" i="2"/>
  <c r="J490" i="2"/>
  <c r="I490" i="2"/>
  <c r="F490" i="2"/>
  <c r="H488" i="2"/>
  <c r="G488" i="2"/>
  <c r="K487" i="2"/>
  <c r="K488" i="2" s="1"/>
  <c r="J487" i="2"/>
  <c r="O487" i="2" s="1"/>
  <c r="N486" i="2"/>
  <c r="L486" i="2"/>
  <c r="K486" i="2"/>
  <c r="J486" i="2"/>
  <c r="O486" i="2" s="1"/>
  <c r="I486" i="2"/>
  <c r="F486" i="2"/>
  <c r="N485" i="2"/>
  <c r="L485" i="2"/>
  <c r="K485" i="2"/>
  <c r="J485" i="2"/>
  <c r="O485" i="2" s="1"/>
  <c r="F485" i="2"/>
  <c r="O484" i="2"/>
  <c r="K484" i="2"/>
  <c r="J484" i="2"/>
  <c r="I484" i="2"/>
  <c r="F484" i="2"/>
  <c r="N483" i="2"/>
  <c r="L483" i="2"/>
  <c r="K483" i="2"/>
  <c r="J483" i="2"/>
  <c r="J488" i="2" s="1"/>
  <c r="F483" i="2"/>
  <c r="O481" i="2"/>
  <c r="N481" i="2"/>
  <c r="K481" i="2"/>
  <c r="J481" i="2"/>
  <c r="I481" i="2"/>
  <c r="F481" i="2"/>
  <c r="N480" i="2"/>
  <c r="L480" i="2"/>
  <c r="K480" i="2"/>
  <c r="J480" i="2"/>
  <c r="O480" i="2" s="1"/>
  <c r="F480" i="2"/>
  <c r="N479" i="2"/>
  <c r="K479" i="2"/>
  <c r="J479" i="2"/>
  <c r="O479" i="2" s="1"/>
  <c r="F479" i="2"/>
  <c r="O478" i="2"/>
  <c r="N478" i="2"/>
  <c r="K478" i="2"/>
  <c r="J478" i="2"/>
  <c r="I478" i="2"/>
  <c r="F478" i="2"/>
  <c r="H482" i="2"/>
  <c r="G482" i="2"/>
  <c r="N476" i="2"/>
  <c r="K476" i="2"/>
  <c r="J476" i="2"/>
  <c r="O476" i="2" s="1"/>
  <c r="F476" i="2"/>
  <c r="N475" i="2"/>
  <c r="K475" i="2"/>
  <c r="J475" i="2"/>
  <c r="O475" i="2" s="1"/>
  <c r="F475" i="2"/>
  <c r="H412" i="2"/>
  <c r="G412" i="2"/>
  <c r="N467" i="2"/>
  <c r="K467" i="2"/>
  <c r="J467" i="2"/>
  <c r="O467" i="2" s="1"/>
  <c r="F467" i="2"/>
  <c r="N466" i="2"/>
  <c r="K466" i="2"/>
  <c r="J466" i="2"/>
  <c r="I466" i="2" s="1"/>
  <c r="F466" i="2"/>
  <c r="N465" i="2"/>
  <c r="L465" i="2"/>
  <c r="K465" i="2"/>
  <c r="J465" i="2"/>
  <c r="O465" i="2" s="1"/>
  <c r="I465" i="2"/>
  <c r="F465" i="2"/>
  <c r="N464" i="2"/>
  <c r="L464" i="2"/>
  <c r="K464" i="2"/>
  <c r="J464" i="2"/>
  <c r="O464" i="2" s="1"/>
  <c r="F464" i="2"/>
  <c r="N463" i="2"/>
  <c r="K463" i="2"/>
  <c r="J463" i="2"/>
  <c r="O463" i="2" s="1"/>
  <c r="F463" i="2"/>
  <c r="N462" i="2"/>
  <c r="K462" i="2"/>
  <c r="J462" i="2"/>
  <c r="I462" i="2" s="1"/>
  <c r="F462" i="2"/>
  <c r="N461" i="2"/>
  <c r="K461" i="2"/>
  <c r="K526" i="2" s="1"/>
  <c r="J461" i="2"/>
  <c r="O461" i="2" s="1"/>
  <c r="F461" i="2"/>
  <c r="N460" i="2"/>
  <c r="K460" i="2"/>
  <c r="K525" i="2" s="1"/>
  <c r="J460" i="2"/>
  <c r="O460" i="2" s="1"/>
  <c r="F460" i="2"/>
  <c r="N459" i="2"/>
  <c r="K459" i="2"/>
  <c r="J459" i="2"/>
  <c r="O459" i="2" s="1"/>
  <c r="F459" i="2"/>
  <c r="N458" i="2"/>
  <c r="K458" i="2"/>
  <c r="J458" i="2"/>
  <c r="I458" i="2" s="1"/>
  <c r="F458" i="2"/>
  <c r="N457" i="2"/>
  <c r="K457" i="2"/>
  <c r="K522" i="2" s="1"/>
  <c r="J457" i="2"/>
  <c r="O457" i="2" s="1"/>
  <c r="F457" i="2"/>
  <c r="N456" i="2"/>
  <c r="K456" i="2"/>
  <c r="J456" i="2"/>
  <c r="O456" i="2" s="1"/>
  <c r="F456" i="2"/>
  <c r="N455" i="2"/>
  <c r="K455" i="2"/>
  <c r="J455" i="2"/>
  <c r="I455" i="2" s="1"/>
  <c r="F455" i="2"/>
  <c r="N454" i="2"/>
  <c r="K454" i="2"/>
  <c r="K519" i="2" s="1"/>
  <c r="J454" i="2"/>
  <c r="O454" i="2" s="1"/>
  <c r="F454" i="2"/>
  <c r="N453" i="2"/>
  <c r="L453" i="2"/>
  <c r="K453" i="2"/>
  <c r="J453" i="2"/>
  <c r="O453" i="2" s="1"/>
  <c r="F453" i="2"/>
  <c r="N452" i="2"/>
  <c r="K452" i="2"/>
  <c r="J452" i="2"/>
  <c r="O452" i="2" s="1"/>
  <c r="F452" i="2"/>
  <c r="N451" i="2"/>
  <c r="K451" i="2"/>
  <c r="J451" i="2"/>
  <c r="I451" i="2" s="1"/>
  <c r="F451" i="2"/>
  <c r="N450" i="2"/>
  <c r="L450" i="2"/>
  <c r="K450" i="2"/>
  <c r="J450" i="2"/>
  <c r="O450" i="2" s="1"/>
  <c r="I450" i="2"/>
  <c r="F450" i="2"/>
  <c r="N449" i="2"/>
  <c r="L449" i="2"/>
  <c r="K449" i="2"/>
  <c r="J449" i="2"/>
  <c r="O449" i="2" s="1"/>
  <c r="F449" i="2"/>
  <c r="N448" i="2"/>
  <c r="K448" i="2"/>
  <c r="J448" i="2"/>
  <c r="O448" i="2" s="1"/>
  <c r="F448" i="2"/>
  <c r="N447" i="2"/>
  <c r="K447" i="2"/>
  <c r="J447" i="2"/>
  <c r="I447" i="2" s="1"/>
  <c r="F447" i="2"/>
  <c r="N446" i="2"/>
  <c r="L446" i="2"/>
  <c r="K446" i="2"/>
  <c r="J446" i="2"/>
  <c r="O446" i="2" s="1"/>
  <c r="I446" i="2"/>
  <c r="F446" i="2"/>
  <c r="N445" i="2"/>
  <c r="K445" i="2"/>
  <c r="K510" i="2" s="1"/>
  <c r="J445" i="2"/>
  <c r="O445" i="2" s="1"/>
  <c r="F445" i="2"/>
  <c r="N444" i="2"/>
  <c r="K444" i="2"/>
  <c r="J444" i="2"/>
  <c r="O444" i="2" s="1"/>
  <c r="F444" i="2"/>
  <c r="N443" i="2"/>
  <c r="K443" i="2"/>
  <c r="K508" i="2" s="1"/>
  <c r="J443" i="2"/>
  <c r="I443" i="2" s="1"/>
  <c r="F443" i="2"/>
  <c r="N442" i="2"/>
  <c r="L442" i="2"/>
  <c r="K442" i="2"/>
  <c r="J442" i="2"/>
  <c r="O442" i="2" s="1"/>
  <c r="I442" i="2"/>
  <c r="F442" i="2"/>
  <c r="N441" i="2"/>
  <c r="K441" i="2"/>
  <c r="F441" i="2"/>
  <c r="N440" i="2"/>
  <c r="K440" i="2"/>
  <c r="J440" i="2"/>
  <c r="O440" i="2" s="1"/>
  <c r="F440" i="2"/>
  <c r="N438" i="2"/>
  <c r="K438" i="2"/>
  <c r="J438" i="2"/>
  <c r="I438" i="2" s="1"/>
  <c r="F438" i="2"/>
  <c r="H437" i="2"/>
  <c r="G437" i="2"/>
  <c r="E437" i="2"/>
  <c r="D437" i="2"/>
  <c r="N436" i="2"/>
  <c r="L436" i="2"/>
  <c r="K436" i="2"/>
  <c r="J436" i="2"/>
  <c r="O436" i="2" s="1"/>
  <c r="F436" i="2"/>
  <c r="I436" i="2" s="1"/>
  <c r="N435" i="2"/>
  <c r="K435" i="2"/>
  <c r="J435" i="2"/>
  <c r="O435" i="2" s="1"/>
  <c r="I435" i="2"/>
  <c r="F435" i="2"/>
  <c r="N434" i="2"/>
  <c r="K434" i="2"/>
  <c r="J434" i="2"/>
  <c r="L434" i="2" s="1"/>
  <c r="I434" i="2"/>
  <c r="F434" i="2"/>
  <c r="N433" i="2"/>
  <c r="N437" i="2" s="1"/>
  <c r="L433" i="2"/>
  <c r="K433" i="2"/>
  <c r="K437" i="2" s="1"/>
  <c r="J433" i="2"/>
  <c r="J437" i="2" s="1"/>
  <c r="L437" i="2" s="1"/>
  <c r="I433" i="2"/>
  <c r="I437" i="2" s="1"/>
  <c r="F433" i="2"/>
  <c r="F437" i="2" s="1"/>
  <c r="H432" i="2"/>
  <c r="G432" i="2"/>
  <c r="E432" i="2"/>
  <c r="D432" i="2"/>
  <c r="N431" i="2"/>
  <c r="K431" i="2"/>
  <c r="J431" i="2"/>
  <c r="O431" i="2" s="1"/>
  <c r="F431" i="2"/>
  <c r="N430" i="2"/>
  <c r="K430" i="2"/>
  <c r="J430" i="2"/>
  <c r="I430" i="2" s="1"/>
  <c r="F430" i="2"/>
  <c r="N429" i="2"/>
  <c r="N432" i="2" s="1"/>
  <c r="L429" i="2"/>
  <c r="K429" i="2"/>
  <c r="J429" i="2"/>
  <c r="O429" i="2" s="1"/>
  <c r="F429" i="2"/>
  <c r="N428" i="2"/>
  <c r="K428" i="2"/>
  <c r="J428" i="2"/>
  <c r="O428" i="2" s="1"/>
  <c r="F428" i="2"/>
  <c r="N427" i="2"/>
  <c r="K427" i="2"/>
  <c r="J427" i="2"/>
  <c r="I427" i="2" s="1"/>
  <c r="F427" i="2"/>
  <c r="N426" i="2"/>
  <c r="L426" i="2"/>
  <c r="K426" i="2"/>
  <c r="J426" i="2"/>
  <c r="O426" i="2" s="1"/>
  <c r="I426" i="2"/>
  <c r="F426" i="2"/>
  <c r="N425" i="2"/>
  <c r="L425" i="2"/>
  <c r="K425" i="2"/>
  <c r="J425" i="2"/>
  <c r="J432" i="2" s="1"/>
  <c r="F425" i="2"/>
  <c r="H423" i="2"/>
  <c r="G423" i="2"/>
  <c r="K422" i="2"/>
  <c r="J422" i="2"/>
  <c r="O422" i="2" s="1"/>
  <c r="N421" i="2"/>
  <c r="L421" i="2"/>
  <c r="K421" i="2"/>
  <c r="J421" i="2"/>
  <c r="O421" i="2" s="1"/>
  <c r="F421" i="2"/>
  <c r="N420" i="2"/>
  <c r="K420" i="2"/>
  <c r="J420" i="2"/>
  <c r="O420" i="2" s="1"/>
  <c r="F420" i="2"/>
  <c r="O419" i="2"/>
  <c r="K419" i="2"/>
  <c r="J419" i="2"/>
  <c r="I419" i="2" s="1"/>
  <c r="F419" i="2"/>
  <c r="N418" i="2"/>
  <c r="K418" i="2"/>
  <c r="K423" i="2" s="1"/>
  <c r="J418" i="2"/>
  <c r="O418" i="2" s="1"/>
  <c r="F418" i="2"/>
  <c r="H417" i="2"/>
  <c r="G417" i="2"/>
  <c r="N416" i="2"/>
  <c r="K416" i="2"/>
  <c r="J416" i="2"/>
  <c r="O416" i="2" s="1"/>
  <c r="F416" i="2"/>
  <c r="N415" i="2"/>
  <c r="K415" i="2"/>
  <c r="J415" i="2"/>
  <c r="O415" i="2" s="1"/>
  <c r="F415" i="2"/>
  <c r="N414" i="2"/>
  <c r="K414" i="2"/>
  <c r="J414" i="2"/>
  <c r="I414" i="2" s="1"/>
  <c r="F414" i="2"/>
  <c r="N413" i="2"/>
  <c r="K413" i="2"/>
  <c r="J413" i="2"/>
  <c r="O413" i="2" s="1"/>
  <c r="F413" i="2"/>
  <c r="N412" i="2"/>
  <c r="K412" i="2"/>
  <c r="J412" i="2"/>
  <c r="O412" i="2" s="1"/>
  <c r="F412" i="2"/>
  <c r="N411" i="2"/>
  <c r="K411" i="2"/>
  <c r="J411" i="2"/>
  <c r="O411" i="2" s="1"/>
  <c r="F411" i="2"/>
  <c r="N410" i="2"/>
  <c r="K410" i="2"/>
  <c r="J410" i="2"/>
  <c r="J417" i="2" s="1"/>
  <c r="F410" i="2"/>
  <c r="F417" i="2" s="1"/>
  <c r="L461" i="2" l="1"/>
  <c r="J526" i="2"/>
  <c r="I526" i="2" s="1"/>
  <c r="I461" i="2"/>
  <c r="L460" i="2"/>
  <c r="J525" i="2"/>
  <c r="I522" i="2"/>
  <c r="I457" i="2"/>
  <c r="L457" i="2"/>
  <c r="J519" i="2"/>
  <c r="I519" i="2" s="1"/>
  <c r="J510" i="2"/>
  <c r="K533" i="2"/>
  <c r="J508" i="2"/>
  <c r="O508" i="2" s="1"/>
  <c r="K497" i="2"/>
  <c r="I494" i="2"/>
  <c r="J497" i="2"/>
  <c r="L497" i="2" s="1"/>
  <c r="F497" i="2"/>
  <c r="F488" i="2"/>
  <c r="K504" i="2"/>
  <c r="I502" i="2"/>
  <c r="I488" i="2"/>
  <c r="O491" i="2"/>
  <c r="J502" i="2"/>
  <c r="L502" i="2" s="1"/>
  <c r="L475" i="2"/>
  <c r="I476" i="2"/>
  <c r="N477" i="2"/>
  <c r="L479" i="2"/>
  <c r="I480" i="2"/>
  <c r="J482" i="2"/>
  <c r="I483" i="2"/>
  <c r="I485" i="2"/>
  <c r="L487" i="2"/>
  <c r="O490" i="2"/>
  <c r="L492" i="2"/>
  <c r="I493" i="2"/>
  <c r="L495" i="2"/>
  <c r="I496" i="2"/>
  <c r="L499" i="2"/>
  <c r="I500" i="2"/>
  <c r="L503" i="2"/>
  <c r="I505" i="2"/>
  <c r="L508" i="2"/>
  <c r="I509" i="2"/>
  <c r="O510" i="2"/>
  <c r="L512" i="2"/>
  <c r="I513" i="2"/>
  <c r="O514" i="2"/>
  <c r="L516" i="2"/>
  <c r="O518" i="2"/>
  <c r="L520" i="2"/>
  <c r="I521" i="2"/>
  <c r="L523" i="2"/>
  <c r="I524" i="2"/>
  <c r="O525" i="2"/>
  <c r="L527" i="2"/>
  <c r="I528" i="2"/>
  <c r="O529" i="2"/>
  <c r="L531" i="2"/>
  <c r="I532" i="2"/>
  <c r="O507" i="2"/>
  <c r="O519" i="2"/>
  <c r="O522" i="2"/>
  <c r="O526" i="2"/>
  <c r="O530" i="2"/>
  <c r="I475" i="2"/>
  <c r="F477" i="2"/>
  <c r="F482" i="2" s="1"/>
  <c r="J477" i="2"/>
  <c r="I479" i="2"/>
  <c r="O483" i="2"/>
  <c r="O488" i="2" s="1"/>
  <c r="I487" i="2"/>
  <c r="L491" i="2"/>
  <c r="I492" i="2"/>
  <c r="L494" i="2"/>
  <c r="I495" i="2"/>
  <c r="L498" i="2"/>
  <c r="I503" i="2"/>
  <c r="L507" i="2"/>
  <c r="I508" i="2"/>
  <c r="L511" i="2"/>
  <c r="I512" i="2"/>
  <c r="L515" i="2"/>
  <c r="I516" i="2"/>
  <c r="L519" i="2"/>
  <c r="I520" i="2"/>
  <c r="L522" i="2"/>
  <c r="I523" i="2"/>
  <c r="L526" i="2"/>
  <c r="I527" i="2"/>
  <c r="L530" i="2"/>
  <c r="I531" i="2"/>
  <c r="O494" i="2"/>
  <c r="O498" i="2"/>
  <c r="O502" i="2" s="1"/>
  <c r="O511" i="2"/>
  <c r="O515" i="2"/>
  <c r="K477" i="2"/>
  <c r="K482" i="2" s="1"/>
  <c r="K432" i="2"/>
  <c r="K439" i="2" s="1"/>
  <c r="F432" i="2"/>
  <c r="I429" i="2"/>
  <c r="F423" i="2"/>
  <c r="O423" i="2"/>
  <c r="L410" i="2"/>
  <c r="I410" i="2"/>
  <c r="K468" i="2"/>
  <c r="L454" i="2"/>
  <c r="I454" i="2"/>
  <c r="L445" i="2"/>
  <c r="K417" i="2"/>
  <c r="I417" i="2" s="1"/>
  <c r="L432" i="2"/>
  <c r="J439" i="2"/>
  <c r="I439" i="2" s="1"/>
  <c r="O434" i="2"/>
  <c r="O447" i="2"/>
  <c r="O458" i="2"/>
  <c r="O410" i="2"/>
  <c r="O417" i="2" s="1"/>
  <c r="O424" i="2" s="1"/>
  <c r="L412" i="2"/>
  <c r="I413" i="2"/>
  <c r="L415" i="2"/>
  <c r="I416" i="2"/>
  <c r="L418" i="2"/>
  <c r="L420" i="2"/>
  <c r="I421" i="2"/>
  <c r="I425" i="2"/>
  <c r="L431" i="2"/>
  <c r="O433" i="2"/>
  <c r="O437" i="2" s="1"/>
  <c r="L435" i="2"/>
  <c r="L440" i="2"/>
  <c r="L444" i="2"/>
  <c r="I445" i="2"/>
  <c r="L448" i="2"/>
  <c r="I449" i="2"/>
  <c r="L452" i="2"/>
  <c r="I453" i="2"/>
  <c r="L459" i="2"/>
  <c r="I460" i="2"/>
  <c r="L463" i="2"/>
  <c r="I464" i="2"/>
  <c r="L467" i="2"/>
  <c r="O414" i="2"/>
  <c r="J423" i="2"/>
  <c r="I423" i="2" s="1"/>
  <c r="O430" i="2"/>
  <c r="O455" i="2"/>
  <c r="I412" i="2"/>
  <c r="L414" i="2"/>
  <c r="I415" i="2"/>
  <c r="I418" i="2"/>
  <c r="I420" i="2"/>
  <c r="L422" i="2"/>
  <c r="O425" i="2"/>
  <c r="O432" i="2" s="1"/>
  <c r="L427" i="2"/>
  <c r="I428" i="2"/>
  <c r="L430" i="2"/>
  <c r="I431" i="2"/>
  <c r="I432" i="2" s="1"/>
  <c r="L438" i="2"/>
  <c r="I440" i="2"/>
  <c r="L443" i="2"/>
  <c r="I444" i="2"/>
  <c r="L447" i="2"/>
  <c r="I448" i="2"/>
  <c r="L451" i="2"/>
  <c r="I452" i="2"/>
  <c r="L455" i="2"/>
  <c r="I456" i="2"/>
  <c r="L458" i="2"/>
  <c r="I459" i="2"/>
  <c r="L462" i="2"/>
  <c r="I463" i="2"/>
  <c r="L466" i="2"/>
  <c r="I467" i="2"/>
  <c r="O427" i="2"/>
  <c r="O438" i="2"/>
  <c r="O443" i="2"/>
  <c r="O451" i="2"/>
  <c r="O462" i="2"/>
  <c r="O466" i="2"/>
  <c r="I411" i="2"/>
  <c r="I422" i="2"/>
  <c r="J364" i="2"/>
  <c r="L525" i="2" l="1"/>
  <c r="I525" i="2"/>
  <c r="L510" i="2"/>
  <c r="I510" i="2"/>
  <c r="I497" i="2"/>
  <c r="O497" i="2"/>
  <c r="O504" i="2" s="1"/>
  <c r="O477" i="2"/>
  <c r="O482" i="2" s="1"/>
  <c r="O489" i="2" s="1"/>
  <c r="I477" i="2"/>
  <c r="L477" i="2"/>
  <c r="I482" i="2"/>
  <c r="J504" i="2"/>
  <c r="I504" i="2" s="1"/>
  <c r="O439" i="2"/>
  <c r="H347" i="2"/>
  <c r="N402" i="2"/>
  <c r="K402" i="2"/>
  <c r="J402" i="2"/>
  <c r="O402" i="2" s="1"/>
  <c r="F402" i="2"/>
  <c r="N401" i="2"/>
  <c r="K401" i="2"/>
  <c r="I401" i="2" s="1"/>
  <c r="J401" i="2"/>
  <c r="O401" i="2" s="1"/>
  <c r="F401" i="2"/>
  <c r="N400" i="2"/>
  <c r="K400" i="2"/>
  <c r="J400" i="2"/>
  <c r="I400" i="2" s="1"/>
  <c r="F400" i="2"/>
  <c r="N399" i="2"/>
  <c r="K399" i="2"/>
  <c r="J399" i="2"/>
  <c r="L399" i="2" s="1"/>
  <c r="I399" i="2"/>
  <c r="F399" i="2"/>
  <c r="N398" i="2"/>
  <c r="L398" i="2"/>
  <c r="K398" i="2"/>
  <c r="J398" i="2"/>
  <c r="O398" i="2" s="1"/>
  <c r="F398" i="2"/>
  <c r="N397" i="2"/>
  <c r="K397" i="2"/>
  <c r="I397" i="2" s="1"/>
  <c r="J397" i="2"/>
  <c r="O397" i="2" s="1"/>
  <c r="F397" i="2"/>
  <c r="N396" i="2"/>
  <c r="K396" i="2"/>
  <c r="J396" i="2"/>
  <c r="I396" i="2" s="1"/>
  <c r="F396" i="2"/>
  <c r="N395" i="2"/>
  <c r="K395" i="2"/>
  <c r="J395" i="2"/>
  <c r="L395" i="2" s="1"/>
  <c r="F395" i="2"/>
  <c r="N394" i="2"/>
  <c r="L394" i="2"/>
  <c r="K394" i="2"/>
  <c r="J394" i="2"/>
  <c r="O394" i="2" s="1"/>
  <c r="F394" i="2"/>
  <c r="N393" i="2"/>
  <c r="K393" i="2"/>
  <c r="I393" i="2" s="1"/>
  <c r="J393" i="2"/>
  <c r="O393" i="2" s="1"/>
  <c r="F393" i="2"/>
  <c r="N392" i="2"/>
  <c r="K392" i="2"/>
  <c r="J392" i="2"/>
  <c r="I392" i="2" s="1"/>
  <c r="F392" i="2"/>
  <c r="N391" i="2"/>
  <c r="K391" i="2"/>
  <c r="J391" i="2"/>
  <c r="O391" i="2" s="1"/>
  <c r="F391" i="2"/>
  <c r="N390" i="2"/>
  <c r="K390" i="2"/>
  <c r="I390" i="2" s="1"/>
  <c r="J390" i="2"/>
  <c r="O390" i="2" s="1"/>
  <c r="F390" i="2"/>
  <c r="N389" i="2"/>
  <c r="K389" i="2"/>
  <c r="J389" i="2"/>
  <c r="F389" i="2"/>
  <c r="N388" i="2"/>
  <c r="K388" i="2"/>
  <c r="J388" i="2"/>
  <c r="L388" i="2" s="1"/>
  <c r="I388" i="2"/>
  <c r="F388" i="2"/>
  <c r="N387" i="2"/>
  <c r="L387" i="2"/>
  <c r="K387" i="2"/>
  <c r="J387" i="2"/>
  <c r="O387" i="2" s="1"/>
  <c r="F387" i="2"/>
  <c r="N386" i="2"/>
  <c r="K386" i="2"/>
  <c r="I386" i="2" s="1"/>
  <c r="J386" i="2"/>
  <c r="O386" i="2" s="1"/>
  <c r="F386" i="2"/>
  <c r="N385" i="2"/>
  <c r="K385" i="2"/>
  <c r="J385" i="2"/>
  <c r="F385" i="2"/>
  <c r="N384" i="2"/>
  <c r="K384" i="2"/>
  <c r="J384" i="2"/>
  <c r="L384" i="2" s="1"/>
  <c r="I384" i="2"/>
  <c r="F384" i="2"/>
  <c r="N383" i="2"/>
  <c r="L383" i="2"/>
  <c r="K383" i="2"/>
  <c r="J383" i="2"/>
  <c r="O383" i="2" s="1"/>
  <c r="F383" i="2"/>
  <c r="N382" i="2"/>
  <c r="K382" i="2"/>
  <c r="I382" i="2" s="1"/>
  <c r="J382" i="2"/>
  <c r="O382" i="2" s="1"/>
  <c r="F382" i="2"/>
  <c r="N381" i="2"/>
  <c r="K381" i="2"/>
  <c r="J381" i="2"/>
  <c r="I381" i="2" s="1"/>
  <c r="F381" i="2"/>
  <c r="N380" i="2"/>
  <c r="K380" i="2"/>
  <c r="J380" i="2"/>
  <c r="L380" i="2" s="1"/>
  <c r="F380" i="2"/>
  <c r="N379" i="2"/>
  <c r="L379" i="2"/>
  <c r="K379" i="2"/>
  <c r="J379" i="2"/>
  <c r="O379" i="2" s="1"/>
  <c r="F379" i="2"/>
  <c r="N378" i="2"/>
  <c r="K378" i="2"/>
  <c r="I378" i="2" s="1"/>
  <c r="J378" i="2"/>
  <c r="O378" i="2" s="1"/>
  <c r="F378" i="2"/>
  <c r="N377" i="2"/>
  <c r="K377" i="2"/>
  <c r="J377" i="2"/>
  <c r="I377" i="2" s="1"/>
  <c r="F377" i="2"/>
  <c r="N376" i="2"/>
  <c r="K376" i="2"/>
  <c r="J376" i="2"/>
  <c r="F376" i="2"/>
  <c r="N375" i="2"/>
  <c r="L375" i="2"/>
  <c r="K375" i="2"/>
  <c r="J375" i="2"/>
  <c r="O375" i="2" s="1"/>
  <c r="F375" i="2"/>
  <c r="N373" i="2"/>
  <c r="K373" i="2"/>
  <c r="I373" i="2" s="1"/>
  <c r="J373" i="2"/>
  <c r="O373" i="2" s="1"/>
  <c r="F373" i="2"/>
  <c r="H372" i="2"/>
  <c r="G372" i="2"/>
  <c r="E372" i="2"/>
  <c r="D372" i="2"/>
  <c r="N371" i="2"/>
  <c r="K371" i="2"/>
  <c r="J371" i="2"/>
  <c r="L371" i="2" s="1"/>
  <c r="I371" i="2"/>
  <c r="F371" i="2"/>
  <c r="N370" i="2"/>
  <c r="L370" i="2"/>
  <c r="K370" i="2"/>
  <c r="J370" i="2"/>
  <c r="O370" i="2" s="1"/>
  <c r="F370" i="2"/>
  <c r="F372" i="2" s="1"/>
  <c r="N369" i="2"/>
  <c r="K369" i="2"/>
  <c r="J369" i="2"/>
  <c r="O369" i="2" s="1"/>
  <c r="I369" i="2"/>
  <c r="F369" i="2"/>
  <c r="N368" i="2"/>
  <c r="N372" i="2" s="1"/>
  <c r="K368" i="2"/>
  <c r="K372" i="2" s="1"/>
  <c r="J368" i="2"/>
  <c r="I368" i="2" s="1"/>
  <c r="F368" i="2"/>
  <c r="H367" i="2"/>
  <c r="G367" i="2"/>
  <c r="E367" i="2"/>
  <c r="D367" i="2"/>
  <c r="N366" i="2"/>
  <c r="L366" i="2"/>
  <c r="K366" i="2"/>
  <c r="J366" i="2"/>
  <c r="O366" i="2" s="1"/>
  <c r="F366" i="2"/>
  <c r="N365" i="2"/>
  <c r="K365" i="2"/>
  <c r="I365" i="2" s="1"/>
  <c r="J365" i="2"/>
  <c r="O365" i="2" s="1"/>
  <c r="F365" i="2"/>
  <c r="N364" i="2"/>
  <c r="N367" i="2" s="1"/>
  <c r="K364" i="2"/>
  <c r="F364" i="2"/>
  <c r="N363" i="2"/>
  <c r="K363" i="2"/>
  <c r="J363" i="2"/>
  <c r="O363" i="2" s="1"/>
  <c r="F363" i="2"/>
  <c r="N362" i="2"/>
  <c r="K362" i="2"/>
  <c r="I362" i="2" s="1"/>
  <c r="J362" i="2"/>
  <c r="O362" i="2" s="1"/>
  <c r="F362" i="2"/>
  <c r="N361" i="2"/>
  <c r="K361" i="2"/>
  <c r="J361" i="2"/>
  <c r="I361" i="2" s="1"/>
  <c r="F361" i="2"/>
  <c r="N360" i="2"/>
  <c r="L360" i="2"/>
  <c r="K360" i="2"/>
  <c r="K367" i="2" s="1"/>
  <c r="J360" i="2"/>
  <c r="J367" i="2" s="1"/>
  <c r="I360" i="2"/>
  <c r="F360" i="2"/>
  <c r="H358" i="2"/>
  <c r="G358" i="2"/>
  <c r="F358" i="2" s="1"/>
  <c r="O357" i="2"/>
  <c r="K357" i="2"/>
  <c r="K358" i="2" s="1"/>
  <c r="J357" i="2"/>
  <c r="L357" i="2" s="1"/>
  <c r="N356" i="2"/>
  <c r="L356" i="2"/>
  <c r="K356" i="2"/>
  <c r="J356" i="2"/>
  <c r="O356" i="2" s="1"/>
  <c r="I356" i="2"/>
  <c r="F356" i="2"/>
  <c r="N355" i="2"/>
  <c r="L355" i="2"/>
  <c r="K355" i="2"/>
  <c r="J355" i="2"/>
  <c r="O355" i="2" s="1"/>
  <c r="F355" i="2"/>
  <c r="O354" i="2"/>
  <c r="K354" i="2"/>
  <c r="J354" i="2"/>
  <c r="I354" i="2"/>
  <c r="F354" i="2"/>
  <c r="N353" i="2"/>
  <c r="L353" i="2"/>
  <c r="K353" i="2"/>
  <c r="J353" i="2"/>
  <c r="J358" i="2" s="1"/>
  <c r="F353" i="2"/>
  <c r="O351" i="2"/>
  <c r="N351" i="2"/>
  <c r="K351" i="2"/>
  <c r="J351" i="2"/>
  <c r="I351" i="2"/>
  <c r="F351" i="2"/>
  <c r="N350" i="2"/>
  <c r="L350" i="2"/>
  <c r="K350" i="2"/>
  <c r="J350" i="2"/>
  <c r="O350" i="2" s="1"/>
  <c r="F350" i="2"/>
  <c r="N349" i="2"/>
  <c r="K349" i="2"/>
  <c r="I349" i="2" s="1"/>
  <c r="J349" i="2"/>
  <c r="O349" i="2" s="1"/>
  <c r="F349" i="2"/>
  <c r="O348" i="2"/>
  <c r="N348" i="2"/>
  <c r="K348" i="2"/>
  <c r="J348" i="2"/>
  <c r="I348" i="2"/>
  <c r="F348" i="2"/>
  <c r="J347" i="2"/>
  <c r="O347" i="2" s="1"/>
  <c r="H352" i="2"/>
  <c r="G352" i="2"/>
  <c r="N346" i="2"/>
  <c r="K346" i="2"/>
  <c r="J346" i="2"/>
  <c r="O346" i="2" s="1"/>
  <c r="F346" i="2"/>
  <c r="N345" i="2"/>
  <c r="K345" i="2"/>
  <c r="J345" i="2"/>
  <c r="O345" i="2" s="1"/>
  <c r="F345" i="2"/>
  <c r="L376" i="2" l="1"/>
  <c r="J441" i="2"/>
  <c r="I364" i="2"/>
  <c r="F367" i="2"/>
  <c r="L402" i="2"/>
  <c r="I389" i="2"/>
  <c r="I395" i="2"/>
  <c r="I385" i="2"/>
  <c r="I380" i="2"/>
  <c r="K403" i="2"/>
  <c r="I376" i="2"/>
  <c r="L347" i="2"/>
  <c r="O352" i="2"/>
  <c r="L367" i="2"/>
  <c r="I358" i="2"/>
  <c r="K374" i="2"/>
  <c r="J372" i="2"/>
  <c r="L372" i="2" s="1"/>
  <c r="O377" i="2"/>
  <c r="O381" i="2"/>
  <c r="O389" i="2"/>
  <c r="O392" i="2"/>
  <c r="O400" i="2"/>
  <c r="J403" i="2"/>
  <c r="L345" i="2"/>
  <c r="I346" i="2"/>
  <c r="N347" i="2"/>
  <c r="L349" i="2"/>
  <c r="I350" i="2"/>
  <c r="J352" i="2"/>
  <c r="I353" i="2"/>
  <c r="I355" i="2"/>
  <c r="O360" i="2"/>
  <c r="L362" i="2"/>
  <c r="I363" i="2"/>
  <c r="L365" i="2"/>
  <c r="I366" i="2"/>
  <c r="I367" i="2" s="1"/>
  <c r="L369" i="2"/>
  <c r="I370" i="2"/>
  <c r="I372" i="2" s="1"/>
  <c r="O371" i="2"/>
  <c r="L373" i="2"/>
  <c r="I375" i="2"/>
  <c r="O376" i="2"/>
  <c r="L378" i="2"/>
  <c r="I379" i="2"/>
  <c r="O380" i="2"/>
  <c r="L382" i="2"/>
  <c r="I383" i="2"/>
  <c r="O384" i="2"/>
  <c r="L386" i="2"/>
  <c r="I387" i="2"/>
  <c r="O388" i="2"/>
  <c r="L390" i="2"/>
  <c r="I391" i="2"/>
  <c r="L393" i="2"/>
  <c r="I394" i="2"/>
  <c r="O395" i="2"/>
  <c r="L397" i="2"/>
  <c r="I398" i="2"/>
  <c r="O399" i="2"/>
  <c r="L401" i="2"/>
  <c r="I402" i="2"/>
  <c r="O364" i="2"/>
  <c r="O368" i="2"/>
  <c r="O372" i="2" s="1"/>
  <c r="I345" i="2"/>
  <c r="F347" i="2"/>
  <c r="F352" i="2" s="1"/>
  <c r="O353" i="2"/>
  <c r="O358" i="2" s="1"/>
  <c r="I357" i="2"/>
  <c r="L361" i="2"/>
  <c r="L364" i="2"/>
  <c r="L368" i="2"/>
  <c r="L377" i="2"/>
  <c r="L381" i="2"/>
  <c r="L385" i="2"/>
  <c r="L389" i="2"/>
  <c r="L392" i="2"/>
  <c r="L396" i="2"/>
  <c r="L400" i="2"/>
  <c r="O361" i="2"/>
  <c r="O385" i="2"/>
  <c r="O396" i="2"/>
  <c r="K347" i="2"/>
  <c r="I347" i="2" s="1"/>
  <c r="O441" i="2" l="1"/>
  <c r="O468" i="2" s="1"/>
  <c r="O470" i="2" s="1"/>
  <c r="J506" i="2"/>
  <c r="L441" i="2"/>
  <c r="I441" i="2"/>
  <c r="J468" i="2"/>
  <c r="I468" i="2" s="1"/>
  <c r="O403" i="2"/>
  <c r="I403" i="2"/>
  <c r="O367" i="2"/>
  <c r="O374" i="2" s="1"/>
  <c r="K352" i="2"/>
  <c r="I352" i="2" s="1"/>
  <c r="J374" i="2"/>
  <c r="I374" i="2" s="1"/>
  <c r="O359" i="2"/>
  <c r="L506" i="2" l="1"/>
  <c r="J571" i="2"/>
  <c r="I506" i="2"/>
  <c r="O506" i="2"/>
  <c r="O533" i="2" s="1"/>
  <c r="J533" i="2"/>
  <c r="O405" i="2"/>
  <c r="L571" i="2" l="1"/>
  <c r="I571" i="2"/>
  <c r="O571" i="2"/>
  <c r="O598" i="2" s="1"/>
  <c r="O600" i="2" s="1"/>
  <c r="J598" i="2"/>
  <c r="I598" i="2" s="1"/>
  <c r="I533" i="2"/>
  <c r="O535" i="2"/>
  <c r="H282" i="2"/>
  <c r="G282" i="2"/>
  <c r="N337" i="2"/>
  <c r="L337" i="2"/>
  <c r="K337" i="2"/>
  <c r="J337" i="2"/>
  <c r="O337" i="2" s="1"/>
  <c r="I337" i="2"/>
  <c r="F337" i="2"/>
  <c r="N336" i="2"/>
  <c r="L336" i="2"/>
  <c r="K336" i="2"/>
  <c r="I336" i="2" s="1"/>
  <c r="J336" i="2"/>
  <c r="O336" i="2" s="1"/>
  <c r="F336" i="2"/>
  <c r="N335" i="2"/>
  <c r="K335" i="2"/>
  <c r="J335" i="2"/>
  <c r="I335" i="2" s="1"/>
  <c r="F335" i="2"/>
  <c r="N334" i="2"/>
  <c r="K334" i="2"/>
  <c r="J334" i="2"/>
  <c r="L334" i="2" s="1"/>
  <c r="I334" i="2"/>
  <c r="F334" i="2"/>
  <c r="N333" i="2"/>
  <c r="L333" i="2"/>
  <c r="K333" i="2"/>
  <c r="J333" i="2"/>
  <c r="O333" i="2" s="1"/>
  <c r="I333" i="2"/>
  <c r="F333" i="2"/>
  <c r="N332" i="2"/>
  <c r="L332" i="2"/>
  <c r="K332" i="2"/>
  <c r="I332" i="2" s="1"/>
  <c r="J332" i="2"/>
  <c r="O332" i="2" s="1"/>
  <c r="F332" i="2"/>
  <c r="N331" i="2"/>
  <c r="K331" i="2"/>
  <c r="J331" i="2"/>
  <c r="I331" i="2" s="1"/>
  <c r="F331" i="2"/>
  <c r="N330" i="2"/>
  <c r="K330" i="2"/>
  <c r="J330" i="2"/>
  <c r="L330" i="2" s="1"/>
  <c r="F330" i="2"/>
  <c r="N329" i="2"/>
  <c r="L329" i="2"/>
  <c r="K329" i="2"/>
  <c r="J329" i="2"/>
  <c r="O329" i="2" s="1"/>
  <c r="I329" i="2"/>
  <c r="F329" i="2"/>
  <c r="N328" i="2"/>
  <c r="L328" i="2"/>
  <c r="K328" i="2"/>
  <c r="I328" i="2" s="1"/>
  <c r="J328" i="2"/>
  <c r="O328" i="2" s="1"/>
  <c r="F328" i="2"/>
  <c r="N327" i="2"/>
  <c r="K327" i="2"/>
  <c r="J327" i="2"/>
  <c r="I327" i="2" s="1"/>
  <c r="F327" i="2"/>
  <c r="O326" i="2"/>
  <c r="N326" i="2"/>
  <c r="K326" i="2"/>
  <c r="J326" i="2"/>
  <c r="I326" i="2"/>
  <c r="F326" i="2"/>
  <c r="N325" i="2"/>
  <c r="L325" i="2"/>
  <c r="K325" i="2"/>
  <c r="J325" i="2"/>
  <c r="O325" i="2" s="1"/>
  <c r="F325" i="2"/>
  <c r="N324" i="2"/>
  <c r="K324" i="2"/>
  <c r="J324" i="2"/>
  <c r="F324" i="2"/>
  <c r="N323" i="2"/>
  <c r="K323" i="2"/>
  <c r="J323" i="2"/>
  <c r="L323" i="2" s="1"/>
  <c r="I323" i="2"/>
  <c r="F323" i="2"/>
  <c r="N322" i="2"/>
  <c r="L322" i="2"/>
  <c r="K322" i="2"/>
  <c r="J322" i="2"/>
  <c r="O322" i="2" s="1"/>
  <c r="I322" i="2"/>
  <c r="F322" i="2"/>
  <c r="N321" i="2"/>
  <c r="L321" i="2"/>
  <c r="K321" i="2"/>
  <c r="J321" i="2"/>
  <c r="O321" i="2" s="1"/>
  <c r="F321" i="2"/>
  <c r="N320" i="2"/>
  <c r="K320" i="2"/>
  <c r="J320" i="2"/>
  <c r="F320" i="2"/>
  <c r="N319" i="2"/>
  <c r="K319" i="2"/>
  <c r="J319" i="2"/>
  <c r="L319" i="2" s="1"/>
  <c r="I319" i="2"/>
  <c r="F319" i="2"/>
  <c r="N318" i="2"/>
  <c r="K318" i="2"/>
  <c r="J318" i="2"/>
  <c r="O318" i="2" s="1"/>
  <c r="I318" i="2"/>
  <c r="F318" i="2"/>
  <c r="N317" i="2"/>
  <c r="L317" i="2"/>
  <c r="K317" i="2"/>
  <c r="J317" i="2"/>
  <c r="O317" i="2" s="1"/>
  <c r="F317" i="2"/>
  <c r="N316" i="2"/>
  <c r="K316" i="2"/>
  <c r="J316" i="2"/>
  <c r="F316" i="2"/>
  <c r="N315" i="2"/>
  <c r="K315" i="2"/>
  <c r="J315" i="2"/>
  <c r="L315" i="2" s="1"/>
  <c r="F315" i="2"/>
  <c r="N314" i="2"/>
  <c r="L314" i="2"/>
  <c r="K314" i="2"/>
  <c r="J314" i="2"/>
  <c r="O314" i="2" s="1"/>
  <c r="I314" i="2"/>
  <c r="F314" i="2"/>
  <c r="N313" i="2"/>
  <c r="F313" i="2"/>
  <c r="N312" i="2"/>
  <c r="K312" i="2"/>
  <c r="J312" i="2"/>
  <c r="I312" i="2" s="1"/>
  <c r="F312" i="2"/>
  <c r="N311" i="2"/>
  <c r="K311" i="2"/>
  <c r="J311" i="2"/>
  <c r="L311" i="2" s="1"/>
  <c r="F311" i="2"/>
  <c r="N310" i="2"/>
  <c r="L310" i="2"/>
  <c r="K310" i="2"/>
  <c r="J310" i="2"/>
  <c r="O310" i="2" s="1"/>
  <c r="I310" i="2"/>
  <c r="F310" i="2"/>
  <c r="N308" i="2"/>
  <c r="L308" i="2"/>
  <c r="K308" i="2"/>
  <c r="J308" i="2"/>
  <c r="O308" i="2" s="1"/>
  <c r="F308" i="2"/>
  <c r="H307" i="2"/>
  <c r="G307" i="2"/>
  <c r="E307" i="2"/>
  <c r="D307" i="2"/>
  <c r="N306" i="2"/>
  <c r="K306" i="2"/>
  <c r="J306" i="2"/>
  <c r="L306" i="2" s="1"/>
  <c r="I306" i="2"/>
  <c r="F306" i="2"/>
  <c r="N305" i="2"/>
  <c r="L305" i="2"/>
  <c r="K305" i="2"/>
  <c r="J305" i="2"/>
  <c r="O305" i="2" s="1"/>
  <c r="F305" i="2"/>
  <c r="I305" i="2" s="1"/>
  <c r="N304" i="2"/>
  <c r="K304" i="2"/>
  <c r="J304" i="2"/>
  <c r="O304" i="2" s="1"/>
  <c r="F304" i="2"/>
  <c r="I304" i="2" s="1"/>
  <c r="N303" i="2"/>
  <c r="N307" i="2" s="1"/>
  <c r="K303" i="2"/>
  <c r="K307" i="2" s="1"/>
  <c r="J303" i="2"/>
  <c r="I303" i="2" s="1"/>
  <c r="F303" i="2"/>
  <c r="H302" i="2"/>
  <c r="G302" i="2"/>
  <c r="E302" i="2"/>
  <c r="D302" i="2"/>
  <c r="N301" i="2"/>
  <c r="L301" i="2"/>
  <c r="K301" i="2"/>
  <c r="J301" i="2"/>
  <c r="O301" i="2" s="1"/>
  <c r="I301" i="2"/>
  <c r="F301" i="2"/>
  <c r="N300" i="2"/>
  <c r="L300" i="2"/>
  <c r="K300" i="2"/>
  <c r="I300" i="2" s="1"/>
  <c r="J300" i="2"/>
  <c r="O300" i="2" s="1"/>
  <c r="F300" i="2"/>
  <c r="N299" i="2"/>
  <c r="N302" i="2" s="1"/>
  <c r="K299" i="2"/>
  <c r="J299" i="2"/>
  <c r="F299" i="2"/>
  <c r="O298" i="2"/>
  <c r="N298" i="2"/>
  <c r="K298" i="2"/>
  <c r="J298" i="2"/>
  <c r="I298" i="2"/>
  <c r="F298" i="2"/>
  <c r="N297" i="2"/>
  <c r="L297" i="2"/>
  <c r="K297" i="2"/>
  <c r="J297" i="2"/>
  <c r="O297" i="2" s="1"/>
  <c r="F297" i="2"/>
  <c r="N296" i="2"/>
  <c r="K296" i="2"/>
  <c r="J296" i="2"/>
  <c r="I296" i="2" s="1"/>
  <c r="F296" i="2"/>
  <c r="N295" i="2"/>
  <c r="K295" i="2"/>
  <c r="J295" i="2"/>
  <c r="L295" i="2" s="1"/>
  <c r="I295" i="2"/>
  <c r="F295" i="2"/>
  <c r="H293" i="2"/>
  <c r="G293" i="2"/>
  <c r="F293" i="2" s="1"/>
  <c r="L292" i="2"/>
  <c r="K292" i="2"/>
  <c r="I292" i="2" s="1"/>
  <c r="J292" i="2"/>
  <c r="O292" i="2" s="1"/>
  <c r="N291" i="2"/>
  <c r="K291" i="2"/>
  <c r="J291" i="2"/>
  <c r="L291" i="2" s="1"/>
  <c r="I291" i="2"/>
  <c r="F291" i="2"/>
  <c r="N290" i="2"/>
  <c r="L290" i="2"/>
  <c r="K290" i="2"/>
  <c r="J290" i="2"/>
  <c r="O290" i="2" s="1"/>
  <c r="I290" i="2"/>
  <c r="F290" i="2"/>
  <c r="K289" i="2"/>
  <c r="J289" i="2"/>
  <c r="O289" i="2" s="1"/>
  <c r="I289" i="2"/>
  <c r="F289" i="2"/>
  <c r="N288" i="2"/>
  <c r="L288" i="2"/>
  <c r="K288" i="2"/>
  <c r="J288" i="2"/>
  <c r="J293" i="2" s="1"/>
  <c r="I288" i="2"/>
  <c r="F288" i="2"/>
  <c r="G287" i="2"/>
  <c r="O286" i="2"/>
  <c r="N286" i="2"/>
  <c r="K286" i="2"/>
  <c r="J286" i="2"/>
  <c r="I286" i="2"/>
  <c r="F286" i="2"/>
  <c r="N285" i="2"/>
  <c r="L285" i="2"/>
  <c r="K285" i="2"/>
  <c r="J285" i="2"/>
  <c r="O285" i="2" s="1"/>
  <c r="I285" i="2"/>
  <c r="F285" i="2"/>
  <c r="N284" i="2"/>
  <c r="L284" i="2"/>
  <c r="K284" i="2"/>
  <c r="J284" i="2"/>
  <c r="O284" i="2" s="1"/>
  <c r="F284" i="2"/>
  <c r="O283" i="2"/>
  <c r="N283" i="2"/>
  <c r="K283" i="2"/>
  <c r="J283" i="2"/>
  <c r="I283" i="2"/>
  <c r="F283" i="2"/>
  <c r="N282" i="2"/>
  <c r="J282" i="2"/>
  <c r="O282" i="2" s="1"/>
  <c r="H287" i="2"/>
  <c r="N281" i="2"/>
  <c r="K281" i="2"/>
  <c r="J281" i="2"/>
  <c r="O281" i="2" s="1"/>
  <c r="F281" i="2"/>
  <c r="N280" i="2"/>
  <c r="K280" i="2"/>
  <c r="J280" i="2"/>
  <c r="F280" i="2"/>
  <c r="I320" i="2" l="1"/>
  <c r="I315" i="2"/>
  <c r="I330" i="2"/>
  <c r="I324" i="2"/>
  <c r="L318" i="2"/>
  <c r="I316" i="2"/>
  <c r="I311" i="2"/>
  <c r="I307" i="2"/>
  <c r="L304" i="2"/>
  <c r="F302" i="2"/>
  <c r="I299" i="2"/>
  <c r="I302" i="2" s="1"/>
  <c r="K302" i="2"/>
  <c r="K309" i="2" s="1"/>
  <c r="L282" i="2"/>
  <c r="I280" i="2"/>
  <c r="O280" i="2"/>
  <c r="O287" i="2" s="1"/>
  <c r="K293" i="2"/>
  <c r="I293" i="2" s="1"/>
  <c r="O296" i="2"/>
  <c r="O303" i="2"/>
  <c r="F307" i="2"/>
  <c r="O312" i="2"/>
  <c r="O316" i="2"/>
  <c r="O324" i="2"/>
  <c r="O327" i="2"/>
  <c r="O335" i="2"/>
  <c r="J287" i="2"/>
  <c r="O291" i="2"/>
  <c r="O295" i="2"/>
  <c r="O306" i="2"/>
  <c r="O315" i="2"/>
  <c r="O330" i="2"/>
  <c r="L280" i="2"/>
  <c r="I281" i="2"/>
  <c r="I284" i="2"/>
  <c r="O288" i="2"/>
  <c r="O293" i="2" s="1"/>
  <c r="L296" i="2"/>
  <c r="I297" i="2"/>
  <c r="L299" i="2"/>
  <c r="L303" i="2"/>
  <c r="I308" i="2"/>
  <c r="L312" i="2"/>
  <c r="L316" i="2"/>
  <c r="I317" i="2"/>
  <c r="L320" i="2"/>
  <c r="I321" i="2"/>
  <c r="L324" i="2"/>
  <c r="I325" i="2"/>
  <c r="L327" i="2"/>
  <c r="L331" i="2"/>
  <c r="L335" i="2"/>
  <c r="O299" i="2"/>
  <c r="J307" i="2"/>
  <c r="L307" i="2" s="1"/>
  <c r="O320" i="2"/>
  <c r="O331" i="2"/>
  <c r="J302" i="2"/>
  <c r="O311" i="2"/>
  <c r="O319" i="2"/>
  <c r="O323" i="2"/>
  <c r="O334" i="2"/>
  <c r="F282" i="2"/>
  <c r="F287" i="2" s="1"/>
  <c r="K282" i="2"/>
  <c r="I282" i="2" s="1"/>
  <c r="K287" i="2" l="1"/>
  <c r="I287" i="2" s="1"/>
  <c r="L302" i="2"/>
  <c r="J309" i="2"/>
  <c r="I309" i="2" s="1"/>
  <c r="O302" i="2"/>
  <c r="O294" i="2"/>
  <c r="O307" i="2"/>
  <c r="H217" i="2"/>
  <c r="O309" i="2" l="1"/>
  <c r="H152" i="2"/>
  <c r="G152" i="2"/>
  <c r="N272" i="2"/>
  <c r="L272" i="2"/>
  <c r="K272" i="2"/>
  <c r="J272" i="2"/>
  <c r="O272" i="2" s="1"/>
  <c r="I272" i="2"/>
  <c r="F272" i="2"/>
  <c r="N271" i="2"/>
  <c r="L271" i="2"/>
  <c r="K271" i="2"/>
  <c r="I271" i="2" s="1"/>
  <c r="J271" i="2"/>
  <c r="O271" i="2" s="1"/>
  <c r="F271" i="2"/>
  <c r="N270" i="2"/>
  <c r="K270" i="2"/>
  <c r="J270" i="2"/>
  <c r="I270" i="2" s="1"/>
  <c r="F270" i="2"/>
  <c r="N269" i="2"/>
  <c r="K269" i="2"/>
  <c r="J269" i="2"/>
  <c r="L269" i="2" s="1"/>
  <c r="I269" i="2"/>
  <c r="F269" i="2"/>
  <c r="N268" i="2"/>
  <c r="L268" i="2"/>
  <c r="K268" i="2"/>
  <c r="J268" i="2"/>
  <c r="O268" i="2" s="1"/>
  <c r="I268" i="2"/>
  <c r="F268" i="2"/>
  <c r="N267" i="2"/>
  <c r="L267" i="2"/>
  <c r="K267" i="2"/>
  <c r="I267" i="2" s="1"/>
  <c r="J267" i="2"/>
  <c r="O267" i="2" s="1"/>
  <c r="F267" i="2"/>
  <c r="N266" i="2"/>
  <c r="K266" i="2"/>
  <c r="J266" i="2"/>
  <c r="I266" i="2" s="1"/>
  <c r="F266" i="2"/>
  <c r="N265" i="2"/>
  <c r="K265" i="2"/>
  <c r="J265" i="2"/>
  <c r="L265" i="2" s="1"/>
  <c r="I265" i="2"/>
  <c r="F265" i="2"/>
  <c r="N264" i="2"/>
  <c r="L264" i="2"/>
  <c r="K264" i="2"/>
  <c r="J264" i="2"/>
  <c r="O264" i="2" s="1"/>
  <c r="I264" i="2"/>
  <c r="F264" i="2"/>
  <c r="N263" i="2"/>
  <c r="L263" i="2"/>
  <c r="K263" i="2"/>
  <c r="I263" i="2" s="1"/>
  <c r="J263" i="2"/>
  <c r="O263" i="2" s="1"/>
  <c r="F263" i="2"/>
  <c r="N262" i="2"/>
  <c r="K262" i="2"/>
  <c r="J262" i="2"/>
  <c r="F262" i="2"/>
  <c r="O261" i="2"/>
  <c r="N261" i="2"/>
  <c r="K261" i="2"/>
  <c r="J261" i="2"/>
  <c r="I261" i="2"/>
  <c r="F261" i="2"/>
  <c r="N260" i="2"/>
  <c r="L260" i="2"/>
  <c r="K260" i="2"/>
  <c r="I260" i="2" s="1"/>
  <c r="J260" i="2"/>
  <c r="O260" i="2" s="1"/>
  <c r="F260" i="2"/>
  <c r="N259" i="2"/>
  <c r="K259" i="2"/>
  <c r="J259" i="2"/>
  <c r="F259" i="2"/>
  <c r="N258" i="2"/>
  <c r="K258" i="2"/>
  <c r="J258" i="2"/>
  <c r="L258" i="2" s="1"/>
  <c r="I258" i="2"/>
  <c r="F258" i="2"/>
  <c r="N257" i="2"/>
  <c r="L257" i="2"/>
  <c r="K257" i="2"/>
  <c r="J257" i="2"/>
  <c r="O257" i="2" s="1"/>
  <c r="I257" i="2"/>
  <c r="F257" i="2"/>
  <c r="N256" i="2"/>
  <c r="L256" i="2"/>
  <c r="K256" i="2"/>
  <c r="I256" i="2" s="1"/>
  <c r="J256" i="2"/>
  <c r="O256" i="2" s="1"/>
  <c r="F256" i="2"/>
  <c r="N255" i="2"/>
  <c r="K255" i="2"/>
  <c r="J255" i="2"/>
  <c r="I255" i="2" s="1"/>
  <c r="F255" i="2"/>
  <c r="N254" i="2"/>
  <c r="K254" i="2"/>
  <c r="J254" i="2"/>
  <c r="L254" i="2" s="1"/>
  <c r="I254" i="2"/>
  <c r="F254" i="2"/>
  <c r="N253" i="2"/>
  <c r="K253" i="2"/>
  <c r="J253" i="2"/>
  <c r="O253" i="2" s="1"/>
  <c r="F253" i="2"/>
  <c r="N252" i="2"/>
  <c r="L252" i="2"/>
  <c r="K252" i="2"/>
  <c r="I252" i="2" s="1"/>
  <c r="J252" i="2"/>
  <c r="O252" i="2" s="1"/>
  <c r="F252" i="2"/>
  <c r="N251" i="2"/>
  <c r="K251" i="2"/>
  <c r="J251" i="2"/>
  <c r="I251" i="2" s="1"/>
  <c r="F251" i="2"/>
  <c r="N250" i="2"/>
  <c r="K250" i="2"/>
  <c r="J250" i="2"/>
  <c r="L250" i="2" s="1"/>
  <c r="I250" i="2"/>
  <c r="F250" i="2"/>
  <c r="N249" i="2"/>
  <c r="L249" i="2"/>
  <c r="K249" i="2"/>
  <c r="J249" i="2"/>
  <c r="O249" i="2" s="1"/>
  <c r="I249" i="2"/>
  <c r="F249" i="2"/>
  <c r="N248" i="2"/>
  <c r="F248" i="2"/>
  <c r="N247" i="2"/>
  <c r="K247" i="2"/>
  <c r="J247" i="2"/>
  <c r="I247" i="2" s="1"/>
  <c r="F247" i="2"/>
  <c r="N246" i="2"/>
  <c r="K246" i="2"/>
  <c r="J246" i="2"/>
  <c r="L246" i="2" s="1"/>
  <c r="F246" i="2"/>
  <c r="N245" i="2"/>
  <c r="L245" i="2"/>
  <c r="K245" i="2"/>
  <c r="J245" i="2"/>
  <c r="O245" i="2" s="1"/>
  <c r="I245" i="2"/>
  <c r="F245" i="2"/>
  <c r="N243" i="2"/>
  <c r="L243" i="2"/>
  <c r="K243" i="2"/>
  <c r="I243" i="2" s="1"/>
  <c r="J243" i="2"/>
  <c r="O243" i="2" s="1"/>
  <c r="F243" i="2"/>
  <c r="H242" i="2"/>
  <c r="G242" i="2"/>
  <c r="E242" i="2"/>
  <c r="D242" i="2"/>
  <c r="N241" i="2"/>
  <c r="K241" i="2"/>
  <c r="J241" i="2"/>
  <c r="L241" i="2" s="1"/>
  <c r="I241" i="2"/>
  <c r="F241" i="2"/>
  <c r="N240" i="2"/>
  <c r="L240" i="2"/>
  <c r="K240" i="2"/>
  <c r="J240" i="2"/>
  <c r="O240" i="2" s="1"/>
  <c r="F240" i="2"/>
  <c r="I240" i="2" s="1"/>
  <c r="N239" i="2"/>
  <c r="K239" i="2"/>
  <c r="J239" i="2"/>
  <c r="O239" i="2" s="1"/>
  <c r="F239" i="2"/>
  <c r="I239" i="2" s="1"/>
  <c r="N238" i="2"/>
  <c r="K238" i="2"/>
  <c r="K242" i="2" s="1"/>
  <c r="J238" i="2"/>
  <c r="I238" i="2" s="1"/>
  <c r="F238" i="2"/>
  <c r="H237" i="2"/>
  <c r="G237" i="2"/>
  <c r="E237" i="2"/>
  <c r="D237" i="2"/>
  <c r="N236" i="2"/>
  <c r="L236" i="2"/>
  <c r="K236" i="2"/>
  <c r="J236" i="2"/>
  <c r="O236" i="2" s="1"/>
  <c r="I236" i="2"/>
  <c r="F236" i="2"/>
  <c r="N235" i="2"/>
  <c r="L235" i="2"/>
  <c r="K235" i="2"/>
  <c r="I235" i="2" s="1"/>
  <c r="J235" i="2"/>
  <c r="O235" i="2" s="1"/>
  <c r="F235" i="2"/>
  <c r="N234" i="2"/>
  <c r="N237" i="2" s="1"/>
  <c r="K234" i="2"/>
  <c r="J234" i="2"/>
  <c r="F234" i="2"/>
  <c r="O233" i="2"/>
  <c r="N233" i="2"/>
  <c r="K233" i="2"/>
  <c r="J233" i="2"/>
  <c r="I233" i="2"/>
  <c r="F233" i="2"/>
  <c r="N232" i="2"/>
  <c r="L232" i="2"/>
  <c r="K232" i="2"/>
  <c r="I232" i="2" s="1"/>
  <c r="J232" i="2"/>
  <c r="O232" i="2" s="1"/>
  <c r="F232" i="2"/>
  <c r="F237" i="2" s="1"/>
  <c r="N231" i="2"/>
  <c r="K231" i="2"/>
  <c r="J231" i="2"/>
  <c r="I231" i="2" s="1"/>
  <c r="F231" i="2"/>
  <c r="N230" i="2"/>
  <c r="K230" i="2"/>
  <c r="J230" i="2"/>
  <c r="L230" i="2" s="1"/>
  <c r="I230" i="2"/>
  <c r="F230" i="2"/>
  <c r="H228" i="2"/>
  <c r="G228" i="2"/>
  <c r="F228" i="2" s="1"/>
  <c r="O227" i="2"/>
  <c r="L227" i="2"/>
  <c r="K227" i="2"/>
  <c r="I227" i="2" s="1"/>
  <c r="J227" i="2"/>
  <c r="N226" i="2"/>
  <c r="K226" i="2"/>
  <c r="J226" i="2"/>
  <c r="L226" i="2" s="1"/>
  <c r="I226" i="2"/>
  <c r="F226" i="2"/>
  <c r="N225" i="2"/>
  <c r="L225" i="2"/>
  <c r="K225" i="2"/>
  <c r="J225" i="2"/>
  <c r="O225" i="2" s="1"/>
  <c r="I225" i="2"/>
  <c r="F225" i="2"/>
  <c r="K224" i="2"/>
  <c r="J224" i="2"/>
  <c r="O224" i="2" s="1"/>
  <c r="I224" i="2"/>
  <c r="F224" i="2"/>
  <c r="N223" i="2"/>
  <c r="L223" i="2"/>
  <c r="K223" i="2"/>
  <c r="J223" i="2"/>
  <c r="J228" i="2" s="1"/>
  <c r="I223" i="2"/>
  <c r="F223" i="2"/>
  <c r="H222" i="2"/>
  <c r="G222" i="2"/>
  <c r="O221" i="2"/>
  <c r="N221" i="2"/>
  <c r="K221" i="2"/>
  <c r="J221" i="2"/>
  <c r="I221" i="2"/>
  <c r="F221" i="2"/>
  <c r="N220" i="2"/>
  <c r="L220" i="2"/>
  <c r="K220" i="2"/>
  <c r="J220" i="2"/>
  <c r="O220" i="2" s="1"/>
  <c r="I220" i="2"/>
  <c r="F220" i="2"/>
  <c r="N219" i="2"/>
  <c r="L219" i="2"/>
  <c r="K219" i="2"/>
  <c r="I219" i="2" s="1"/>
  <c r="J219" i="2"/>
  <c r="O219" i="2" s="1"/>
  <c r="F219" i="2"/>
  <c r="O218" i="2"/>
  <c r="N218" i="2"/>
  <c r="K218" i="2"/>
  <c r="J218" i="2"/>
  <c r="I218" i="2"/>
  <c r="F218" i="2"/>
  <c r="N217" i="2"/>
  <c r="F217" i="2"/>
  <c r="N216" i="2"/>
  <c r="K216" i="2"/>
  <c r="J216" i="2"/>
  <c r="O216" i="2" s="1"/>
  <c r="F216" i="2"/>
  <c r="N215" i="2"/>
  <c r="K215" i="2"/>
  <c r="J215" i="2"/>
  <c r="L215" i="2" s="1"/>
  <c r="F215" i="2"/>
  <c r="L253" i="2" l="1"/>
  <c r="I246" i="2"/>
  <c r="I215" i="2"/>
  <c r="F222" i="2"/>
  <c r="K237" i="2"/>
  <c r="I234" i="2"/>
  <c r="I237" i="2" s="1"/>
  <c r="I242" i="2"/>
  <c r="N242" i="2"/>
  <c r="L239" i="2"/>
  <c r="I262" i="2"/>
  <c r="I259" i="2"/>
  <c r="I253" i="2"/>
  <c r="K244" i="2"/>
  <c r="K228" i="2"/>
  <c r="I228" i="2" s="1"/>
  <c r="O234" i="2"/>
  <c r="F242" i="2"/>
  <c r="O255" i="2"/>
  <c r="O266" i="2"/>
  <c r="O230" i="2"/>
  <c r="O246" i="2"/>
  <c r="O254" i="2"/>
  <c r="O258" i="2"/>
  <c r="O223" i="2"/>
  <c r="L231" i="2"/>
  <c r="L234" i="2"/>
  <c r="L238" i="2"/>
  <c r="L247" i="2"/>
  <c r="L251" i="2"/>
  <c r="L255" i="2"/>
  <c r="L259" i="2"/>
  <c r="L262" i="2"/>
  <c r="L266" i="2"/>
  <c r="L270" i="2"/>
  <c r="O231" i="2"/>
  <c r="O238" i="2"/>
  <c r="J242" i="2"/>
  <c r="L242" i="2" s="1"/>
  <c r="O247" i="2"/>
  <c r="O251" i="2"/>
  <c r="O259" i="2"/>
  <c r="O262" i="2"/>
  <c r="O270" i="2"/>
  <c r="O215" i="2"/>
  <c r="O226" i="2"/>
  <c r="J237" i="2"/>
  <c r="O241" i="2"/>
  <c r="O250" i="2"/>
  <c r="O265" i="2"/>
  <c r="O269" i="2"/>
  <c r="I216" i="2"/>
  <c r="O242" i="2" l="1"/>
  <c r="O244" i="2" s="1"/>
  <c r="O228" i="2"/>
  <c r="O237" i="2"/>
  <c r="L237" i="2"/>
  <c r="J244" i="2"/>
  <c r="I244" i="2" s="1"/>
  <c r="N207" i="2" l="1"/>
  <c r="K207" i="2"/>
  <c r="J207" i="2"/>
  <c r="I207" i="2" s="1"/>
  <c r="F207" i="2"/>
  <c r="N206" i="2"/>
  <c r="K206" i="2"/>
  <c r="J206" i="2"/>
  <c r="L206" i="2" s="1"/>
  <c r="I206" i="2"/>
  <c r="F206" i="2"/>
  <c r="N205" i="2"/>
  <c r="L205" i="2"/>
  <c r="K205" i="2"/>
  <c r="J205" i="2"/>
  <c r="O205" i="2" s="1"/>
  <c r="I205" i="2"/>
  <c r="F205" i="2"/>
  <c r="N204" i="2"/>
  <c r="L204" i="2"/>
  <c r="K204" i="2"/>
  <c r="J204" i="2"/>
  <c r="O204" i="2" s="1"/>
  <c r="F204" i="2"/>
  <c r="N203" i="2"/>
  <c r="F203" i="2"/>
  <c r="N202" i="2"/>
  <c r="K202" i="2"/>
  <c r="J202" i="2"/>
  <c r="L202" i="2" s="1"/>
  <c r="I202" i="2"/>
  <c r="F202" i="2"/>
  <c r="N201" i="2"/>
  <c r="L201" i="2"/>
  <c r="K201" i="2"/>
  <c r="J201" i="2"/>
  <c r="O201" i="2" s="1"/>
  <c r="I201" i="2"/>
  <c r="F201" i="2"/>
  <c r="N200" i="2"/>
  <c r="F200" i="2"/>
  <c r="N199" i="2"/>
  <c r="K199" i="2"/>
  <c r="J199" i="2"/>
  <c r="I199" i="2" s="1"/>
  <c r="F199" i="2"/>
  <c r="N198" i="2"/>
  <c r="K198" i="2"/>
  <c r="J198" i="2"/>
  <c r="L198" i="2" s="1"/>
  <c r="I198" i="2"/>
  <c r="F198" i="2"/>
  <c r="N197" i="2"/>
  <c r="F197" i="2"/>
  <c r="N196" i="2"/>
  <c r="K196" i="2"/>
  <c r="J196" i="2"/>
  <c r="O196" i="2" s="1"/>
  <c r="F196" i="2"/>
  <c r="N195" i="2"/>
  <c r="K195" i="2"/>
  <c r="J195" i="2"/>
  <c r="L195" i="2" s="1"/>
  <c r="I195" i="2"/>
  <c r="F195" i="2"/>
  <c r="N194" i="2"/>
  <c r="F194" i="2"/>
  <c r="N193" i="2"/>
  <c r="L193" i="2"/>
  <c r="K193" i="2"/>
  <c r="J193" i="2"/>
  <c r="O193" i="2" s="1"/>
  <c r="F193" i="2"/>
  <c r="N192" i="2"/>
  <c r="K192" i="2"/>
  <c r="J192" i="2"/>
  <c r="I192" i="2" s="1"/>
  <c r="F192" i="2"/>
  <c r="N191" i="2"/>
  <c r="K191" i="2"/>
  <c r="J191" i="2"/>
  <c r="L191" i="2" s="1"/>
  <c r="I191" i="2"/>
  <c r="F191" i="2"/>
  <c r="N190" i="2"/>
  <c r="L190" i="2"/>
  <c r="K190" i="2"/>
  <c r="J190" i="2"/>
  <c r="O190" i="2" s="1"/>
  <c r="I190" i="2"/>
  <c r="F190" i="2"/>
  <c r="N189" i="2"/>
  <c r="L189" i="2"/>
  <c r="K189" i="2"/>
  <c r="J189" i="2"/>
  <c r="O189" i="2" s="1"/>
  <c r="F189" i="2"/>
  <c r="N188" i="2"/>
  <c r="K188" i="2"/>
  <c r="J188" i="2"/>
  <c r="F188" i="2"/>
  <c r="N187" i="2"/>
  <c r="K187" i="2"/>
  <c r="J187" i="2"/>
  <c r="L187" i="2" s="1"/>
  <c r="I187" i="2"/>
  <c r="F187" i="2"/>
  <c r="N186" i="2"/>
  <c r="L186" i="2"/>
  <c r="K186" i="2"/>
  <c r="J186" i="2"/>
  <c r="O186" i="2" s="1"/>
  <c r="I186" i="2"/>
  <c r="F186" i="2"/>
  <c r="N185" i="2"/>
  <c r="L185" i="2"/>
  <c r="K185" i="2"/>
  <c r="J185" i="2"/>
  <c r="O185" i="2" s="1"/>
  <c r="F185" i="2"/>
  <c r="N184" i="2"/>
  <c r="K184" i="2"/>
  <c r="J184" i="2"/>
  <c r="I184" i="2" s="1"/>
  <c r="F184" i="2"/>
  <c r="N183" i="2"/>
  <c r="F183" i="2"/>
  <c r="N182" i="2"/>
  <c r="L182" i="2"/>
  <c r="K182" i="2"/>
  <c r="J182" i="2"/>
  <c r="O182" i="2" s="1"/>
  <c r="I182" i="2"/>
  <c r="F182" i="2"/>
  <c r="N181" i="2"/>
  <c r="L181" i="2"/>
  <c r="K181" i="2"/>
  <c r="J181" i="2"/>
  <c r="O181" i="2" s="1"/>
  <c r="F181" i="2"/>
  <c r="N180" i="2"/>
  <c r="K180" i="2"/>
  <c r="J180" i="2"/>
  <c r="I180" i="2" s="1"/>
  <c r="F180" i="2"/>
  <c r="N178" i="2"/>
  <c r="K178" i="2"/>
  <c r="J178" i="2"/>
  <c r="L178" i="2" s="1"/>
  <c r="I178" i="2"/>
  <c r="F178" i="2"/>
  <c r="H177" i="2"/>
  <c r="G177" i="2"/>
  <c r="E177" i="2"/>
  <c r="D177" i="2"/>
  <c r="N176" i="2"/>
  <c r="L176" i="2"/>
  <c r="K176" i="2"/>
  <c r="J176" i="2"/>
  <c r="O176" i="2" s="1"/>
  <c r="F176" i="2"/>
  <c r="I176" i="2" s="1"/>
  <c r="N175" i="2"/>
  <c r="K175" i="2"/>
  <c r="J175" i="2"/>
  <c r="L175" i="2" s="1"/>
  <c r="I175" i="2"/>
  <c r="F175" i="2"/>
  <c r="N174" i="2"/>
  <c r="K174" i="2"/>
  <c r="J174" i="2"/>
  <c r="L174" i="2" s="1"/>
  <c r="I174" i="2"/>
  <c r="F174" i="2"/>
  <c r="N173" i="2"/>
  <c r="N177" i="2" s="1"/>
  <c r="L173" i="2"/>
  <c r="K173" i="2"/>
  <c r="K177" i="2" s="1"/>
  <c r="J173" i="2"/>
  <c r="I173" i="2"/>
  <c r="F173" i="2"/>
  <c r="F177" i="2" s="1"/>
  <c r="H172" i="2"/>
  <c r="G172" i="2"/>
  <c r="E172" i="2"/>
  <c r="D172" i="2"/>
  <c r="N171" i="2"/>
  <c r="K171" i="2"/>
  <c r="J171" i="2"/>
  <c r="I171" i="2" s="1"/>
  <c r="F171" i="2"/>
  <c r="N170" i="2"/>
  <c r="K170" i="2"/>
  <c r="J170" i="2"/>
  <c r="L170" i="2" s="1"/>
  <c r="I170" i="2"/>
  <c r="F170" i="2"/>
  <c r="N169" i="2"/>
  <c r="N172" i="2" s="1"/>
  <c r="L169" i="2"/>
  <c r="K169" i="2"/>
  <c r="J169" i="2"/>
  <c r="O169" i="2" s="1"/>
  <c r="I169" i="2"/>
  <c r="F169" i="2"/>
  <c r="N168" i="2"/>
  <c r="K168" i="2"/>
  <c r="J168" i="2"/>
  <c r="O168" i="2" s="1"/>
  <c r="F168" i="2"/>
  <c r="N167" i="2"/>
  <c r="K167" i="2"/>
  <c r="J167" i="2"/>
  <c r="L167" i="2" s="1"/>
  <c r="I167" i="2"/>
  <c r="F167" i="2"/>
  <c r="N166" i="2"/>
  <c r="L166" i="2"/>
  <c r="K166" i="2"/>
  <c r="J166" i="2"/>
  <c r="O166" i="2" s="1"/>
  <c r="I166" i="2"/>
  <c r="F166" i="2"/>
  <c r="N165" i="2"/>
  <c r="L165" i="2"/>
  <c r="K165" i="2"/>
  <c r="K172" i="2" s="1"/>
  <c r="K179" i="2" s="1"/>
  <c r="J165" i="2"/>
  <c r="J172" i="2" s="1"/>
  <c r="F165" i="2"/>
  <c r="F172" i="2" s="1"/>
  <c r="H163" i="2"/>
  <c r="G163" i="2"/>
  <c r="F163" i="2"/>
  <c r="O162" i="2"/>
  <c r="K162" i="2"/>
  <c r="J162" i="2"/>
  <c r="L162" i="2" s="1"/>
  <c r="I162" i="2"/>
  <c r="N161" i="2"/>
  <c r="L161" i="2"/>
  <c r="K161" i="2"/>
  <c r="J161" i="2"/>
  <c r="O161" i="2" s="1"/>
  <c r="F161" i="2"/>
  <c r="N160" i="2"/>
  <c r="K160" i="2"/>
  <c r="J160" i="2"/>
  <c r="I160" i="2" s="1"/>
  <c r="F160" i="2"/>
  <c r="O159" i="2"/>
  <c r="K159" i="2"/>
  <c r="J159" i="2"/>
  <c r="I159" i="2" s="1"/>
  <c r="F159" i="2"/>
  <c r="N158" i="2"/>
  <c r="K158" i="2"/>
  <c r="K163" i="2" s="1"/>
  <c r="J158" i="2"/>
  <c r="I158" i="2" s="1"/>
  <c r="F158" i="2"/>
  <c r="H157" i="2"/>
  <c r="G157" i="2"/>
  <c r="N156" i="2"/>
  <c r="K156" i="2"/>
  <c r="J156" i="2"/>
  <c r="O156" i="2" s="1"/>
  <c r="F156" i="2"/>
  <c r="N155" i="2"/>
  <c r="K155" i="2"/>
  <c r="J155" i="2"/>
  <c r="I155" i="2" s="1"/>
  <c r="F155" i="2"/>
  <c r="N154" i="2"/>
  <c r="K154" i="2"/>
  <c r="J154" i="2"/>
  <c r="L154" i="2" s="1"/>
  <c r="I154" i="2"/>
  <c r="F154" i="2"/>
  <c r="N153" i="2"/>
  <c r="K153" i="2"/>
  <c r="J153" i="2"/>
  <c r="O153" i="2" s="1"/>
  <c r="F153" i="2"/>
  <c r="N152" i="2"/>
  <c r="K152" i="2"/>
  <c r="K217" i="2" s="1"/>
  <c r="K222" i="2" s="1"/>
  <c r="J152" i="2"/>
  <c r="J217" i="2" s="1"/>
  <c r="F152" i="2"/>
  <c r="O151" i="2"/>
  <c r="N151" i="2"/>
  <c r="K151" i="2"/>
  <c r="J151" i="2"/>
  <c r="I151" i="2"/>
  <c r="F151" i="2"/>
  <c r="N150" i="2"/>
  <c r="L150" i="2"/>
  <c r="K150" i="2"/>
  <c r="J150" i="2"/>
  <c r="F150" i="2"/>
  <c r="F157" i="2" l="1"/>
  <c r="K157" i="2"/>
  <c r="O217" i="2"/>
  <c r="O222" i="2" s="1"/>
  <c r="O229" i="2" s="1"/>
  <c r="I217" i="2"/>
  <c r="L217" i="2"/>
  <c r="J222" i="2"/>
  <c r="I222" i="2" s="1"/>
  <c r="I177" i="2"/>
  <c r="J177" i="2"/>
  <c r="L177" i="2" s="1"/>
  <c r="I188" i="2"/>
  <c r="I152" i="2"/>
  <c r="J157" i="2"/>
  <c r="J179" i="2"/>
  <c r="I179" i="2" s="1"/>
  <c r="L172" i="2"/>
  <c r="I172" i="2"/>
  <c r="I157" i="2"/>
  <c r="O152" i="2"/>
  <c r="O175" i="2"/>
  <c r="O180" i="2"/>
  <c r="O184" i="2"/>
  <c r="O188" i="2"/>
  <c r="O199" i="2"/>
  <c r="O154" i="2"/>
  <c r="J163" i="2"/>
  <c r="I163" i="2" s="1"/>
  <c r="O167" i="2"/>
  <c r="O170" i="2"/>
  <c r="O174" i="2"/>
  <c r="O178" i="2"/>
  <c r="O187" i="2"/>
  <c r="O191" i="2"/>
  <c r="O195" i="2"/>
  <c r="O198" i="2"/>
  <c r="O202" i="2"/>
  <c r="O206" i="2"/>
  <c r="I150" i="2"/>
  <c r="L152" i="2"/>
  <c r="I153" i="2"/>
  <c r="L155" i="2"/>
  <c r="I156" i="2"/>
  <c r="L158" i="2"/>
  <c r="L160" i="2"/>
  <c r="I161" i="2"/>
  <c r="I165" i="2"/>
  <c r="L171" i="2"/>
  <c r="O173" i="2"/>
  <c r="L180" i="2"/>
  <c r="I181" i="2"/>
  <c r="L184" i="2"/>
  <c r="I185" i="2"/>
  <c r="L188" i="2"/>
  <c r="I189" i="2"/>
  <c r="L192" i="2"/>
  <c r="I193" i="2"/>
  <c r="L199" i="2"/>
  <c r="L203" i="2"/>
  <c r="I204" i="2"/>
  <c r="L207" i="2"/>
  <c r="O155" i="2"/>
  <c r="O158" i="2"/>
  <c r="O160" i="2"/>
  <c r="O171" i="2"/>
  <c r="O192" i="2"/>
  <c r="O207" i="2"/>
  <c r="O150" i="2"/>
  <c r="O157" i="2" s="1"/>
  <c r="O165" i="2"/>
  <c r="I168" i="2"/>
  <c r="I196" i="2"/>
  <c r="K135" i="2"/>
  <c r="K200" i="2" s="1"/>
  <c r="K136" i="2"/>
  <c r="K137" i="2"/>
  <c r="K138" i="2"/>
  <c r="K203" i="2" s="1"/>
  <c r="K139" i="2"/>
  <c r="K140" i="2"/>
  <c r="K141" i="2"/>
  <c r="K142" i="2"/>
  <c r="K123" i="2"/>
  <c r="K124" i="2"/>
  <c r="K125" i="2"/>
  <c r="K126" i="2"/>
  <c r="I126" i="2" s="1"/>
  <c r="K127" i="2"/>
  <c r="K128" i="2"/>
  <c r="K129" i="2"/>
  <c r="K194" i="2" s="1"/>
  <c r="K130" i="2"/>
  <c r="I130" i="2" s="1"/>
  <c r="K131" i="2"/>
  <c r="K132" i="2"/>
  <c r="K197" i="2" s="1"/>
  <c r="K133" i="2"/>
  <c r="K134" i="2"/>
  <c r="K122" i="2"/>
  <c r="K117" i="2"/>
  <c r="K119" i="2"/>
  <c r="K120" i="2"/>
  <c r="K121" i="2"/>
  <c r="K116" i="2"/>
  <c r="K115" i="2"/>
  <c r="J140" i="2"/>
  <c r="J141" i="2"/>
  <c r="J142" i="2"/>
  <c r="J134" i="2"/>
  <c r="J135" i="2"/>
  <c r="J200" i="2" s="1"/>
  <c r="O200" i="2" s="1"/>
  <c r="J136" i="2"/>
  <c r="J137" i="2"/>
  <c r="O137" i="2" s="1"/>
  <c r="J138" i="2"/>
  <c r="J203" i="2" s="1"/>
  <c r="I203" i="2" s="1"/>
  <c r="J139" i="2"/>
  <c r="J128" i="2"/>
  <c r="J129" i="2"/>
  <c r="J194" i="2" s="1"/>
  <c r="O194" i="2" s="1"/>
  <c r="J130" i="2"/>
  <c r="O130" i="2" s="1"/>
  <c r="J131" i="2"/>
  <c r="O131" i="2" s="1"/>
  <c r="J132" i="2"/>
  <c r="J197" i="2" s="1"/>
  <c r="J133" i="2"/>
  <c r="J117" i="2"/>
  <c r="J119" i="2"/>
  <c r="J120" i="2"/>
  <c r="O120" i="2" s="1"/>
  <c r="J121" i="2"/>
  <c r="J122" i="2"/>
  <c r="J123" i="2"/>
  <c r="J124" i="2"/>
  <c r="O124" i="2" s="1"/>
  <c r="J125" i="2"/>
  <c r="J126" i="2"/>
  <c r="J127" i="2"/>
  <c r="J116" i="2"/>
  <c r="J115" i="2"/>
  <c r="K113" i="2"/>
  <c r="J113" i="2"/>
  <c r="K110" i="2"/>
  <c r="K111" i="2"/>
  <c r="J110" i="2"/>
  <c r="J111" i="2"/>
  <c r="K109" i="2"/>
  <c r="J109" i="2"/>
  <c r="K108" i="2"/>
  <c r="J108" i="2"/>
  <c r="K102" i="2"/>
  <c r="K103" i="2"/>
  <c r="K104" i="2"/>
  <c r="K105" i="2"/>
  <c r="K106" i="2"/>
  <c r="K101" i="2"/>
  <c r="J102" i="2"/>
  <c r="J103" i="2"/>
  <c r="J104" i="2"/>
  <c r="J105" i="2"/>
  <c r="O105" i="2" s="1"/>
  <c r="J106" i="2"/>
  <c r="J101" i="2"/>
  <c r="K100" i="2"/>
  <c r="J100" i="2"/>
  <c r="K95" i="2"/>
  <c r="K96" i="2"/>
  <c r="K97" i="2"/>
  <c r="J95" i="2"/>
  <c r="J96" i="2"/>
  <c r="J97" i="2"/>
  <c r="K94" i="2"/>
  <c r="J94" i="2"/>
  <c r="J93" i="2"/>
  <c r="K93" i="2"/>
  <c r="K87" i="2"/>
  <c r="K88" i="2"/>
  <c r="K89" i="2"/>
  <c r="K90" i="2"/>
  <c r="I90" i="2" s="1"/>
  <c r="K91" i="2"/>
  <c r="K86" i="2"/>
  <c r="J87" i="2"/>
  <c r="O87" i="2" s="1"/>
  <c r="J88" i="2"/>
  <c r="J89" i="2"/>
  <c r="J90" i="2"/>
  <c r="L90" i="2" s="1"/>
  <c r="J91" i="2"/>
  <c r="K92" i="2"/>
  <c r="J86" i="2"/>
  <c r="K85" i="2"/>
  <c r="J85" i="2"/>
  <c r="N142" i="2"/>
  <c r="O142" i="2"/>
  <c r="F142" i="2"/>
  <c r="N141" i="2"/>
  <c r="O141" i="2"/>
  <c r="I141" i="2"/>
  <c r="F141" i="2"/>
  <c r="N140" i="2"/>
  <c r="L140" i="2"/>
  <c r="O140" i="2"/>
  <c r="I140" i="2"/>
  <c r="F140" i="2"/>
  <c r="N139" i="2"/>
  <c r="L139" i="2"/>
  <c r="I139" i="2"/>
  <c r="O139" i="2"/>
  <c r="F139" i="2"/>
  <c r="N138" i="2"/>
  <c r="F138" i="2"/>
  <c r="N137" i="2"/>
  <c r="I137" i="2"/>
  <c r="F137" i="2"/>
  <c r="N136" i="2"/>
  <c r="L136" i="2"/>
  <c r="O136" i="2"/>
  <c r="I136" i="2"/>
  <c r="F136" i="2"/>
  <c r="N135" i="2"/>
  <c r="O135" i="2"/>
  <c r="F135" i="2"/>
  <c r="N134" i="2"/>
  <c r="O134" i="2"/>
  <c r="F134" i="2"/>
  <c r="N133" i="2"/>
  <c r="O133" i="2"/>
  <c r="I133" i="2"/>
  <c r="F133" i="2"/>
  <c r="N132" i="2"/>
  <c r="O132" i="2"/>
  <c r="F132" i="2"/>
  <c r="N131" i="2"/>
  <c r="F131" i="2"/>
  <c r="N130" i="2"/>
  <c r="F130" i="2"/>
  <c r="N129" i="2"/>
  <c r="O129" i="2"/>
  <c r="F129" i="2"/>
  <c r="N128" i="2"/>
  <c r="L128" i="2"/>
  <c r="I128" i="2"/>
  <c r="O128" i="2"/>
  <c r="F128" i="2"/>
  <c r="N127" i="2"/>
  <c r="O127" i="2"/>
  <c r="F127" i="2"/>
  <c r="N126" i="2"/>
  <c r="O126" i="2"/>
  <c r="F126" i="2"/>
  <c r="N125" i="2"/>
  <c r="L125" i="2"/>
  <c r="O125" i="2"/>
  <c r="I125" i="2"/>
  <c r="F125" i="2"/>
  <c r="N124" i="2"/>
  <c r="L124" i="2"/>
  <c r="F124" i="2"/>
  <c r="N123" i="2"/>
  <c r="O123" i="2"/>
  <c r="F123" i="2"/>
  <c r="N122" i="2"/>
  <c r="O122" i="2"/>
  <c r="I122" i="2"/>
  <c r="F122" i="2"/>
  <c r="N121" i="2"/>
  <c r="L121" i="2"/>
  <c r="O121" i="2"/>
  <c r="I121" i="2"/>
  <c r="F121" i="2"/>
  <c r="N120" i="2"/>
  <c r="L120" i="2"/>
  <c r="F120" i="2"/>
  <c r="N119" i="2"/>
  <c r="O119" i="2"/>
  <c r="F119" i="2"/>
  <c r="N118" i="2"/>
  <c r="F118" i="2"/>
  <c r="N117" i="2"/>
  <c r="L117" i="2"/>
  <c r="O117" i="2"/>
  <c r="I117" i="2"/>
  <c r="F117" i="2"/>
  <c r="N116" i="2"/>
  <c r="L116" i="2"/>
  <c r="I116" i="2"/>
  <c r="O116" i="2"/>
  <c r="F116" i="2"/>
  <c r="N115" i="2"/>
  <c r="O115" i="2"/>
  <c r="F115" i="2"/>
  <c r="N113" i="2"/>
  <c r="O113" i="2"/>
  <c r="I113" i="2"/>
  <c r="F113" i="2"/>
  <c r="E112" i="2"/>
  <c r="D112" i="2"/>
  <c r="N111" i="2"/>
  <c r="L111" i="2"/>
  <c r="O111" i="2"/>
  <c r="F111" i="2"/>
  <c r="I111" i="2" s="1"/>
  <c r="N110" i="2"/>
  <c r="O110" i="2"/>
  <c r="F110" i="2"/>
  <c r="I110" i="2" s="1"/>
  <c r="N109" i="2"/>
  <c r="O109" i="2"/>
  <c r="I109" i="2"/>
  <c r="F109" i="2"/>
  <c r="N108" i="2"/>
  <c r="N112" i="2" s="1"/>
  <c r="H112" i="2"/>
  <c r="G112" i="2"/>
  <c r="H107" i="2"/>
  <c r="G107" i="2"/>
  <c r="E107" i="2"/>
  <c r="D107" i="2"/>
  <c r="N106" i="2"/>
  <c r="L106" i="2"/>
  <c r="O106" i="2"/>
  <c r="I106" i="2"/>
  <c r="F106" i="2"/>
  <c r="N105" i="2"/>
  <c r="L105" i="2"/>
  <c r="F105" i="2"/>
  <c r="N104" i="2"/>
  <c r="N107" i="2" s="1"/>
  <c r="O104" i="2"/>
  <c r="F104" i="2"/>
  <c r="O103" i="2"/>
  <c r="N103" i="2"/>
  <c r="I103" i="2"/>
  <c r="F103" i="2"/>
  <c r="N102" i="2"/>
  <c r="L102" i="2"/>
  <c r="O102" i="2"/>
  <c r="F102" i="2"/>
  <c r="N101" i="2"/>
  <c r="O101" i="2"/>
  <c r="F101" i="2"/>
  <c r="N100" i="2"/>
  <c r="I100" i="2"/>
  <c r="F100" i="2"/>
  <c r="H98" i="2"/>
  <c r="G98" i="2"/>
  <c r="F98" i="2" s="1"/>
  <c r="L97" i="2"/>
  <c r="K98" i="2"/>
  <c r="O97" i="2"/>
  <c r="N96" i="2"/>
  <c r="O96" i="2"/>
  <c r="I96" i="2"/>
  <c r="F96" i="2"/>
  <c r="N95" i="2"/>
  <c r="L95" i="2"/>
  <c r="O95" i="2"/>
  <c r="I95" i="2"/>
  <c r="F95" i="2"/>
  <c r="J98" i="2"/>
  <c r="I94" i="2"/>
  <c r="F94" i="2"/>
  <c r="N93" i="2"/>
  <c r="L93" i="2"/>
  <c r="O93" i="2"/>
  <c r="I93" i="2"/>
  <c r="F93" i="2"/>
  <c r="H92" i="2"/>
  <c r="G92" i="2"/>
  <c r="O91" i="2"/>
  <c r="N91" i="2"/>
  <c r="I91" i="2"/>
  <c r="F91" i="2"/>
  <c r="N90" i="2"/>
  <c r="F90" i="2"/>
  <c r="N89" i="2"/>
  <c r="L89" i="2"/>
  <c r="O89" i="2"/>
  <c r="F89" i="2"/>
  <c r="O88" i="2"/>
  <c r="N88" i="2"/>
  <c r="I88" i="2"/>
  <c r="F88" i="2"/>
  <c r="N87" i="2"/>
  <c r="F87" i="2"/>
  <c r="F92" i="2" s="1"/>
  <c r="N86" i="2"/>
  <c r="O86" i="2"/>
  <c r="F86" i="2"/>
  <c r="N85" i="2"/>
  <c r="I85" i="2"/>
  <c r="F85" i="2"/>
  <c r="H43" i="2"/>
  <c r="G43" i="2"/>
  <c r="O138" i="2" l="1"/>
  <c r="O203" i="2"/>
  <c r="I200" i="2"/>
  <c r="L200" i="2"/>
  <c r="O197" i="2"/>
  <c r="L197" i="2"/>
  <c r="L132" i="2"/>
  <c r="I132" i="2"/>
  <c r="I197" i="2"/>
  <c r="I194" i="2"/>
  <c r="L194" i="2"/>
  <c r="O177" i="2"/>
  <c r="O163" i="2"/>
  <c r="O164" i="2" s="1"/>
  <c r="O172" i="2"/>
  <c r="L87" i="2"/>
  <c r="I87" i="2"/>
  <c r="I120" i="2"/>
  <c r="I124" i="2"/>
  <c r="I98" i="2"/>
  <c r="O90" i="2"/>
  <c r="J92" i="2"/>
  <c r="I92" i="2" s="1"/>
  <c r="I135" i="2"/>
  <c r="L135" i="2"/>
  <c r="L129" i="2"/>
  <c r="I129" i="2"/>
  <c r="K107" i="2"/>
  <c r="F107" i="2"/>
  <c r="J107" i="2"/>
  <c r="L107" i="2" s="1"/>
  <c r="I89" i="2"/>
  <c r="I97" i="2"/>
  <c r="L101" i="2"/>
  <c r="I102" i="2"/>
  <c r="L104" i="2"/>
  <c r="I105" i="2"/>
  <c r="F108" i="2"/>
  <c r="F112" i="2" s="1"/>
  <c r="L110" i="2"/>
  <c r="L115" i="2"/>
  <c r="L119" i="2"/>
  <c r="L123" i="2"/>
  <c r="L127" i="2"/>
  <c r="L134" i="2"/>
  <c r="L138" i="2"/>
  <c r="L142" i="2"/>
  <c r="L85" i="2"/>
  <c r="I86" i="2"/>
  <c r="O94" i="2"/>
  <c r="O98" i="2" s="1"/>
  <c r="L96" i="2"/>
  <c r="L100" i="2"/>
  <c r="I101" i="2"/>
  <c r="I104" i="2"/>
  <c r="I107" i="2" s="1"/>
  <c r="K112" i="2"/>
  <c r="K114" i="2" s="1"/>
  <c r="L109" i="2"/>
  <c r="L113" i="2"/>
  <c r="I115" i="2"/>
  <c r="I119" i="2"/>
  <c r="L122" i="2"/>
  <c r="I123" i="2"/>
  <c r="L126" i="2"/>
  <c r="I127" i="2"/>
  <c r="L130" i="2"/>
  <c r="I131" i="2"/>
  <c r="L133" i="2"/>
  <c r="I134" i="2"/>
  <c r="L137" i="2"/>
  <c r="I138" i="2"/>
  <c r="L141" i="2"/>
  <c r="I142" i="2"/>
  <c r="O85" i="2"/>
  <c r="O92" i="2" s="1"/>
  <c r="O100" i="2"/>
  <c r="O107" i="2" s="1"/>
  <c r="O179" i="2" l="1"/>
  <c r="I108" i="2"/>
  <c r="I112" i="2" s="1"/>
  <c r="L108" i="2"/>
  <c r="J112" i="2"/>
  <c r="O108" i="2"/>
  <c r="O112" i="2" s="1"/>
  <c r="O114" i="2" s="1"/>
  <c r="O99" i="2"/>
  <c r="L112" i="2" l="1"/>
  <c r="J114" i="2"/>
  <c r="I114" i="2" s="1"/>
  <c r="K75" i="2" l="1"/>
  <c r="K76" i="2"/>
  <c r="K77" i="2"/>
  <c r="K69" i="2"/>
  <c r="K70" i="2"/>
  <c r="K71" i="2"/>
  <c r="K72" i="2"/>
  <c r="K73" i="2"/>
  <c r="K74" i="2"/>
  <c r="K63" i="2"/>
  <c r="K64" i="2"/>
  <c r="K65" i="2"/>
  <c r="K66" i="2"/>
  <c r="K67" i="2"/>
  <c r="K68" i="2"/>
  <c r="K58" i="2"/>
  <c r="K59" i="2"/>
  <c r="K60" i="2"/>
  <c r="K61" i="2"/>
  <c r="K62" i="2"/>
  <c r="K52" i="2"/>
  <c r="K53" i="2"/>
  <c r="K118" i="2" s="1"/>
  <c r="K54" i="2"/>
  <c r="K55" i="2"/>
  <c r="K56" i="2"/>
  <c r="K57" i="2"/>
  <c r="J69" i="2"/>
  <c r="J70" i="2"/>
  <c r="J71" i="2"/>
  <c r="J72" i="2"/>
  <c r="J73" i="2"/>
  <c r="J74" i="2"/>
  <c r="J75" i="2"/>
  <c r="J76" i="2"/>
  <c r="J77" i="2"/>
  <c r="J60" i="2"/>
  <c r="J61" i="2"/>
  <c r="J62" i="2"/>
  <c r="J63" i="2"/>
  <c r="J64" i="2"/>
  <c r="J65" i="2"/>
  <c r="J66" i="2"/>
  <c r="J67" i="2"/>
  <c r="J68" i="2"/>
  <c r="J52" i="2"/>
  <c r="J53" i="2"/>
  <c r="J118" i="2" s="1"/>
  <c r="J54" i="2"/>
  <c r="J55" i="2"/>
  <c r="J56" i="2"/>
  <c r="J57" i="2"/>
  <c r="J58" i="2"/>
  <c r="J59" i="2"/>
  <c r="K51" i="2"/>
  <c r="J51" i="2"/>
  <c r="K50" i="2"/>
  <c r="J50" i="2"/>
  <c r="K48" i="2"/>
  <c r="J48" i="2"/>
  <c r="K45" i="2"/>
  <c r="K46" i="2"/>
  <c r="J45" i="2"/>
  <c r="J46" i="2"/>
  <c r="K44" i="2"/>
  <c r="J44" i="2"/>
  <c r="K43" i="2"/>
  <c r="J43" i="2"/>
  <c r="K37" i="2"/>
  <c r="K38" i="2"/>
  <c r="K39" i="2"/>
  <c r="K40" i="2"/>
  <c r="K41" i="2"/>
  <c r="J37" i="2"/>
  <c r="J38" i="2"/>
  <c r="J39" i="2"/>
  <c r="J40" i="2"/>
  <c r="J41" i="2"/>
  <c r="K36" i="2"/>
  <c r="J36" i="2"/>
  <c r="K35" i="2"/>
  <c r="J35" i="2"/>
  <c r="K30" i="2"/>
  <c r="K31" i="2"/>
  <c r="K32" i="2"/>
  <c r="J30" i="2"/>
  <c r="J31" i="2"/>
  <c r="J32" i="2"/>
  <c r="K29" i="2"/>
  <c r="J29" i="2"/>
  <c r="K28" i="2"/>
  <c r="J28" i="2"/>
  <c r="K22" i="2"/>
  <c r="K23" i="2"/>
  <c r="K24" i="2"/>
  <c r="K25" i="2"/>
  <c r="K26" i="2"/>
  <c r="J22" i="2"/>
  <c r="J23" i="2"/>
  <c r="J24" i="2"/>
  <c r="J25" i="2"/>
  <c r="J26" i="2"/>
  <c r="K21" i="2"/>
  <c r="J21" i="2"/>
  <c r="K20" i="2"/>
  <c r="J20" i="2"/>
  <c r="K183" i="2" l="1"/>
  <c r="K143" i="2"/>
  <c r="J183" i="2"/>
  <c r="O118" i="2"/>
  <c r="O143" i="2" s="1"/>
  <c r="O145" i="2" s="1"/>
  <c r="J143" i="2"/>
  <c r="I143" i="2" s="1"/>
  <c r="I118" i="2"/>
  <c r="L118" i="2"/>
  <c r="K248" i="2" l="1"/>
  <c r="K208" i="2"/>
  <c r="J248" i="2"/>
  <c r="O183" i="2"/>
  <c r="O208" i="2" s="1"/>
  <c r="O210" i="2" s="1"/>
  <c r="L183" i="2"/>
  <c r="I183" i="2"/>
  <c r="J208" i="2"/>
  <c r="I208" i="2" s="1"/>
  <c r="K313" i="2" l="1"/>
  <c r="K338" i="2" s="1"/>
  <c r="K273" i="2"/>
  <c r="J313" i="2"/>
  <c r="L248" i="2"/>
  <c r="I248" i="2"/>
  <c r="O248" i="2"/>
  <c r="O273" i="2" s="1"/>
  <c r="J273" i="2"/>
  <c r="O275" i="2" l="1"/>
  <c r="I273" i="2"/>
  <c r="J338" i="2"/>
  <c r="I338" i="2" s="1"/>
  <c r="I313" i="2"/>
  <c r="O313" i="2"/>
  <c r="O338" i="2" s="1"/>
  <c r="O340" i="2" s="1"/>
  <c r="L313" i="2"/>
  <c r="N77" i="2" l="1"/>
  <c r="O77" i="2"/>
  <c r="F77" i="2"/>
  <c r="N76" i="2"/>
  <c r="O76" i="2"/>
  <c r="F76" i="2"/>
  <c r="N75" i="2"/>
  <c r="I75" i="2"/>
  <c r="F75" i="2"/>
  <c r="N74" i="2"/>
  <c r="L74" i="2"/>
  <c r="I74" i="2"/>
  <c r="F74" i="2"/>
  <c r="N73" i="2"/>
  <c r="L73" i="2"/>
  <c r="O73" i="2"/>
  <c r="F73" i="2"/>
  <c r="N72" i="2"/>
  <c r="O72" i="2"/>
  <c r="F72" i="2"/>
  <c r="N71" i="2"/>
  <c r="F71" i="2"/>
  <c r="N70" i="2"/>
  <c r="O70" i="2"/>
  <c r="F70" i="2"/>
  <c r="N69" i="2"/>
  <c r="L69" i="2"/>
  <c r="O69" i="2"/>
  <c r="F69" i="2"/>
  <c r="N68" i="2"/>
  <c r="O68" i="2"/>
  <c r="F68" i="2"/>
  <c r="N67" i="2"/>
  <c r="F67" i="2"/>
  <c r="N66" i="2"/>
  <c r="O66" i="2"/>
  <c r="F66" i="2"/>
  <c r="N65" i="2"/>
  <c r="O65" i="2"/>
  <c r="F65" i="2"/>
  <c r="N64" i="2"/>
  <c r="F64" i="2"/>
  <c r="N63" i="2"/>
  <c r="L63" i="2"/>
  <c r="O63" i="2"/>
  <c r="I63" i="2"/>
  <c r="F63" i="2"/>
  <c r="N62" i="2"/>
  <c r="O62" i="2"/>
  <c r="F62" i="2"/>
  <c r="N61" i="2"/>
  <c r="O61" i="2"/>
  <c r="F61" i="2"/>
  <c r="N60" i="2"/>
  <c r="F60" i="2"/>
  <c r="N59" i="2"/>
  <c r="L59" i="2"/>
  <c r="O59" i="2"/>
  <c r="F59" i="2"/>
  <c r="N58" i="2"/>
  <c r="O58" i="2"/>
  <c r="F58" i="2"/>
  <c r="N57" i="2"/>
  <c r="O57" i="2"/>
  <c r="F57" i="2"/>
  <c r="N56" i="2"/>
  <c r="F56" i="2"/>
  <c r="N55" i="2"/>
  <c r="O55" i="2"/>
  <c r="F55" i="2"/>
  <c r="N54" i="2"/>
  <c r="L54" i="2"/>
  <c r="O54" i="2"/>
  <c r="F54" i="2"/>
  <c r="N53" i="2"/>
  <c r="O53" i="2"/>
  <c r="F53" i="2"/>
  <c r="N52" i="2"/>
  <c r="I52" i="2"/>
  <c r="F52" i="2"/>
  <c r="N51" i="2"/>
  <c r="O51" i="2"/>
  <c r="F51" i="2"/>
  <c r="N50" i="2"/>
  <c r="L50" i="2"/>
  <c r="O50" i="2"/>
  <c r="F50" i="2"/>
  <c r="N48" i="2"/>
  <c r="O48" i="2"/>
  <c r="F48" i="2"/>
  <c r="H47" i="2"/>
  <c r="G47" i="2"/>
  <c r="E47" i="2"/>
  <c r="D47" i="2"/>
  <c r="N46" i="2"/>
  <c r="O46" i="2"/>
  <c r="I46" i="2"/>
  <c r="F46" i="2"/>
  <c r="N45" i="2"/>
  <c r="L45" i="2"/>
  <c r="O45" i="2"/>
  <c r="F45" i="2"/>
  <c r="I45" i="2" s="1"/>
  <c r="N44" i="2"/>
  <c r="O44" i="2"/>
  <c r="F44" i="2"/>
  <c r="I44" i="2" s="1"/>
  <c r="N43" i="2"/>
  <c r="N47" i="2" s="1"/>
  <c r="K47" i="2"/>
  <c r="F43" i="2"/>
  <c r="H42" i="2"/>
  <c r="G42" i="2"/>
  <c r="E42" i="2"/>
  <c r="D42" i="2"/>
  <c r="N41" i="2"/>
  <c r="O41" i="2"/>
  <c r="F41" i="2"/>
  <c r="N40" i="2"/>
  <c r="O40" i="2"/>
  <c r="F40" i="2"/>
  <c r="N39" i="2"/>
  <c r="F39" i="2"/>
  <c r="N38" i="2"/>
  <c r="O38" i="2"/>
  <c r="F38" i="2"/>
  <c r="N37" i="2"/>
  <c r="O37" i="2"/>
  <c r="F37" i="2"/>
  <c r="N36" i="2"/>
  <c r="I36" i="2"/>
  <c r="F36" i="2"/>
  <c r="N35" i="2"/>
  <c r="K42" i="2"/>
  <c r="L35" i="2"/>
  <c r="I35" i="2"/>
  <c r="F35" i="2"/>
  <c r="H33" i="2"/>
  <c r="G33" i="2"/>
  <c r="F33" i="2" s="1"/>
  <c r="N31" i="2"/>
  <c r="L31" i="2"/>
  <c r="I31" i="2"/>
  <c r="O31" i="2"/>
  <c r="F31" i="2"/>
  <c r="N30" i="2"/>
  <c r="O30" i="2"/>
  <c r="F30" i="2"/>
  <c r="O29" i="2"/>
  <c r="I29" i="2"/>
  <c r="F29" i="2"/>
  <c r="N28" i="2"/>
  <c r="L28" i="2"/>
  <c r="O28" i="2"/>
  <c r="F28" i="2"/>
  <c r="H27" i="2"/>
  <c r="G27" i="2"/>
  <c r="N26" i="2"/>
  <c r="O26" i="2"/>
  <c r="F26" i="2"/>
  <c r="N25" i="2"/>
  <c r="O25" i="2"/>
  <c r="F25" i="2"/>
  <c r="N24" i="2"/>
  <c r="O24" i="2"/>
  <c r="F24" i="2"/>
  <c r="N23" i="2"/>
  <c r="O23" i="2"/>
  <c r="F23" i="2"/>
  <c r="N22" i="2"/>
  <c r="O22" i="2"/>
  <c r="F22" i="2"/>
  <c r="N21" i="2"/>
  <c r="O21" i="2"/>
  <c r="F21" i="2"/>
  <c r="N20" i="2"/>
  <c r="J27" i="2"/>
  <c r="F20" i="2"/>
  <c r="L55" i="2" l="1"/>
  <c r="I58" i="2"/>
  <c r="I59" i="2"/>
  <c r="L62" i="2"/>
  <c r="F27" i="2"/>
  <c r="L20" i="2"/>
  <c r="I23" i="2"/>
  <c r="L25" i="2"/>
  <c r="L51" i="2"/>
  <c r="I55" i="2"/>
  <c r="L58" i="2"/>
  <c r="K33" i="2"/>
  <c r="I20" i="2"/>
  <c r="L22" i="2"/>
  <c r="L30" i="2"/>
  <c r="J33" i="2"/>
  <c r="N42" i="2"/>
  <c r="L41" i="2"/>
  <c r="L46" i="2"/>
  <c r="I51" i="2"/>
  <c r="I71" i="2"/>
  <c r="L77" i="2"/>
  <c r="K78" i="2"/>
  <c r="L70" i="2"/>
  <c r="I70" i="2"/>
  <c r="I67" i="2"/>
  <c r="I64" i="2"/>
  <c r="I60" i="2"/>
  <c r="I56" i="2"/>
  <c r="I43" i="2"/>
  <c r="I47" i="2" s="1"/>
  <c r="I39" i="2"/>
  <c r="F42" i="2"/>
  <c r="J42" i="2"/>
  <c r="L42" i="2" s="1"/>
  <c r="K27" i="2"/>
  <c r="I27" i="2" s="1"/>
  <c r="I26" i="2"/>
  <c r="K49" i="2"/>
  <c r="O43" i="2"/>
  <c r="O47" i="2" s="1"/>
  <c r="F47" i="2"/>
  <c r="O60" i="2"/>
  <c r="O64" i="2"/>
  <c r="O71" i="2"/>
  <c r="J78" i="2"/>
  <c r="O20" i="2"/>
  <c r="O27" i="2" s="1"/>
  <c r="I22" i="2"/>
  <c r="L24" i="2"/>
  <c r="I25" i="2"/>
  <c r="I28" i="2"/>
  <c r="I30" i="2"/>
  <c r="L32" i="2"/>
  <c r="O35" i="2"/>
  <c r="L37" i="2"/>
  <c r="I38" i="2"/>
  <c r="L40" i="2"/>
  <c r="I41" i="2"/>
  <c r="L44" i="2"/>
  <c r="L48" i="2"/>
  <c r="I50" i="2"/>
  <c r="L53" i="2"/>
  <c r="I54" i="2"/>
  <c r="L57" i="2"/>
  <c r="L61" i="2"/>
  <c r="I62" i="2"/>
  <c r="L65" i="2"/>
  <c r="I66" i="2"/>
  <c r="L68" i="2"/>
  <c r="I69" i="2"/>
  <c r="L72" i="2"/>
  <c r="I73" i="2"/>
  <c r="O74" i="2"/>
  <c r="L76" i="2"/>
  <c r="I77" i="2"/>
  <c r="O36" i="2"/>
  <c r="O39" i="2"/>
  <c r="O56" i="2"/>
  <c r="O75" i="2"/>
  <c r="I24" i="2"/>
  <c r="I32" i="2"/>
  <c r="O32" i="2"/>
  <c r="O33" i="2" s="1"/>
  <c r="L36" i="2"/>
  <c r="I37" i="2"/>
  <c r="L39" i="2"/>
  <c r="I40" i="2"/>
  <c r="L43" i="2"/>
  <c r="I48" i="2"/>
  <c r="L52" i="2"/>
  <c r="I53" i="2"/>
  <c r="L56" i="2"/>
  <c r="I57" i="2"/>
  <c r="L60" i="2"/>
  <c r="I61" i="2"/>
  <c r="L64" i="2"/>
  <c r="I65" i="2"/>
  <c r="L67" i="2"/>
  <c r="I68" i="2"/>
  <c r="L71" i="2"/>
  <c r="I72" i="2"/>
  <c r="L75" i="2"/>
  <c r="I76" i="2"/>
  <c r="J47" i="2"/>
  <c r="L47" i="2" s="1"/>
  <c r="O52" i="2"/>
  <c r="O67" i="2"/>
  <c r="I21" i="2"/>
  <c r="I42" i="2" l="1"/>
  <c r="I33" i="2"/>
  <c r="I78" i="2"/>
  <c r="O78" i="2"/>
  <c r="J49" i="2"/>
  <c r="O34" i="2"/>
  <c r="O42" i="2"/>
  <c r="O49" i="2" s="1"/>
  <c r="I49" i="2" l="1"/>
  <c r="O80" i="2"/>
</calcChain>
</file>

<file path=xl/comments1.xml><?xml version="1.0" encoding="utf-8"?>
<comments xmlns="http://schemas.openxmlformats.org/spreadsheetml/2006/main">
  <authors>
    <author>Auteur</author>
  </authors>
  <commentList>
    <comment ref="M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2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4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6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7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84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0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0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</commentList>
</comments>
</file>

<file path=xl/sharedStrings.xml><?xml version="1.0" encoding="utf-8"?>
<sst xmlns="http://schemas.openxmlformats.org/spreadsheetml/2006/main" count="7712" uniqueCount="536">
  <si>
    <t xml:space="preserve"> Consolidé</t>
  </si>
  <si>
    <t>Unité</t>
  </si>
  <si>
    <t xml:space="preserve">Ligne </t>
  </si>
  <si>
    <t>Désignations</t>
  </si>
  <si>
    <t>Production Physique</t>
  </si>
  <si>
    <r>
      <t>Production Valorisée (</t>
    </r>
    <r>
      <rPr>
        <sz val="9"/>
        <color rgb="FFFF0000"/>
        <rFont val="Arial"/>
        <family val="2"/>
      </rPr>
      <t>Valeur en DA</t>
    </r>
    <r>
      <rPr>
        <b/>
        <sz val="9"/>
        <color theme="1"/>
        <rFont val="Arial"/>
        <family val="2"/>
      </rPr>
      <t>)</t>
    </r>
  </si>
  <si>
    <r>
      <t>Observations
(</t>
    </r>
    <r>
      <rPr>
        <sz val="9"/>
        <color rgb="FFFF0000"/>
        <rFont val="Arial"/>
        <family val="2"/>
      </rPr>
      <t>Arrêts,…etc.</t>
    </r>
    <r>
      <rPr>
        <b/>
        <sz val="9"/>
        <color theme="1"/>
        <rFont val="Arial"/>
        <family val="2"/>
      </rPr>
      <t>)</t>
    </r>
  </si>
  <si>
    <t>Objectif</t>
  </si>
  <si>
    <t>Cumul Mois</t>
  </si>
  <si>
    <t>Taux de Réal</t>
  </si>
  <si>
    <t>Cout de
 Revient</t>
  </si>
  <si>
    <t>Montant 
Journée</t>
  </si>
  <si>
    <t>Montant Cumulé</t>
  </si>
  <si>
    <t>Brute</t>
  </si>
  <si>
    <t>Conforme</t>
  </si>
  <si>
    <t>Rebut</t>
  </si>
  <si>
    <t>T7 - 5/1</t>
  </si>
  <si>
    <t>T4</t>
  </si>
  <si>
    <t>T5</t>
  </si>
  <si>
    <t>T3</t>
  </si>
  <si>
    <t>T2</t>
  </si>
  <si>
    <t>TOTAL CONSEVRE</t>
  </si>
  <si>
    <t>Ligne 16oZ</t>
  </si>
  <si>
    <t>Ligne Pails</t>
  </si>
  <si>
    <t>PAILS 3 GLYLAC 2000</t>
  </si>
  <si>
    <t>TOTAL DIVERSE</t>
  </si>
  <si>
    <t>Train 1/2 A</t>
  </si>
  <si>
    <t>Bts 1/2 OT   4C+VBI+CB+VSI</t>
  </si>
  <si>
    <t>Train 1/2 B</t>
  </si>
  <si>
    <t>TOTAL 1/2</t>
  </si>
  <si>
    <t>Train 4/4</t>
  </si>
  <si>
    <t>TOTAL 4/4</t>
  </si>
  <si>
    <t xml:space="preserve">Ligne 4OZ </t>
  </si>
  <si>
    <t>Cblanc CYLINDRIQUE</t>
  </si>
  <si>
    <t>TOTAL 20 L</t>
  </si>
  <si>
    <t xml:space="preserve">Pails 18 l </t>
  </si>
  <si>
    <t>Pails 18 l C BLANC</t>
  </si>
  <si>
    <t>TOTAL 18 L</t>
  </si>
  <si>
    <t>TOTAL 10 L</t>
  </si>
  <si>
    <t>TOTAL 1LØ108</t>
  </si>
  <si>
    <t>Train 1/2 l Ø108</t>
  </si>
  <si>
    <t>TOTAL 1/2 L Ø108</t>
  </si>
  <si>
    <t>Ligne 83</t>
  </si>
  <si>
    <t>TOTAL 1 L Ø 83</t>
  </si>
  <si>
    <t>TOTAL 5/1</t>
  </si>
  <si>
    <t>TOTAL 1/4</t>
  </si>
  <si>
    <t xml:space="preserve">TOTAL 4 oz </t>
  </si>
  <si>
    <t xml:space="preserve">TOTAL 4/4 </t>
  </si>
  <si>
    <t xml:space="preserve">TOTAL 16 oz </t>
  </si>
  <si>
    <t>TOTAL 3 L</t>
  </si>
  <si>
    <t xml:space="preserve">TOTAL 4/4 OT </t>
  </si>
  <si>
    <t>TOTAL 4/4 ON</t>
  </si>
  <si>
    <t xml:space="preserve">TOTAL 1/2 OT </t>
  </si>
  <si>
    <t xml:space="preserve">Unité kouba </t>
  </si>
  <si>
    <t>Fds Ø52,6 VBI VOE  734*725*0,16</t>
  </si>
  <si>
    <t>Fds Ø73 VBI VOE  803*772*0,20</t>
  </si>
  <si>
    <t>Fds Ø73 VBI VOE  803*772*0,18</t>
  </si>
  <si>
    <t>Fds Ø153 VBI VOE  888*708*0,28</t>
  </si>
  <si>
    <t>Fds Ø169 FB NU  775*763*0,23</t>
  </si>
  <si>
    <t>Fds Ø169 VBI/ NU  775*763*0,23</t>
  </si>
  <si>
    <t>BCHS Ø180 CB NU  726*717*0,23</t>
  </si>
  <si>
    <t>CABOUCHONS 36*0,30</t>
  </si>
  <si>
    <t>Unité azzaba</t>
  </si>
  <si>
    <t xml:space="preserve">Presse 1/2 A </t>
  </si>
  <si>
    <t>TFS VBI+VOE</t>
  </si>
  <si>
    <t>FB VBI+VOE</t>
  </si>
  <si>
    <t>Presse 1/2 B</t>
  </si>
  <si>
    <t>Presse 4/4</t>
  </si>
  <si>
    <t>Presse 4oz</t>
  </si>
  <si>
    <t>Unité skikda</t>
  </si>
  <si>
    <t>FDS 20L</t>
  </si>
  <si>
    <t>FBN N/INT</t>
  </si>
  <si>
    <t>FBI V/INT</t>
  </si>
  <si>
    <t>FBN PERCE</t>
  </si>
  <si>
    <t>CVS 20L</t>
  </si>
  <si>
    <t>FBI N/INT</t>
  </si>
  <si>
    <t>FDS 10L</t>
  </si>
  <si>
    <t>FBN</t>
  </si>
  <si>
    <t>CVS 10L</t>
  </si>
  <si>
    <t>FBI NI</t>
  </si>
  <si>
    <t>ANSE 10L</t>
  </si>
  <si>
    <t>ANSE</t>
  </si>
  <si>
    <t>FDS D 108</t>
  </si>
  <si>
    <t>FBI OR</t>
  </si>
  <si>
    <t>BCH D108</t>
  </si>
  <si>
    <t>BGS D108</t>
  </si>
  <si>
    <t>FDS D83</t>
  </si>
  <si>
    <t>FDS PERCE 83</t>
  </si>
  <si>
    <t xml:space="preserve">CABOCHONS </t>
  </si>
  <si>
    <t>CABOUCHONS</t>
  </si>
  <si>
    <t>P.U</t>
  </si>
  <si>
    <t>Montant Journée</t>
  </si>
  <si>
    <t>TELLOISE</t>
  </si>
  <si>
    <t>ICA</t>
  </si>
  <si>
    <t xml:space="preserve">TELLOISE </t>
  </si>
  <si>
    <t>TOTAL AZDU</t>
  </si>
  <si>
    <t>Flash Journalier de Production Accessoires</t>
  </si>
  <si>
    <t>BCHS Ø180 CB VBI  726*717*0,23</t>
  </si>
  <si>
    <t>TOTAL KDU</t>
  </si>
  <si>
    <t xml:space="preserve">TOTAL SKDU </t>
  </si>
  <si>
    <t xml:space="preserve">TOTAL EPE EMB </t>
  </si>
  <si>
    <t>AZDU</t>
  </si>
  <si>
    <t>SKDU</t>
  </si>
  <si>
    <t>KDU</t>
  </si>
  <si>
    <t>TOTAL CONSERVE</t>
  </si>
  <si>
    <t>TOTAL DIVERS</t>
  </si>
  <si>
    <t>Fds Ø99 VBI VOE  850*777*0,21</t>
  </si>
  <si>
    <t>MENAA</t>
  </si>
  <si>
    <t xml:space="preserve">Capacité jour </t>
  </si>
  <si>
    <t xml:space="preserve">BCHS Ø52,6 (sub 10 l) FBN </t>
  </si>
  <si>
    <t>Fds Ø99 VBI VOE  927*911*0,21 (sub)</t>
  </si>
  <si>
    <t>TFS VBI+VOE SUB 1/8</t>
  </si>
  <si>
    <t>FBN SUB 1/8</t>
  </si>
  <si>
    <t>V/INT +4C+CB+VSI</t>
  </si>
  <si>
    <t xml:space="preserve">CAT -CB-ON </t>
  </si>
  <si>
    <t>Bts 1/2  VBI VSIMP OT</t>
  </si>
  <si>
    <t xml:space="preserve">Pails 10 L V/INT 4C+CB+VSI </t>
  </si>
  <si>
    <t xml:space="preserve">FBI V/INT </t>
  </si>
  <si>
    <t>FBN BANDE SUB 1/8</t>
  </si>
  <si>
    <t>BANDES FBN SUB 1/8</t>
  </si>
  <si>
    <t>Bts 4/4 VBI VSIMP ON</t>
  </si>
  <si>
    <t>FBI / V INT SUB</t>
  </si>
  <si>
    <t xml:space="preserve">CAT SICAM CF </t>
  </si>
  <si>
    <t>BANDES TFS FDS SUB 1/8</t>
  </si>
  <si>
    <t xml:space="preserve">CPS 1/12 SUB FDS </t>
  </si>
  <si>
    <t>Bts 16 OZ-NUVSIMP</t>
  </si>
  <si>
    <t>FB VBI+VOE+(VOIE) Ø65</t>
  </si>
  <si>
    <t>TFS VBI+VOE SUB 1/12</t>
  </si>
  <si>
    <t>FDS PERS Ø108</t>
  </si>
  <si>
    <t>BANDES BGS SUBT BCH</t>
  </si>
  <si>
    <t xml:space="preserve">CAT TRISTAR </t>
  </si>
  <si>
    <t>TFS VBI+VOE subt 6 OZ</t>
  </si>
  <si>
    <t>Pails 10 L N/INT CB+4C+VSI</t>
  </si>
  <si>
    <t>TFS VBI+VOE (VOIE)</t>
  </si>
  <si>
    <t>PETROSER</t>
  </si>
  <si>
    <t>FBN SUB 3L ,10L,20L</t>
  </si>
  <si>
    <t xml:space="preserve">C BLANC </t>
  </si>
  <si>
    <t xml:space="preserve">Montant journée </t>
  </si>
  <si>
    <t>Mois: Septembre 2021</t>
  </si>
  <si>
    <r>
      <t>Journée du:</t>
    </r>
    <r>
      <rPr>
        <b/>
        <sz val="9"/>
        <color rgb="FFFF0000"/>
        <rFont val="Arial"/>
        <family val="2"/>
      </rPr>
      <t xml:space="preserve"> 01/09/2021</t>
    </r>
  </si>
  <si>
    <r>
      <t>Journée du:</t>
    </r>
    <r>
      <rPr>
        <b/>
        <sz val="9"/>
        <color rgb="FFFF0000"/>
        <rFont val="Arial"/>
        <family val="2"/>
      </rPr>
      <t xml:space="preserve"> 02/09/2021</t>
    </r>
  </si>
  <si>
    <r>
      <t>Journée du:</t>
    </r>
    <r>
      <rPr>
        <b/>
        <sz val="9"/>
        <color rgb="FFFF0000"/>
        <rFont val="Arial"/>
        <family val="2"/>
      </rPr>
      <t xml:space="preserve"> 05/09/2021</t>
    </r>
  </si>
  <si>
    <r>
      <t>Journée du:</t>
    </r>
    <r>
      <rPr>
        <b/>
        <sz val="9"/>
        <color rgb="FFFF0000"/>
        <rFont val="Arial"/>
        <family val="2"/>
      </rPr>
      <t xml:space="preserve"> 06/09/2021</t>
    </r>
  </si>
  <si>
    <t>Fds Ø52,6 VBI VOE  sub 926*852*0,16</t>
  </si>
  <si>
    <r>
      <t>Journée du:</t>
    </r>
    <r>
      <rPr>
        <b/>
        <sz val="9"/>
        <color rgb="FFFF0000"/>
        <rFont val="Arial"/>
        <family val="2"/>
      </rPr>
      <t xml:space="preserve"> 07/09/2021</t>
    </r>
  </si>
  <si>
    <r>
      <t>Journée du:</t>
    </r>
    <r>
      <rPr>
        <b/>
        <sz val="9"/>
        <color rgb="FFFF0000"/>
        <rFont val="Arial"/>
        <family val="2"/>
      </rPr>
      <t xml:space="preserve"> 08/09/2021</t>
    </r>
  </si>
  <si>
    <r>
      <t>Journée du:</t>
    </r>
    <r>
      <rPr>
        <b/>
        <sz val="9"/>
        <color rgb="FFFF0000"/>
        <rFont val="Arial"/>
        <family val="2"/>
      </rPr>
      <t xml:space="preserve"> 09/09/2021</t>
    </r>
  </si>
  <si>
    <r>
      <t>Journée du:</t>
    </r>
    <r>
      <rPr>
        <b/>
        <sz val="9"/>
        <color rgb="FFFF0000"/>
        <rFont val="Arial"/>
        <family val="2"/>
      </rPr>
      <t xml:space="preserve"> 10+11/09/2021</t>
    </r>
  </si>
  <si>
    <r>
      <t>Journée du:</t>
    </r>
    <r>
      <rPr>
        <b/>
        <sz val="9"/>
        <color rgb="FFFF0000"/>
        <rFont val="Arial"/>
        <family val="2"/>
      </rPr>
      <t xml:space="preserve"> 12/09/2021</t>
    </r>
  </si>
  <si>
    <r>
      <t>Journée du:</t>
    </r>
    <r>
      <rPr>
        <b/>
        <sz val="9"/>
        <color rgb="FFFF0000"/>
        <rFont val="Arial"/>
        <family val="2"/>
      </rPr>
      <t xml:space="preserve"> 13/09/2021</t>
    </r>
  </si>
  <si>
    <r>
      <t>Journée du:</t>
    </r>
    <r>
      <rPr>
        <b/>
        <sz val="9"/>
        <color rgb="FFFF0000"/>
        <rFont val="Arial"/>
        <family val="2"/>
      </rPr>
      <t xml:space="preserve"> 14/09/2021</t>
    </r>
  </si>
  <si>
    <r>
      <t>Journée du:</t>
    </r>
    <r>
      <rPr>
        <b/>
        <sz val="9"/>
        <color rgb="FFFF0000"/>
        <rFont val="Arial"/>
        <family val="2"/>
      </rPr>
      <t xml:space="preserve"> 15/09/2021</t>
    </r>
  </si>
  <si>
    <r>
      <t>Journée du:</t>
    </r>
    <r>
      <rPr>
        <b/>
        <sz val="9"/>
        <color rgb="FFFF0000"/>
        <rFont val="Arial"/>
        <family val="2"/>
      </rPr>
      <t xml:space="preserve"> 18/09/2021</t>
    </r>
  </si>
  <si>
    <r>
      <t>Journée du:</t>
    </r>
    <r>
      <rPr>
        <b/>
        <sz val="9"/>
        <color rgb="FFFF0000"/>
        <rFont val="Arial"/>
        <family val="2"/>
      </rPr>
      <t xml:space="preserve"> 19/09/2021</t>
    </r>
  </si>
  <si>
    <r>
      <t>Journée du:</t>
    </r>
    <r>
      <rPr>
        <b/>
        <sz val="9"/>
        <color rgb="FFFF0000"/>
        <rFont val="Arial"/>
        <family val="2"/>
      </rPr>
      <t xml:space="preserve"> 20/09/2021</t>
    </r>
  </si>
  <si>
    <r>
      <t>Journée du:</t>
    </r>
    <r>
      <rPr>
        <b/>
        <sz val="9"/>
        <color rgb="FFFF0000"/>
        <rFont val="Arial"/>
        <family val="2"/>
      </rPr>
      <t xml:space="preserve"> 21/09/2021</t>
    </r>
  </si>
  <si>
    <t>Bts  0,8 l Ø108  N/INT +4C+CB+VSI</t>
  </si>
  <si>
    <t>Bts 1L Ø 108 V/INT+4C+CB+VSI</t>
  </si>
  <si>
    <t xml:space="preserve">Bts 1L Ø 108 FBN </t>
  </si>
  <si>
    <t>Bts 1/2 L Ø 108 NU/INT +CB+VSI+4C</t>
  </si>
  <si>
    <t>Bts 1 L Ø 83 4C LAQ</t>
  </si>
  <si>
    <t xml:space="preserve">Bts 1 L Ø 83 CB </t>
  </si>
  <si>
    <t>S/TOTAL 1/2</t>
  </si>
  <si>
    <t>S/TOTAL 4/4</t>
  </si>
  <si>
    <t xml:space="preserve">Taux 
rebut </t>
  </si>
  <si>
    <t>Taux de
Réal</t>
  </si>
  <si>
    <t>Taux
 jour</t>
  </si>
  <si>
    <t>Production Valorisée (DA)</t>
  </si>
  <si>
    <t>Avec prix de vente</t>
  </si>
  <si>
    <t>Avec cout de revient</t>
  </si>
  <si>
    <t>PU</t>
  </si>
  <si>
    <t>S/TOTAL -II- AZDU</t>
  </si>
  <si>
    <t>S/TOTAL -I- KDU</t>
  </si>
  <si>
    <t>S/TOTAL -III- SKDU</t>
  </si>
  <si>
    <t>TOTAL GENERAL I+II+III</t>
  </si>
  <si>
    <t xml:space="preserve">MDN </t>
  </si>
  <si>
    <t>Bts 1/2 HARR 0,16</t>
  </si>
  <si>
    <t xml:space="preserve">BOUKRAINE </t>
  </si>
  <si>
    <t>AMOUR</t>
  </si>
  <si>
    <t xml:space="preserve">Bts 1/2 CT </t>
  </si>
  <si>
    <t xml:space="preserve">Bts 1/2  </t>
  </si>
  <si>
    <t xml:space="preserve">ALPHYT  </t>
  </si>
  <si>
    <t>Bts Surpuissant</t>
  </si>
  <si>
    <t xml:space="preserve">SHRIKI </t>
  </si>
  <si>
    <t xml:space="preserve">Pails 18 l  </t>
  </si>
  <si>
    <t xml:space="preserve"> PIGMA </t>
  </si>
  <si>
    <t xml:space="preserve">Bts 1/2 L Ø 108 </t>
  </si>
  <si>
    <t>SOCOV MDN</t>
  </si>
  <si>
    <t xml:space="preserve">BELLAT </t>
  </si>
  <si>
    <t xml:space="preserve">SOCOV  </t>
  </si>
  <si>
    <t>TRS= Tu ÷ Tr=
(TD x TP x TQ)</t>
  </si>
  <si>
    <t>TD: Taux de Disponibilité</t>
  </si>
  <si>
    <t>TP: Taux de Performance</t>
  </si>
  <si>
    <t>TQ: Taux de Qualité</t>
  </si>
  <si>
    <t>Tf: Temps De Fonctionnement =(Tr-C)</t>
  </si>
  <si>
    <t>Tr: Temps Requis =(To-B)</t>
  </si>
  <si>
    <t>Tn: Temps Net (Tf-A)</t>
  </si>
  <si>
    <t>Tf: Temps De Fonctionnement</t>
  </si>
  <si>
    <t>Tu: Temps Utile =Tn-(To-(To*F ÷ E))</t>
  </si>
  <si>
    <t>Tn: Temps Net</t>
  </si>
  <si>
    <t>Quantité 
Produite
(E)</t>
  </si>
  <si>
    <t>Quantité  
conforme
(F)</t>
  </si>
  <si>
    <t>Quantité 
Rebutée
(G)</t>
  </si>
  <si>
    <t>To: Temps D’ouverture= (8X60)</t>
  </si>
  <si>
    <r>
      <t>Arrêt Planifiés (</t>
    </r>
    <r>
      <rPr>
        <sz val="14"/>
        <color rgb="FFC00000"/>
        <rFont val="Century Gothic"/>
        <family val="2"/>
      </rPr>
      <t>pause repas...</t>
    </r>
    <r>
      <rPr>
        <b/>
        <sz val="14"/>
        <rFont val="Century Gothic"/>
        <family val="2"/>
      </rPr>
      <t>)
(B)</t>
    </r>
  </si>
  <si>
    <r>
      <t>Arrêt Non Planifiés (</t>
    </r>
    <r>
      <rPr>
        <sz val="14"/>
        <color rgb="FFC00000"/>
        <rFont val="Century Gothic"/>
        <family val="2"/>
      </rPr>
      <t>réglage+ fil de cuivre...</t>
    </r>
    <r>
      <rPr>
        <b/>
        <sz val="14"/>
        <rFont val="Century Gothic"/>
        <family val="2"/>
      </rPr>
      <t>)
(C)</t>
    </r>
  </si>
  <si>
    <t>ARRETS (Minutes)</t>
  </si>
  <si>
    <t>Ecarts De Cadences 
(A=B+C)</t>
  </si>
  <si>
    <t xml:space="preserve"> TAUX
(Tf ÷ Tr)</t>
  </si>
  <si>
    <t>TAUX
 (Tn ÷ Tf)</t>
  </si>
  <si>
    <t>TAUX
(Tu ÷ Tn)</t>
  </si>
  <si>
    <t>TANDEM</t>
  </si>
  <si>
    <t>VERNISSEUSE</t>
  </si>
  <si>
    <t>T5 1/2</t>
  </si>
  <si>
    <t>T4 1/4</t>
  </si>
  <si>
    <t>T2 4/4</t>
  </si>
  <si>
    <t>T3 4OZ</t>
  </si>
  <si>
    <t>TOTAL 1/2 L Ø108 + 1 L Ø 83</t>
  </si>
  <si>
    <t>TOTAL 18 L+20 L</t>
  </si>
  <si>
    <t>Conserves</t>
  </si>
  <si>
    <t>Diverses</t>
  </si>
  <si>
    <t>Autres</t>
  </si>
  <si>
    <t>S/TOTAL I</t>
  </si>
  <si>
    <t>S/TOTAL II</t>
  </si>
  <si>
    <t>S/TOTAL III</t>
  </si>
  <si>
    <t>Programme</t>
  </si>
  <si>
    <t>Accesoires</t>
  </si>
  <si>
    <t>Nbre
pièces</t>
  </si>
  <si>
    <t>Boites</t>
  </si>
  <si>
    <r>
      <rPr>
        <b/>
        <u/>
        <sz val="40"/>
        <color theme="0"/>
        <rFont val="Century Gothic"/>
        <family val="2"/>
      </rPr>
      <t>Graphique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Septembre 2021</t>
    </r>
  </si>
  <si>
    <t>CAB</t>
  </si>
  <si>
    <t xml:space="preserve">LFB MDN </t>
  </si>
  <si>
    <t xml:space="preserve">CAT </t>
  </si>
  <si>
    <t xml:space="preserve">TRISTAR </t>
  </si>
  <si>
    <t>4 OZ HARISSA</t>
  </si>
  <si>
    <t>PAILS 3 GLYCAR</t>
  </si>
  <si>
    <t xml:space="preserve">PAILS 3 VERINEX </t>
  </si>
  <si>
    <t>ENAP</t>
  </si>
  <si>
    <t>PAILS 3 SUPERLAC</t>
  </si>
  <si>
    <t>PAILS 3 PRIMAFER</t>
  </si>
  <si>
    <t>PAILS 3 PPI</t>
  </si>
  <si>
    <t>PAILS 3 THIXOMATE</t>
  </si>
  <si>
    <t>ENAP SIG</t>
  </si>
  <si>
    <t>BCHN Ø 180 CB NU       726*717*0,23</t>
  </si>
  <si>
    <t>FDS Ø 73 FB    803*772*0,20  VBI/VOE</t>
  </si>
  <si>
    <t>FDS Ø 52,6 TFS  926*852*0,16</t>
  </si>
  <si>
    <t xml:space="preserve"> N.Int  4C+CB+VSI</t>
  </si>
  <si>
    <t>S/TOTAL -I- AZDU</t>
  </si>
  <si>
    <t>S/TOTAL -I- SKDU</t>
  </si>
  <si>
    <t xml:space="preserve">FDS 20L </t>
  </si>
  <si>
    <t>CVS 20 L</t>
  </si>
  <si>
    <t xml:space="preserve">CPS 1/8 SUB FDS </t>
  </si>
  <si>
    <t>FDS Ø108</t>
  </si>
  <si>
    <t>FDS PER Ø108</t>
  </si>
  <si>
    <t xml:space="preserve">FBI OR </t>
  </si>
  <si>
    <t>BCHN Ø108</t>
  </si>
  <si>
    <t xml:space="preserve">FBN </t>
  </si>
  <si>
    <t xml:space="preserve">CPS 1/8 SUB BGS  </t>
  </si>
  <si>
    <t xml:space="preserve">BGS V/INT SUB </t>
  </si>
  <si>
    <t xml:space="preserve">C/BLANC 1L Ø SUB BGS </t>
  </si>
  <si>
    <t>BGS Ø 108</t>
  </si>
  <si>
    <t>Bidon 3/1</t>
  </si>
  <si>
    <t>Bts 16 OZ ALPHYT (875*865*0,18)</t>
  </si>
  <si>
    <t xml:space="preserve">1/4 CLUB </t>
  </si>
  <si>
    <t>GUETTAF BRAHIM</t>
  </si>
  <si>
    <t xml:space="preserve">S/TOTAL I  CONSERVE </t>
  </si>
  <si>
    <t xml:space="preserve">S/TOTAL II DIVERS </t>
  </si>
  <si>
    <t>S/TOTAL I  CONSERVE AZDU</t>
  </si>
  <si>
    <t>S/TOTAL KDU</t>
  </si>
  <si>
    <t>S/TOTAL II DIVERS  SKDU</t>
  </si>
  <si>
    <t>GLYLAC 2000  4C</t>
  </si>
  <si>
    <t>AUTRES</t>
  </si>
  <si>
    <t>18 L N/INT 4C+CB+VSI</t>
  </si>
  <si>
    <t>18 L V/INT 4C+CB+VSI</t>
  </si>
  <si>
    <t>800GRS Ø108 N/INT 4C+CB+VSI</t>
  </si>
  <si>
    <t xml:space="preserve">CAISSE CARTON </t>
  </si>
  <si>
    <t xml:space="preserve">FUTS </t>
  </si>
  <si>
    <t xml:space="preserve">PERSONNEL </t>
  </si>
  <si>
    <t>CARM</t>
  </si>
  <si>
    <t>OULHASSA</t>
  </si>
  <si>
    <t>1/2 OT 4C+CB+VSI+CPS EXCLU (PRESTATION)</t>
  </si>
  <si>
    <t xml:space="preserve">ROTAION TRANSPORT </t>
  </si>
  <si>
    <t>4/4 FB+VBI+VOE</t>
  </si>
  <si>
    <t>4 OZ TFS VBI +VOE</t>
  </si>
  <si>
    <t>Bidon pails 10 G/2000</t>
  </si>
  <si>
    <t>VERINEX</t>
  </si>
  <si>
    <t xml:space="preserve">16 OZ </t>
  </si>
  <si>
    <t xml:space="preserve">4 OZ harissa </t>
  </si>
  <si>
    <t xml:space="preserve">AMOUR </t>
  </si>
  <si>
    <t>Bts 1/2 OT   4C+VBI+CB+VSI sens inv CPS EXCLU</t>
  </si>
  <si>
    <t>Bts 4/4 OT VBI+VSI</t>
  </si>
  <si>
    <t>ALPHYT</t>
  </si>
  <si>
    <t xml:space="preserve">Bts 1/4 CORNET DE BŒUF </t>
  </si>
  <si>
    <t xml:space="preserve">Bts 1/4  VBI NU VSIMP </t>
  </si>
  <si>
    <t xml:space="preserve">5/1 CB ON </t>
  </si>
  <si>
    <t xml:space="preserve">Bidon pails 20 C/BLANC NI </t>
  </si>
  <si>
    <t xml:space="preserve">Bts 1/2 OT  2C+VBI+VOE sens invers (C B) </t>
  </si>
  <si>
    <t>1/2 OT 4C+VBI+VOE SUB 24 ELEM</t>
  </si>
  <si>
    <t xml:space="preserve">1/2 OT 4C+VBI+VOE </t>
  </si>
  <si>
    <t>BOITES PASTILLE PM</t>
  </si>
  <si>
    <t>1 L  Ø108 C/ BLANC</t>
  </si>
  <si>
    <t>GLYCAR</t>
  </si>
  <si>
    <t xml:space="preserve">MITRAILLE DE CUIVRE </t>
  </si>
  <si>
    <t>ENR</t>
  </si>
  <si>
    <t>*</t>
  </si>
  <si>
    <t>Bts  0,8 l Ø108  N/INT +4C+CB+VSI ENAP</t>
  </si>
  <si>
    <t>Bts  0,8 l Ø108  N/INT +4C+CB+VSI PIGMA</t>
  </si>
  <si>
    <t xml:space="preserve">vernis cellulosique </t>
  </si>
  <si>
    <t xml:space="preserve">divers clients </t>
  </si>
  <si>
    <t xml:space="preserve">PRIMAFER </t>
  </si>
  <si>
    <t xml:space="preserve">DECHET FER BLANC ROND </t>
  </si>
  <si>
    <t xml:space="preserve">1/2  FIGUE TELLOISE </t>
  </si>
  <si>
    <t xml:space="preserve">200 GRS V/TRANSP </t>
  </si>
  <si>
    <t>FDS Ø169  726*717*0,23</t>
  </si>
  <si>
    <t xml:space="preserve">1/2 B TFS VBI+VOE+(VOIE) </t>
  </si>
  <si>
    <t>4/4 OT MDN CAT</t>
  </si>
  <si>
    <t>LFB</t>
  </si>
  <si>
    <t xml:space="preserve">FDS Ø 153 VBI VOE </t>
  </si>
  <si>
    <t>FDS Ø169  763*775*0,23</t>
  </si>
  <si>
    <t xml:space="preserve">BCHN FBN SUB BGS </t>
  </si>
  <si>
    <t xml:space="preserve">200 GRS F/FONDU </t>
  </si>
  <si>
    <t>Bts 1/4 F,FONDU GP /CIVIL</t>
  </si>
  <si>
    <t xml:space="preserve">201 GRS F/FONDU GP /CIVIL </t>
  </si>
  <si>
    <t xml:space="preserve">LFB </t>
  </si>
  <si>
    <t>Capacité
 Théorique/M 
(D)</t>
  </si>
  <si>
    <t xml:space="preserve">200 GRS C/BEEF </t>
  </si>
  <si>
    <t xml:space="preserve">4/4 OT MDN COT MDN </t>
  </si>
  <si>
    <t xml:space="preserve">1 L Ø 83 C/BLANC </t>
  </si>
  <si>
    <t xml:space="preserve">20 L C/BLANC </t>
  </si>
  <si>
    <t xml:space="preserve">CONCORDAL </t>
  </si>
  <si>
    <t xml:space="preserve">1L C/BLANC </t>
  </si>
  <si>
    <t xml:space="preserve">Bts 1/2 OT   4C+VBI+VSI </t>
  </si>
  <si>
    <t>BOUKRAINE</t>
  </si>
  <si>
    <t xml:space="preserve">Bts 4/4 OT   4C+VBI+VSI </t>
  </si>
  <si>
    <t>4/4 DCT</t>
  </si>
  <si>
    <t xml:space="preserve">BELHOR SAYEH </t>
  </si>
  <si>
    <t>TRISTAR</t>
  </si>
  <si>
    <t xml:space="preserve">DECHET FER BLANC </t>
  </si>
  <si>
    <t>FDS 169 SUB FDS</t>
  </si>
  <si>
    <t>Bts 1/4 F/FONDU  sub (926*854*0,17) 2c</t>
  </si>
  <si>
    <t xml:space="preserve">1/10 PEINTURE </t>
  </si>
  <si>
    <t xml:space="preserve">20 L D CELLULOSIQUE </t>
  </si>
  <si>
    <t>Bts 1/4 F/FONDU  MDN (926*869*0,17)2c</t>
  </si>
  <si>
    <t xml:space="preserve">Bts 1L Ø 108 N/INT 4C+CB+VSI </t>
  </si>
  <si>
    <t>FDS 169 SUB FDS 108 PERCE</t>
  </si>
  <si>
    <t xml:space="preserve">CPS 10L SUB CVS </t>
  </si>
  <si>
    <t>THIXOMATE</t>
  </si>
  <si>
    <t xml:space="preserve">4/4 TFS VBI+VOE </t>
  </si>
  <si>
    <t xml:space="preserve">BCHN FBN SUB FDS </t>
  </si>
  <si>
    <t xml:space="preserve">Bts 1/4 CORNET  BŒUF  </t>
  </si>
  <si>
    <t>Bts 1/4 CORNET  BŒUF SOCOV (926*854*0,17 )1C</t>
  </si>
  <si>
    <t>4/4 FB VBI+VOE</t>
  </si>
  <si>
    <t>4/4 ON vbi+vsi</t>
  </si>
  <si>
    <t>4/4 OT vbi+vsi</t>
  </si>
  <si>
    <t>DJENADI MOHAMED</t>
  </si>
  <si>
    <t xml:space="preserve">200 grs C/BEEF </t>
  </si>
  <si>
    <t xml:space="preserve">ALVIAR </t>
  </si>
  <si>
    <t xml:space="preserve">4 OZ PURE TOMATE </t>
  </si>
  <si>
    <t>SEDDIKI</t>
  </si>
  <si>
    <t xml:space="preserve">CVS 10L SUB CVS </t>
  </si>
  <si>
    <t>Bts 16 OZ  (909*848*0,18)</t>
  </si>
  <si>
    <t xml:space="preserve">4/4 OT 4C+CB+VSI </t>
  </si>
  <si>
    <t>NAFTAL BEJAIA</t>
  </si>
  <si>
    <t>FDS Ø 99  850*777*0,23   FB</t>
  </si>
  <si>
    <t xml:space="preserve">divers </t>
  </si>
  <si>
    <t>Bts 1/4 CORNET  BŒUF  (926*969*0,17)</t>
  </si>
  <si>
    <t>Bidon 5/1 SIPA</t>
  </si>
  <si>
    <t>SAUCE-PIZZA</t>
  </si>
  <si>
    <t>SAYBOLT-MED</t>
  </si>
  <si>
    <t>1/2 L VERINEX</t>
  </si>
  <si>
    <t>FDS 73</t>
  </si>
  <si>
    <t>NAMAN</t>
  </si>
  <si>
    <t>SIPA</t>
  </si>
  <si>
    <t>FRITA</t>
  </si>
  <si>
    <t>Bidon 5/1 CHAMPION DJENADI MOHAMED</t>
  </si>
  <si>
    <t>4 OZ CT</t>
  </si>
  <si>
    <t>5/1 SAUCE PIZZA</t>
  </si>
  <si>
    <t xml:space="preserve">Mitraille de cuivre </t>
  </si>
  <si>
    <t>SUB  CVS 20L</t>
  </si>
  <si>
    <t>SUBS CVS 20L V/INT</t>
  </si>
  <si>
    <t>Bts 1/2 OT   VBI / VSIMP</t>
  </si>
  <si>
    <t>Bts 1/2 OT   VBI + VSI</t>
  </si>
  <si>
    <t>DIVERS</t>
  </si>
  <si>
    <t>Bts 1/2 OT   2C+VBI+VOE</t>
  </si>
  <si>
    <t>Bts 1/2 OT   2C VBI+VOE (CB)</t>
  </si>
  <si>
    <t>VERNIS MARINE</t>
  </si>
  <si>
    <t>P P I</t>
  </si>
  <si>
    <t>FDS 153 VBI/VOE</t>
  </si>
  <si>
    <t>20 L V/INT 4C+CB+VSI</t>
  </si>
  <si>
    <t>5/1 SAUCE PIZZA   FRITA CHAMPION</t>
  </si>
  <si>
    <t>FDS 99 VBI/VOE</t>
  </si>
  <si>
    <t>SEDDEKI</t>
  </si>
  <si>
    <t>PAILS 3 ANTIROUILLE</t>
  </si>
  <si>
    <t>FDS Ø 73 TFS  803*772*0,18   VBI/VOE</t>
  </si>
  <si>
    <t>Désignation</t>
  </si>
  <si>
    <t>Client</t>
  </si>
  <si>
    <t>Cumul mois</t>
  </si>
  <si>
    <t>Taux 
Réal</t>
  </si>
  <si>
    <t>Ligne 16 OZ</t>
  </si>
  <si>
    <t>Pails 20 L</t>
  </si>
  <si>
    <t>Pails 10 L</t>
  </si>
  <si>
    <t xml:space="preserve">Ligne 800 grs </t>
  </si>
  <si>
    <t>Train 1/2 L Ø108</t>
  </si>
  <si>
    <t>Production valorisée (DA)</t>
  </si>
  <si>
    <t>Montant cumulé</t>
  </si>
  <si>
    <t>Montant 
journée</t>
  </si>
  <si>
    <t>Avec coût de revient</t>
  </si>
  <si>
    <t>FDS 10 L</t>
  </si>
  <si>
    <t>CVS 10 L</t>
  </si>
  <si>
    <t>Valeur en DA/HT</t>
  </si>
  <si>
    <t>Quantité</t>
  </si>
  <si>
    <t>Journalière</t>
  </si>
  <si>
    <t>Cumulée</t>
  </si>
  <si>
    <t>Production
Réalisée</t>
  </si>
  <si>
    <t>Production
Vloriséé</t>
  </si>
  <si>
    <t>Production stockée</t>
  </si>
  <si>
    <t>Chiffre d'affaires</t>
  </si>
  <si>
    <t>/2  L  Ø108 C/ BLANC  N/INT</t>
  </si>
  <si>
    <t>C</t>
  </si>
  <si>
    <t>ANTIROUILLE</t>
  </si>
  <si>
    <t>PAILS 3 VC</t>
  </si>
  <si>
    <t>BOUKARAIN</t>
  </si>
  <si>
    <t xml:space="preserve">Bts 1/2 OT   2C+VBI+VOE </t>
  </si>
  <si>
    <t>1/2 OT  VBI+VSI</t>
  </si>
  <si>
    <t>Bidon pails 10 ANTIROUILLE</t>
  </si>
  <si>
    <t>DGO</t>
  </si>
  <si>
    <t>Bidon 3/1 SAUCE PIZZA</t>
  </si>
  <si>
    <t>Bidon 5/1 VBI+CB   VSIMP   nouvelle ligne</t>
  </si>
  <si>
    <t>Bidon 5/1 VBI+CB  VSI nouvelle ligne</t>
  </si>
  <si>
    <t xml:space="preserve">Bts 1/2 OT   2C+VSI </t>
  </si>
  <si>
    <t>Bts 4/4 ON 4C +VBI+VSI</t>
  </si>
  <si>
    <t>Bts 4/4 ON   2C+VBI+VOE</t>
  </si>
  <si>
    <t>Bts 1/2 OT   4C+VBI+VSI</t>
  </si>
  <si>
    <t xml:space="preserve">Bts 4/4 ON   2C+VBI+VOE </t>
  </si>
  <si>
    <t>Bts 4/4 ON  4C +VBI+VSI</t>
  </si>
  <si>
    <t>RAHALI</t>
  </si>
  <si>
    <t>VC</t>
  </si>
  <si>
    <t>BTE 3/1 SAUCE PIZZA</t>
  </si>
  <si>
    <t>PIGMA</t>
  </si>
  <si>
    <t>1/2 OT 2C+VBI+VOE</t>
  </si>
  <si>
    <t>NOUICHI</t>
  </si>
  <si>
    <t>Bts 4/4 OT    4C+VBI+CB+VSI</t>
  </si>
  <si>
    <t>1/2 VBI+VOE  TFS</t>
  </si>
  <si>
    <t>Bts 4/4 OT VBI+VSI FER SUBSTITUTION</t>
  </si>
  <si>
    <t>Bts 4/4 ON    4C+VBI+CB+VSI</t>
  </si>
  <si>
    <t xml:space="preserve">Bts 4/4 ON   4C+VBI+CB+VSI </t>
  </si>
  <si>
    <t xml:space="preserve">4 OZ  CT </t>
  </si>
  <si>
    <t>Bts 4/4 ON    2C+VBI+VOE SUBSTITUTION</t>
  </si>
  <si>
    <t>YAMABON</t>
  </si>
  <si>
    <t>ROTATION TRANSPORT</t>
  </si>
  <si>
    <t>FBN PERCE   VI</t>
  </si>
  <si>
    <t>PAILS 3L VERNIS MARINE</t>
  </si>
  <si>
    <t>Bts 1/2 OT  4C+VBI+CB+VSI</t>
  </si>
  <si>
    <t>Bts 4/4 ON VBI + VSIM</t>
  </si>
  <si>
    <t>Bts 1/2 OT   4C+VBI+CB+VSI    INVERSE</t>
  </si>
  <si>
    <t>4/4 ON 4C+VBI+VB+VSIMP</t>
  </si>
  <si>
    <t>4/4 ON 2C+VBI+VB+VSIMP</t>
  </si>
  <si>
    <t>4/4 OT 4C+VBI+VB+VSIMP</t>
  </si>
  <si>
    <t>SICAM</t>
  </si>
  <si>
    <t xml:space="preserve">1/2 OT 4C+VBI+CB+VSI </t>
  </si>
  <si>
    <t>1/2 OT 4C+VBI+VOE sub24 elem</t>
  </si>
  <si>
    <t>1/2 OT 4C+CB+VBI+VSI</t>
  </si>
  <si>
    <t>AMOR</t>
  </si>
  <si>
    <t>1/2 ON VBI+VOE</t>
  </si>
  <si>
    <t>Bidon 5/1 DJENADI MOHAMED</t>
  </si>
  <si>
    <t>FACTURE D4AVOIR</t>
  </si>
  <si>
    <t>4 OZ OT  HARISSA</t>
  </si>
  <si>
    <t>BOITE PASSTILLE</t>
  </si>
  <si>
    <t>BEN AMARA</t>
  </si>
  <si>
    <t>Pails 18 l  V/INT  PIGMA</t>
  </si>
  <si>
    <t>Bts 1/2 L Ø 108 NU/INT +CB+VSI+4C ENAP</t>
  </si>
  <si>
    <t>Bts 1/2 L Ø 108  CONCORDAL</t>
  </si>
  <si>
    <t>Bts 1L Ø 108 N/INT 4C+CB+VSI CONCORDAL</t>
  </si>
  <si>
    <t>PAILS 3 CELOSIA</t>
  </si>
  <si>
    <t xml:space="preserve">Bts 4/4 OT   2C+VBI+VSI </t>
  </si>
  <si>
    <t xml:space="preserve">Bts 1/2 OT  4C+VBI+VOE sens invers (C B) </t>
  </si>
  <si>
    <t>CBA</t>
  </si>
  <si>
    <t>Bts 1/4 CORNET DE BŒUF  SOCOV  CIVIL</t>
  </si>
  <si>
    <t>SOCOV</t>
  </si>
  <si>
    <t>Bts 1/4 BŒUF EN SAUCE SOCOV  CIVIL</t>
  </si>
  <si>
    <t>ALGEROISE</t>
  </si>
  <si>
    <t>PAILS PRIMAFER</t>
  </si>
  <si>
    <t>Bts 4/4 OT CT</t>
  </si>
  <si>
    <t>Bidon 5/1 SIPA  nouvelle ligne</t>
  </si>
  <si>
    <t>4 OZ DCT  BANADORA</t>
  </si>
  <si>
    <t>Bts 1/2 OT   2C VBI+VSI</t>
  </si>
  <si>
    <t>CT-NOUR-TOM</t>
  </si>
  <si>
    <t>journée du 01/02/2022</t>
  </si>
  <si>
    <t>Journée du: 01/02/2022</t>
  </si>
  <si>
    <t>Production 01/02/2022</t>
  </si>
  <si>
    <r>
      <rPr>
        <b/>
        <u/>
        <sz val="40"/>
        <color theme="0"/>
        <rFont val="Century Gothic"/>
        <family val="2"/>
      </rPr>
      <t>Activité Consolidée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</si>
  <si>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</si>
  <si>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Valorisée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</si>
  <si>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(Accessoires)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2022.</t>
    </r>
  </si>
  <si>
    <r>
      <rPr>
        <b/>
        <u/>
        <sz val="40"/>
        <color theme="0"/>
        <rFont val="Century Gothic"/>
        <family val="2"/>
      </rPr>
      <t>Etat des Ventes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</si>
  <si>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 xml:space="preserve">Calcul Journalier Du Taux de Rendement Synthétique (T.R.S) 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</si>
  <si>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t>PRODUCTION du 01/02/2022</t>
  </si>
  <si>
    <t>FDS D 83 FBN</t>
  </si>
  <si>
    <t>FDS RERC 83</t>
  </si>
  <si>
    <t>journée du 02/02/2022</t>
  </si>
  <si>
    <t>Journée du: 02/02/2022</t>
  </si>
  <si>
    <t>PRODUCTION du 02/02/2022</t>
  </si>
  <si>
    <t>NOUVELLE ERE</t>
  </si>
  <si>
    <t xml:space="preserve">Bts 1/2 OT   2C+VBI+VSI </t>
  </si>
  <si>
    <t xml:space="preserve">Bts 1/2 OT   2C+VBI+CB+VSI </t>
  </si>
  <si>
    <t xml:space="preserve">Bts 1/2 OT   4C+VBI+CB+VSI </t>
  </si>
  <si>
    <t>Production 02/02/2022</t>
  </si>
  <si>
    <t>FDS Ø 99  850*777*0,21  TFS</t>
  </si>
  <si>
    <t>1/2  L  Ø108 C/ BLANC  N/INT</t>
  </si>
  <si>
    <t>1 L Ø 83 N/INT 4C+CB+VSI</t>
  </si>
  <si>
    <t>journée du 03/04 ET 05/02/2022</t>
  </si>
  <si>
    <t>Journée du: 03/04 ET 05/02/2022</t>
  </si>
  <si>
    <t>Production 03/04 ET 05/02/2022</t>
  </si>
  <si>
    <t>PRODUCTION du 03/04 ET 05/02/2022</t>
  </si>
  <si>
    <t>1/2 OT 2C+CB+VBI+VSI</t>
  </si>
  <si>
    <t xml:space="preserve">1/2 OT 2C+VBI+CB+VSI </t>
  </si>
  <si>
    <t>NOUELLE ERE</t>
  </si>
  <si>
    <t>FDS Ø 99  850*777*0,23</t>
  </si>
  <si>
    <t xml:space="preserve">5/1 V/TRASP ON </t>
  </si>
  <si>
    <t>PRODUCTION du 06/02/2022</t>
  </si>
  <si>
    <t>journée du 06/02/2022</t>
  </si>
  <si>
    <t>Journée du: 06/02/2022</t>
  </si>
  <si>
    <t>Production 06/02/2022</t>
  </si>
  <si>
    <t>journée du 07/02/2022</t>
  </si>
  <si>
    <t>Journée du: 07/02/2022</t>
  </si>
  <si>
    <t>Production 07/02/2022</t>
  </si>
  <si>
    <t>PRODUCTION du 07/02/2022</t>
  </si>
  <si>
    <t>NOUICHI KAMEL</t>
  </si>
  <si>
    <t>journée du 08/02/2022</t>
  </si>
  <si>
    <t>Journée du: 08/02/2022</t>
  </si>
  <si>
    <t>journée du 0/02/2022</t>
  </si>
  <si>
    <t>Production 08/02/2022</t>
  </si>
  <si>
    <t>PRODUCTION du 08/02/2022</t>
  </si>
  <si>
    <t>Bidon 5/1 SAUCE PIZZA</t>
  </si>
  <si>
    <t>GREEN-GRILLE</t>
  </si>
  <si>
    <t>VBI 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</si>
</sst>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CC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9"/>
      <color rgb="FF0000C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0000CC"/>
      <name val="Century Gothic"/>
      <family val="2"/>
    </font>
    <font>
      <b/>
      <sz val="16"/>
      <name val="Century Gothic"/>
      <family val="2"/>
    </font>
    <font>
      <b/>
      <u/>
      <sz val="26"/>
      <color theme="0"/>
      <name val="Century Gothic"/>
      <family val="2"/>
    </font>
    <font>
      <sz val="12"/>
      <name val="Century Gothic"/>
      <family val="2"/>
    </font>
    <font>
      <b/>
      <sz val="26"/>
      <color theme="0"/>
      <name val="Century Gothic"/>
      <family val="2"/>
    </font>
    <font>
      <b/>
      <u/>
      <sz val="40"/>
      <color theme="0"/>
      <name val="Century Gothic"/>
      <family val="2"/>
    </font>
    <font>
      <b/>
      <sz val="18"/>
      <color theme="0"/>
      <name val="Century Gothic"/>
      <family val="2"/>
    </font>
    <font>
      <b/>
      <sz val="18"/>
      <name val="Century Gothic"/>
      <family val="2"/>
    </font>
    <font>
      <b/>
      <u/>
      <sz val="18"/>
      <color rgb="FFFF0000"/>
      <name val="Century Gothic"/>
      <family val="2"/>
    </font>
    <font>
      <sz val="18"/>
      <name val="Century Gothic"/>
      <family val="2"/>
    </font>
    <font>
      <b/>
      <sz val="18"/>
      <color rgb="FF0000CC"/>
      <name val="Century Gothic"/>
      <family val="2"/>
    </font>
    <font>
      <b/>
      <sz val="20"/>
      <color theme="0"/>
      <name val="Century Gothic"/>
      <family val="2"/>
    </font>
    <font>
      <b/>
      <sz val="14"/>
      <name val="Century Gothic"/>
      <family val="2"/>
    </font>
    <font>
      <sz val="18"/>
      <color rgb="FF0000CC"/>
      <name val="Century Gothic"/>
      <family val="2"/>
    </font>
    <font>
      <sz val="14"/>
      <color rgb="FFC00000"/>
      <name val="Century Gothic"/>
      <family val="2"/>
    </font>
    <font>
      <sz val="18"/>
      <color theme="1"/>
      <name val="Century Gothic"/>
      <family val="2"/>
    </font>
    <font>
      <b/>
      <sz val="24"/>
      <color theme="0"/>
      <name val="Century Gothic"/>
      <family val="2"/>
    </font>
    <font>
      <sz val="24"/>
      <name val="Century Gothic"/>
      <family val="2"/>
    </font>
    <font>
      <b/>
      <sz val="24"/>
      <name val="Century Gothic"/>
      <family val="2"/>
    </font>
    <font>
      <b/>
      <sz val="24"/>
      <color rgb="FF0000CC"/>
      <name val="Century Gothic"/>
      <family val="2"/>
    </font>
    <font>
      <b/>
      <sz val="18"/>
      <color rgb="FFFF0000"/>
      <name val="Century Gothic"/>
      <family val="2"/>
    </font>
    <font>
      <b/>
      <sz val="20"/>
      <name val="Century Gothic"/>
      <family val="2"/>
    </font>
    <font>
      <sz val="18"/>
      <color rgb="FFFF0000"/>
      <name val="Century Gothic"/>
      <family val="2"/>
    </font>
    <font>
      <b/>
      <sz val="18"/>
      <color theme="1"/>
      <name val="Century Gothic"/>
      <family val="2"/>
    </font>
    <font>
      <sz val="18"/>
      <color theme="1"/>
      <name val="Calibri"/>
      <family val="2"/>
      <scheme val="minor"/>
    </font>
    <font>
      <sz val="11"/>
      <color theme="1"/>
      <name val="Century Gothic"/>
      <family val="2"/>
    </font>
  </fonts>
  <fills count="20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7" tint="0.79998168889431442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4" tint="-0.499984740745262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3" fillId="0" borderId="0"/>
  </cellStyleXfs>
  <cellXfs count="1055">
    <xf numFmtId="0" fontId="0" fillId="0" borderId="0" xfId="0"/>
    <xf numFmtId="0" fontId="4" fillId="0" borderId="0" xfId="0" applyFont="1" applyAlignment="1">
      <alignment vertical="center"/>
    </xf>
    <xf numFmtId="0" fontId="7" fillId="6" borderId="20" xfId="0" applyFont="1" applyFill="1" applyBorder="1" applyAlignment="1">
      <alignment horizontal="center" vertical="center" wrapText="1"/>
    </xf>
    <xf numFmtId="3" fontId="11" fillId="4" borderId="25" xfId="0" applyNumberFormat="1" applyFont="1" applyFill="1" applyBorder="1" applyAlignment="1">
      <alignment horizontal="center" vertical="center"/>
    </xf>
    <xf numFmtId="3" fontId="12" fillId="4" borderId="26" xfId="0" applyNumberFormat="1" applyFont="1" applyFill="1" applyBorder="1" applyAlignment="1">
      <alignment horizontal="center" vertical="center"/>
    </xf>
    <xf numFmtId="3" fontId="11" fillId="4" borderId="3" xfId="0" applyNumberFormat="1" applyFont="1" applyFill="1" applyBorder="1" applyAlignment="1">
      <alignment horizontal="center" vertical="center"/>
    </xf>
    <xf numFmtId="3" fontId="12" fillId="4" borderId="25" xfId="0" applyNumberFormat="1" applyFont="1" applyFill="1" applyBorder="1" applyAlignment="1">
      <alignment horizontal="center" vertical="center"/>
    </xf>
    <xf numFmtId="4" fontId="12" fillId="5" borderId="26" xfId="1" applyNumberFormat="1" applyFont="1" applyFill="1" applyBorder="1" applyAlignment="1">
      <alignment horizontal="right" vertical="center"/>
    </xf>
    <xf numFmtId="3" fontId="11" fillId="4" borderId="28" xfId="0" applyNumberFormat="1" applyFont="1" applyFill="1" applyBorder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 vertical="center"/>
    </xf>
    <xf numFmtId="3" fontId="11" fillId="4" borderId="11" xfId="0" applyNumberFormat="1" applyFont="1" applyFill="1" applyBorder="1" applyAlignment="1">
      <alignment horizontal="center" vertical="center"/>
    </xf>
    <xf numFmtId="4" fontId="12" fillId="5" borderId="13" xfId="1" applyNumberFormat="1" applyFont="1" applyFill="1" applyBorder="1" applyAlignment="1">
      <alignment horizontal="right" vertical="center"/>
    </xf>
    <xf numFmtId="3" fontId="12" fillId="4" borderId="40" xfId="0" applyNumberFormat="1" applyFont="1" applyFill="1" applyBorder="1" applyAlignment="1">
      <alignment horizontal="center" vertical="center"/>
    </xf>
    <xf numFmtId="3" fontId="11" fillId="4" borderId="34" xfId="0" applyNumberFormat="1" applyFont="1" applyFill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4" fontId="12" fillId="5" borderId="7" xfId="1" applyNumberFormat="1" applyFont="1" applyFill="1" applyBorder="1" applyAlignment="1">
      <alignment horizontal="right" vertical="center"/>
    </xf>
    <xf numFmtId="3" fontId="12" fillId="4" borderId="12" xfId="0" applyNumberFormat="1" applyFont="1" applyFill="1" applyBorder="1" applyAlignment="1">
      <alignment horizontal="center" vertical="center"/>
    </xf>
    <xf numFmtId="3" fontId="12" fillId="4" borderId="58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left" vertical="center" wrapText="1"/>
    </xf>
    <xf numFmtId="3" fontId="12" fillId="4" borderId="45" xfId="0" applyNumberFormat="1" applyFont="1" applyFill="1" applyBorder="1" applyAlignment="1">
      <alignment horizontal="center" vertical="center"/>
    </xf>
    <xf numFmtId="3" fontId="12" fillId="4" borderId="46" xfId="0" applyNumberFormat="1" applyFont="1" applyFill="1" applyBorder="1" applyAlignment="1">
      <alignment horizontal="center" vertical="center"/>
    </xf>
    <xf numFmtId="3" fontId="12" fillId="4" borderId="32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3" fontId="11" fillId="4" borderId="47" xfId="0" applyNumberFormat="1" applyFont="1" applyFill="1" applyBorder="1" applyAlignment="1">
      <alignment horizontal="center" vertical="center"/>
    </xf>
    <xf numFmtId="3" fontId="11" fillId="4" borderId="45" xfId="0" applyNumberFormat="1" applyFont="1" applyFill="1" applyBorder="1" applyAlignment="1">
      <alignment horizontal="center" vertical="center"/>
    </xf>
    <xf numFmtId="4" fontId="12" fillId="5" borderId="46" xfId="1" applyNumberFormat="1" applyFont="1" applyFill="1" applyBorder="1" applyAlignment="1">
      <alignment horizontal="righ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17" fontId="14" fillId="0" borderId="73" xfId="0" applyNumberFormat="1" applyFont="1" applyBorder="1" applyAlignment="1">
      <alignment horizontal="center" vertical="center"/>
    </xf>
    <xf numFmtId="10" fontId="11" fillId="4" borderId="3" xfId="1" applyNumberFormat="1" applyFont="1" applyFill="1" applyBorder="1" applyAlignment="1">
      <alignment horizontal="center" vertical="center"/>
    </xf>
    <xf numFmtId="4" fontId="12" fillId="5" borderId="7" xfId="0" applyNumberFormat="1" applyFont="1" applyFill="1" applyBorder="1" applyAlignment="1">
      <alignment horizontal="center" vertical="center"/>
    </xf>
    <xf numFmtId="17" fontId="14" fillId="0" borderId="68" xfId="0" applyNumberFormat="1" applyFont="1" applyBorder="1" applyAlignment="1">
      <alignment horizontal="center" vertical="center"/>
    </xf>
    <xf numFmtId="10" fontId="11" fillId="4" borderId="28" xfId="1" applyNumberFormat="1" applyFont="1" applyFill="1" applyBorder="1" applyAlignment="1">
      <alignment horizontal="center" vertical="center"/>
    </xf>
    <xf numFmtId="4" fontId="12" fillId="5" borderId="26" xfId="0" applyNumberFormat="1" applyFont="1" applyFill="1" applyBorder="1" applyAlignment="1">
      <alignment horizontal="center" vertical="center"/>
    </xf>
    <xf numFmtId="17" fontId="14" fillId="0" borderId="14" xfId="0" applyNumberFormat="1" applyFont="1" applyBorder="1" applyAlignment="1">
      <alignment horizontal="center" vertical="center"/>
    </xf>
    <xf numFmtId="4" fontId="12" fillId="5" borderId="13" xfId="0" applyNumberFormat="1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vertical="center"/>
    </xf>
    <xf numFmtId="3" fontId="11" fillId="4" borderId="58" xfId="0" applyNumberFormat="1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vertical="center"/>
    </xf>
    <xf numFmtId="10" fontId="11" fillId="4" borderId="11" xfId="1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2" fillId="0" borderId="46" xfId="0" applyNumberFormat="1" applyFont="1" applyFill="1" applyBorder="1" applyAlignment="1">
      <alignment horizontal="center" vertical="center"/>
    </xf>
    <xf numFmtId="3" fontId="11" fillId="0" borderId="47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10" fontId="11" fillId="0" borderId="63" xfId="1" applyNumberFormat="1" applyFont="1" applyFill="1" applyBorder="1" applyAlignment="1">
      <alignment horizontal="center" vertical="center"/>
    </xf>
    <xf numFmtId="4" fontId="11" fillId="0" borderId="48" xfId="1" applyNumberFormat="1" applyFont="1" applyFill="1" applyBorder="1" applyAlignment="1">
      <alignment horizontal="right" vertical="center"/>
    </xf>
    <xf numFmtId="4" fontId="12" fillId="0" borderId="46" xfId="1" applyNumberFormat="1" applyFont="1" applyFill="1" applyBorder="1" applyAlignment="1">
      <alignment horizontal="right" vertical="center"/>
    </xf>
    <xf numFmtId="4" fontId="12" fillId="0" borderId="47" xfId="1" applyNumberFormat="1" applyFont="1" applyFill="1" applyBorder="1" applyAlignment="1">
      <alignment horizontal="right" vertical="center"/>
    </xf>
    <xf numFmtId="10" fontId="11" fillId="4" borderId="70" xfId="1" applyNumberFormat="1" applyFont="1" applyFill="1" applyBorder="1" applyAlignment="1">
      <alignment horizontal="center" vertical="center"/>
    </xf>
    <xf numFmtId="10" fontId="11" fillId="4" borderId="62" xfId="1" applyNumberFormat="1" applyFont="1" applyFill="1" applyBorder="1" applyAlignment="1">
      <alignment horizontal="center" vertical="center"/>
    </xf>
    <xf numFmtId="10" fontId="11" fillId="4" borderId="63" xfId="1" applyNumberFormat="1" applyFont="1" applyFill="1" applyBorder="1" applyAlignment="1">
      <alignment horizontal="center" vertical="center"/>
    </xf>
    <xf numFmtId="3" fontId="11" fillId="0" borderId="42" xfId="0" applyNumberFormat="1" applyFont="1" applyFill="1" applyBorder="1" applyAlignment="1">
      <alignment horizontal="center" vertical="center" wrapText="1"/>
    </xf>
    <xf numFmtId="0" fontId="13" fillId="0" borderId="8" xfId="0" applyFont="1" applyBorder="1"/>
    <xf numFmtId="0" fontId="13" fillId="4" borderId="58" xfId="0" applyFont="1" applyFill="1" applyBorder="1" applyAlignment="1">
      <alignment horizontal="center"/>
    </xf>
    <xf numFmtId="3" fontId="7" fillId="4" borderId="7" xfId="0" applyNumberFormat="1" applyFont="1" applyFill="1" applyBorder="1" applyAlignment="1">
      <alignment horizontal="center"/>
    </xf>
    <xf numFmtId="3" fontId="7" fillId="4" borderId="74" xfId="0" applyNumberFormat="1" applyFont="1" applyFill="1" applyBorder="1" applyAlignment="1">
      <alignment horizontal="center"/>
    </xf>
    <xf numFmtId="0" fontId="13" fillId="4" borderId="3" xfId="0" applyFont="1" applyFill="1" applyBorder="1"/>
    <xf numFmtId="0" fontId="13" fillId="5" borderId="58" xfId="0" applyFont="1" applyFill="1" applyBorder="1" applyAlignment="1">
      <alignment horizontal="right"/>
    </xf>
    <xf numFmtId="4" fontId="13" fillId="5" borderId="7" xfId="0" applyNumberFormat="1" applyFont="1" applyFill="1" applyBorder="1"/>
    <xf numFmtId="0" fontId="13" fillId="0" borderId="15" xfId="0" applyFont="1" applyBorder="1"/>
    <xf numFmtId="0" fontId="13" fillId="4" borderId="12" xfId="0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3" fontId="7" fillId="4" borderId="62" xfId="0" applyNumberFormat="1" applyFont="1" applyFill="1" applyBorder="1" applyAlignment="1">
      <alignment horizontal="center"/>
    </xf>
    <xf numFmtId="0" fontId="13" fillId="4" borderId="11" xfId="0" applyFont="1" applyFill="1" applyBorder="1"/>
    <xf numFmtId="0" fontId="13" fillId="5" borderId="12" xfId="0" applyFont="1" applyFill="1" applyBorder="1" applyAlignment="1">
      <alignment horizontal="right"/>
    </xf>
    <xf numFmtId="4" fontId="13" fillId="5" borderId="13" xfId="0" applyNumberFormat="1" applyFont="1" applyFill="1" applyBorder="1"/>
    <xf numFmtId="0" fontId="10" fillId="0" borderId="75" xfId="0" applyFont="1" applyBorder="1" applyAlignment="1">
      <alignment horizontal="left" vertical="center"/>
    </xf>
    <xf numFmtId="0" fontId="13" fillId="0" borderId="23" xfId="0" applyFont="1" applyBorder="1"/>
    <xf numFmtId="0" fontId="13" fillId="4" borderId="19" xfId="0" applyFont="1" applyFill="1" applyBorder="1" applyAlignment="1">
      <alignment horizontal="center"/>
    </xf>
    <xf numFmtId="3" fontId="7" fillId="4" borderId="20" xfId="0" applyNumberFormat="1" applyFont="1" applyFill="1" applyBorder="1" applyAlignment="1">
      <alignment horizontal="center"/>
    </xf>
    <xf numFmtId="3" fontId="7" fillId="4" borderId="71" xfId="0" applyNumberFormat="1" applyFont="1" applyFill="1" applyBorder="1" applyAlignment="1">
      <alignment horizontal="center"/>
    </xf>
    <xf numFmtId="0" fontId="13" fillId="5" borderId="19" xfId="0" applyFont="1" applyFill="1" applyBorder="1" applyAlignment="1">
      <alignment horizontal="right"/>
    </xf>
    <xf numFmtId="4" fontId="13" fillId="5" borderId="20" xfId="0" applyNumberFormat="1" applyFont="1" applyFill="1" applyBorder="1"/>
    <xf numFmtId="0" fontId="14" fillId="5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" fontId="12" fillId="5" borderId="42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3" fontId="7" fillId="4" borderId="21" xfId="0" applyNumberFormat="1" applyFont="1" applyFill="1" applyBorder="1" applyAlignment="1">
      <alignment horizontal="center"/>
    </xf>
    <xf numFmtId="10" fontId="11" fillId="4" borderId="31" xfId="1" applyNumberFormat="1" applyFont="1" applyFill="1" applyBorder="1" applyAlignment="1">
      <alignment horizontal="center" vertical="center"/>
    </xf>
    <xf numFmtId="17" fontId="14" fillId="0" borderId="22" xfId="0" applyNumberFormat="1" applyFont="1" applyBorder="1" applyAlignment="1">
      <alignment horizontal="center" vertical="center"/>
    </xf>
    <xf numFmtId="4" fontId="12" fillId="5" borderId="42" xfId="0" applyNumberFormat="1" applyFont="1" applyFill="1" applyBorder="1" applyAlignment="1">
      <alignment horizontal="center" vertical="center"/>
    </xf>
    <xf numFmtId="3" fontId="11" fillId="0" borderId="51" xfId="0" applyNumberFormat="1" applyFont="1" applyFill="1" applyBorder="1" applyAlignment="1">
      <alignment horizontal="center" vertical="center" wrapText="1"/>
    </xf>
    <xf numFmtId="4" fontId="11" fillId="5" borderId="28" xfId="1" applyNumberFormat="1" applyFont="1" applyFill="1" applyBorder="1" applyAlignment="1">
      <alignment horizontal="right" vertical="center"/>
    </xf>
    <xf numFmtId="4" fontId="11" fillId="5" borderId="7" xfId="0" applyNumberFormat="1" applyFont="1" applyFill="1" applyBorder="1" applyAlignment="1">
      <alignment horizontal="center" vertical="center"/>
    </xf>
    <xf numFmtId="4" fontId="11" fillId="5" borderId="26" xfId="0" applyNumberFormat="1" applyFont="1" applyFill="1" applyBorder="1" applyAlignment="1">
      <alignment horizontal="center" vertical="center"/>
    </xf>
    <xf numFmtId="4" fontId="11" fillId="5" borderId="13" xfId="0" applyNumberFormat="1" applyFont="1" applyFill="1" applyBorder="1" applyAlignment="1">
      <alignment horizontal="center" vertical="center"/>
    </xf>
    <xf numFmtId="4" fontId="11" fillId="5" borderId="20" xfId="0" applyNumberFormat="1" applyFont="1" applyFill="1" applyBorder="1" applyAlignment="1">
      <alignment horizontal="center" vertical="center"/>
    </xf>
    <xf numFmtId="4" fontId="11" fillId="5" borderId="3" xfId="1" applyNumberFormat="1" applyFont="1" applyFill="1" applyBorder="1" applyAlignment="1">
      <alignment horizontal="right" vertical="center"/>
    </xf>
    <xf numFmtId="4" fontId="11" fillId="5" borderId="11" xfId="1" applyNumberFormat="1" applyFont="1" applyFill="1" applyBorder="1" applyAlignment="1">
      <alignment horizontal="right" vertical="center"/>
    </xf>
    <xf numFmtId="4" fontId="11" fillId="0" borderId="47" xfId="1" applyNumberFormat="1" applyFont="1" applyFill="1" applyBorder="1" applyAlignment="1">
      <alignment horizontal="right" vertical="center"/>
    </xf>
    <xf numFmtId="4" fontId="11" fillId="5" borderId="70" xfId="1" applyNumberFormat="1" applyFont="1" applyFill="1" applyBorder="1" applyAlignment="1">
      <alignment horizontal="right" vertical="center"/>
    </xf>
    <xf numFmtId="4" fontId="11" fillId="5" borderId="62" xfId="1" applyNumberFormat="1" applyFont="1" applyFill="1" applyBorder="1" applyAlignment="1">
      <alignment horizontal="right" vertical="center"/>
    </xf>
    <xf numFmtId="4" fontId="11" fillId="5" borderId="47" xfId="1" applyNumberFormat="1" applyFont="1" applyFill="1" applyBorder="1" applyAlignment="1">
      <alignment horizontal="right" vertical="center"/>
    </xf>
    <xf numFmtId="0" fontId="0" fillId="0" borderId="42" xfId="0" applyBorder="1"/>
    <xf numFmtId="4" fontId="2" fillId="0" borderId="42" xfId="0" applyNumberFormat="1" applyFont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0" borderId="59" xfId="0" applyBorder="1"/>
    <xf numFmtId="0" fontId="0" fillId="0" borderId="0" xfId="0" applyBorder="1"/>
    <xf numFmtId="0" fontId="0" fillId="0" borderId="39" xfId="0" applyBorder="1"/>
    <xf numFmtId="4" fontId="2" fillId="10" borderId="42" xfId="0" applyNumberFormat="1" applyFont="1" applyFill="1" applyBorder="1"/>
    <xf numFmtId="0" fontId="11" fillId="5" borderId="58" xfId="0" applyFont="1" applyFill="1" applyBorder="1" applyAlignment="1">
      <alignment horizontal="right" vertical="center"/>
    </xf>
    <xf numFmtId="0" fontId="11" fillId="5" borderId="25" xfId="0" applyFont="1" applyFill="1" applyBorder="1" applyAlignment="1">
      <alignment horizontal="right" vertical="center"/>
    </xf>
    <xf numFmtId="0" fontId="11" fillId="5" borderId="12" xfId="0" applyFont="1" applyFill="1" applyBorder="1" applyAlignment="1">
      <alignment horizontal="right" vertical="center"/>
    </xf>
    <xf numFmtId="0" fontId="11" fillId="5" borderId="19" xfId="0" applyFont="1" applyFill="1" applyBorder="1" applyAlignment="1">
      <alignment horizontal="right" vertical="center"/>
    </xf>
    <xf numFmtId="0" fontId="14" fillId="4" borderId="17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3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61" xfId="0" applyFont="1" applyBorder="1" applyAlignment="1"/>
    <xf numFmtId="0" fontId="2" fillId="0" borderId="42" xfId="0" applyFont="1" applyBorder="1" applyAlignment="1"/>
    <xf numFmtId="3" fontId="2" fillId="0" borderId="42" xfId="0" applyNumberFormat="1" applyFont="1" applyBorder="1" applyAlignment="1"/>
    <xf numFmtId="3" fontId="2" fillId="0" borderId="61" xfId="0" applyNumberFormat="1" applyFont="1" applyBorder="1" applyAlignment="1"/>
    <xf numFmtId="0" fontId="11" fillId="0" borderId="72" xfId="0" applyFont="1" applyFill="1" applyBorder="1" applyAlignment="1">
      <alignment vertical="center"/>
    </xf>
    <xf numFmtId="0" fontId="11" fillId="0" borderId="78" xfId="0" applyFont="1" applyFill="1" applyBorder="1" applyAlignment="1">
      <alignment vertical="center"/>
    </xf>
    <xf numFmtId="0" fontId="11" fillId="0" borderId="65" xfId="0" applyFont="1" applyFill="1" applyBorder="1" applyAlignment="1">
      <alignment vertical="center"/>
    </xf>
    <xf numFmtId="0" fontId="11" fillId="0" borderId="66" xfId="0" applyFont="1" applyFill="1" applyBorder="1" applyAlignment="1">
      <alignment vertical="center"/>
    </xf>
    <xf numFmtId="3" fontId="12" fillId="8" borderId="44" xfId="0" applyNumberFormat="1" applyFont="1" applyFill="1" applyBorder="1" applyAlignment="1">
      <alignment horizontal="center" vertical="center"/>
    </xf>
    <xf numFmtId="3" fontId="12" fillId="8" borderId="61" xfId="0" applyNumberFormat="1" applyFont="1" applyFill="1" applyBorder="1" applyAlignment="1">
      <alignment horizontal="center" vertical="center"/>
    </xf>
    <xf numFmtId="3" fontId="12" fillId="8" borderId="42" xfId="0" applyNumberFormat="1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vertical="center"/>
    </xf>
    <xf numFmtId="3" fontId="2" fillId="8" borderId="46" xfId="0" applyNumberFormat="1" applyFont="1" applyFill="1" applyBorder="1" applyAlignment="1">
      <alignment horizontal="center" vertical="center"/>
    </xf>
    <xf numFmtId="3" fontId="2" fillId="8" borderId="4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right" vertical="center"/>
    </xf>
    <xf numFmtId="4" fontId="11" fillId="5" borderId="40" xfId="0" applyNumberFormat="1" applyFont="1" applyFill="1" applyBorder="1" applyAlignment="1">
      <alignment horizontal="center" vertical="center"/>
    </xf>
    <xf numFmtId="0" fontId="12" fillId="8" borderId="48" xfId="0" applyFont="1" applyFill="1" applyBorder="1" applyAlignment="1">
      <alignment vertical="center"/>
    </xf>
    <xf numFmtId="3" fontId="12" fillId="8" borderId="46" xfId="0" applyNumberFormat="1" applyFont="1" applyFill="1" applyBorder="1" applyAlignment="1">
      <alignment horizontal="center" vertical="center"/>
    </xf>
    <xf numFmtId="3" fontId="12" fillId="8" borderId="47" xfId="0" applyNumberFormat="1" applyFont="1" applyFill="1" applyBorder="1" applyAlignment="1">
      <alignment horizontal="center" vertical="center"/>
    </xf>
    <xf numFmtId="3" fontId="11" fillId="8" borderId="45" xfId="0" applyNumberFormat="1" applyFont="1" applyFill="1" applyBorder="1" applyAlignment="1">
      <alignment horizontal="center" vertical="center"/>
    </xf>
    <xf numFmtId="3" fontId="11" fillId="8" borderId="46" xfId="0" applyNumberFormat="1" applyFont="1" applyFill="1" applyBorder="1" applyAlignment="1">
      <alignment horizontal="center" vertical="center"/>
    </xf>
    <xf numFmtId="10" fontId="11" fillId="8" borderId="47" xfId="1" applyNumberFormat="1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right" vertical="center"/>
    </xf>
    <xf numFmtId="4" fontId="12" fillId="8" borderId="46" xfId="0" applyNumberFormat="1" applyFont="1" applyFill="1" applyBorder="1" applyAlignment="1">
      <alignment horizontal="center" vertical="center"/>
    </xf>
    <xf numFmtId="4" fontId="12" fillId="8" borderId="47" xfId="0" applyNumberFormat="1" applyFont="1" applyFill="1" applyBorder="1" applyAlignment="1">
      <alignment horizontal="center" vertical="center"/>
    </xf>
    <xf numFmtId="10" fontId="11" fillId="8" borderId="44" xfId="1" applyNumberFormat="1" applyFont="1" applyFill="1" applyBorder="1" applyAlignment="1">
      <alignment horizontal="center" vertical="center"/>
    </xf>
    <xf numFmtId="0" fontId="11" fillId="8" borderId="49" xfId="0" applyFont="1" applyFill="1" applyBorder="1" applyAlignment="1">
      <alignment horizontal="right" vertical="center"/>
    </xf>
    <xf numFmtId="0" fontId="14" fillId="8" borderId="49" xfId="0" applyFont="1" applyFill="1" applyBorder="1" applyAlignment="1">
      <alignment horizontal="center" vertical="center"/>
    </xf>
    <xf numFmtId="4" fontId="11" fillId="8" borderId="42" xfId="0" applyNumberFormat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center"/>
    </xf>
    <xf numFmtId="165" fontId="11" fillId="5" borderId="36" xfId="1" applyNumberFormat="1" applyFont="1" applyFill="1" applyBorder="1" applyAlignment="1">
      <alignment horizontal="right" vertical="center"/>
    </xf>
    <xf numFmtId="165" fontId="11" fillId="5" borderId="10" xfId="1" applyNumberFormat="1" applyFont="1" applyFill="1" applyBorder="1" applyAlignment="1">
      <alignment horizontal="right" vertical="center"/>
    </xf>
    <xf numFmtId="165" fontId="11" fillId="5" borderId="2" xfId="1" applyNumberFormat="1" applyFont="1" applyFill="1" applyBorder="1" applyAlignment="1">
      <alignment horizontal="right" vertical="center"/>
    </xf>
    <xf numFmtId="164" fontId="11" fillId="5" borderId="12" xfId="0" applyNumberFormat="1" applyFont="1" applyFill="1" applyBorder="1" applyAlignment="1">
      <alignment horizontal="right"/>
    </xf>
    <xf numFmtId="164" fontId="13" fillId="5" borderId="12" xfId="0" applyNumberFormat="1" applyFont="1" applyFill="1" applyBorder="1" applyAlignment="1">
      <alignment horizontal="right"/>
    </xf>
    <xf numFmtId="165" fontId="11" fillId="5" borderId="48" xfId="1" applyNumberFormat="1" applyFont="1" applyFill="1" applyBorder="1" applyAlignment="1">
      <alignment horizontal="right" vertical="center"/>
    </xf>
    <xf numFmtId="165" fontId="9" fillId="5" borderId="10" xfId="1" applyNumberFormat="1" applyFont="1" applyFill="1" applyBorder="1" applyAlignment="1">
      <alignment horizontal="right" vertical="center"/>
    </xf>
    <xf numFmtId="2" fontId="12" fillId="5" borderId="13" xfId="0" applyNumberFormat="1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4" fontId="12" fillId="5" borderId="11" xfId="1" applyNumberFormat="1" applyFont="1" applyFill="1" applyBorder="1" applyAlignment="1">
      <alignment horizontal="right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62" xfId="0" applyNumberFormat="1" applyFont="1" applyFill="1" applyBorder="1" applyAlignment="1">
      <alignment horizontal="center"/>
    </xf>
    <xf numFmtId="3" fontId="12" fillId="4" borderId="10" xfId="0" applyNumberFormat="1" applyFont="1" applyFill="1" applyBorder="1" applyAlignment="1">
      <alignment horizontal="center"/>
    </xf>
    <xf numFmtId="0" fontId="11" fillId="4" borderId="11" xfId="0" applyFont="1" applyFill="1" applyBorder="1"/>
    <xf numFmtId="4" fontId="11" fillId="5" borderId="13" xfId="0" applyNumberFormat="1" applyFont="1" applyFill="1" applyBorder="1"/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3" fontId="19" fillId="0" borderId="0" xfId="0" applyNumberFormat="1" applyFont="1" applyAlignment="1" applyProtection="1">
      <alignment horizontal="center" vertical="center"/>
      <protection locked="0"/>
    </xf>
    <xf numFmtId="3" fontId="20" fillId="0" borderId="0" xfId="0" applyNumberFormat="1" applyFont="1" applyAlignment="1" applyProtection="1">
      <alignment horizontal="center" vertical="center"/>
      <protection locked="0"/>
    </xf>
    <xf numFmtId="10" fontId="21" fillId="0" borderId="0" xfId="1" applyNumberFormat="1" applyFont="1" applyAlignment="1" applyProtection="1">
      <alignment horizontal="center" vertical="center"/>
      <protection locked="0"/>
    </xf>
    <xf numFmtId="3" fontId="19" fillId="0" borderId="0" xfId="0" applyNumberFormat="1" applyFont="1" applyAlignment="1" applyProtection="1">
      <alignment horizontal="center" vertical="center" wrapText="1"/>
      <protection locked="0"/>
    </xf>
    <xf numFmtId="10" fontId="20" fillId="0" borderId="0" xfId="1" applyNumberFormat="1" applyFont="1" applyAlignment="1" applyProtection="1">
      <alignment horizontal="center" vertical="center" wrapText="1"/>
      <protection locked="0"/>
    </xf>
    <xf numFmtId="3" fontId="28" fillId="0" borderId="0" xfId="0" applyNumberFormat="1" applyFont="1" applyAlignment="1" applyProtection="1">
      <alignment vertical="center" wrapText="1"/>
      <protection locked="0"/>
    </xf>
    <xf numFmtId="10" fontId="21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horizontal="left" vertical="center"/>
      <protection locked="0"/>
    </xf>
    <xf numFmtId="3" fontId="22" fillId="0" borderId="0" xfId="0" applyNumberFormat="1" applyFont="1" applyAlignment="1" applyProtection="1">
      <alignment horizontal="center" vertical="center"/>
      <protection locked="0"/>
    </xf>
    <xf numFmtId="9" fontId="22" fillId="0" borderId="0" xfId="1" applyFont="1" applyAlignment="1" applyProtection="1">
      <alignment horizontal="center" vertical="center"/>
      <protection locked="0"/>
    </xf>
    <xf numFmtId="10" fontId="22" fillId="0" borderId="0" xfId="1" applyNumberFormat="1" applyFont="1" applyAlignment="1" applyProtection="1">
      <alignment horizontal="center" vertical="center"/>
      <protection locked="0"/>
    </xf>
    <xf numFmtId="3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18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33" fillId="12" borderId="18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8" xfId="1" applyNumberFormat="1" applyFont="1" applyFill="1" applyBorder="1" applyAlignment="1" applyProtection="1">
      <alignment horizontal="center" vertical="center" wrapText="1"/>
      <protection locked="0"/>
    </xf>
    <xf numFmtId="3" fontId="33" fillId="12" borderId="19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71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57" xfId="0" applyFont="1" applyBorder="1" applyAlignment="1" applyProtection="1">
      <alignment horizontal="center" vertical="center"/>
      <protection locked="0"/>
    </xf>
    <xf numFmtId="0" fontId="28" fillId="0" borderId="74" xfId="0" applyFont="1" applyFill="1" applyBorder="1" applyAlignment="1" applyProtection="1">
      <alignment horizontal="left" vertical="center" wrapText="1"/>
      <protection locked="0"/>
    </xf>
    <xf numFmtId="3" fontId="30" fillId="0" borderId="7" xfId="0" applyNumberFormat="1" applyFont="1" applyFill="1" applyBorder="1" applyAlignment="1" applyProtection="1">
      <alignment horizontal="center" vertical="center"/>
      <protection locked="0"/>
    </xf>
    <xf numFmtId="3" fontId="30" fillId="0" borderId="3" xfId="0" applyNumberFormat="1" applyFont="1" applyFill="1" applyBorder="1" applyAlignment="1" applyProtection="1">
      <alignment horizontal="center" vertical="center"/>
      <protection locked="0"/>
    </xf>
    <xf numFmtId="0" fontId="27" fillId="0" borderId="59" xfId="0" applyFont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0" applyNumberFormat="1" applyFont="1" applyFill="1" applyBorder="1" applyAlignment="1" applyProtection="1">
      <alignment horizontal="center" vertical="center"/>
      <protection locked="0"/>
    </xf>
    <xf numFmtId="3" fontId="30" fillId="0" borderId="11" xfId="0" applyNumberFormat="1" applyFont="1" applyFill="1" applyBorder="1" applyAlignment="1" applyProtection="1">
      <alignment horizontal="center" vertical="center"/>
      <protection locked="0"/>
    </xf>
    <xf numFmtId="0" fontId="28" fillId="0" borderId="59" xfId="0" applyFont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1" applyNumberFormat="1" applyFont="1" applyFill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/>
      <protection locked="0"/>
    </xf>
    <xf numFmtId="0" fontId="30" fillId="0" borderId="71" xfId="0" applyFont="1" applyFill="1" applyBorder="1" applyAlignment="1" applyProtection="1">
      <alignment horizontal="left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/>
      <protection locked="0"/>
    </xf>
    <xf numFmtId="3" fontId="30" fillId="0" borderId="18" xfId="0" applyNumberFormat="1" applyFont="1" applyFill="1" applyBorder="1" applyAlignment="1" applyProtection="1">
      <alignment horizontal="center" vertical="center"/>
      <protection locked="0"/>
    </xf>
    <xf numFmtId="3" fontId="30" fillId="0" borderId="20" xfId="1" applyNumberFormat="1" applyFont="1" applyFill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/>
      <protection locked="0"/>
    </xf>
    <xf numFmtId="0" fontId="28" fillId="0" borderId="71" xfId="0" applyFont="1" applyFill="1" applyBorder="1" applyAlignment="1" applyProtection="1">
      <alignment horizontal="left" vertical="center" wrapText="1"/>
      <protection locked="0"/>
    </xf>
    <xf numFmtId="10" fontId="20" fillId="0" borderId="0" xfId="1" applyNumberFormat="1" applyFont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</xf>
    <xf numFmtId="10" fontId="31" fillId="0" borderId="18" xfId="1" applyNumberFormat="1" applyFont="1" applyFill="1" applyBorder="1" applyAlignment="1" applyProtection="1">
      <alignment horizontal="center" vertical="center"/>
    </xf>
    <xf numFmtId="10" fontId="31" fillId="0" borderId="11" xfId="1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3" fontId="22" fillId="0" borderId="0" xfId="0" applyNumberFormat="1" applyFont="1" applyFill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30" fillId="8" borderId="28" xfId="0" applyFont="1" applyFill="1" applyBorder="1" applyAlignment="1" applyProtection="1">
      <alignment vertical="center"/>
      <protection locked="0"/>
    </xf>
    <xf numFmtId="3" fontId="30" fillId="8" borderId="36" xfId="0" applyNumberFormat="1" applyFont="1" applyFill="1" applyBorder="1" applyAlignment="1" applyProtection="1">
      <alignment horizontal="center" vertical="center"/>
      <protection locked="0"/>
    </xf>
    <xf numFmtId="3" fontId="30" fillId="8" borderId="70" xfId="0" applyNumberFormat="1" applyFont="1" applyFill="1" applyBorder="1" applyAlignment="1" applyProtection="1">
      <alignment horizontal="center" vertical="center"/>
      <protection locked="0"/>
    </xf>
    <xf numFmtId="3" fontId="30" fillId="8" borderId="26" xfId="0" applyNumberFormat="1" applyFont="1" applyFill="1" applyBorder="1" applyAlignment="1" applyProtection="1">
      <alignment horizontal="center" vertical="center"/>
      <protection locked="0"/>
    </xf>
    <xf numFmtId="3" fontId="30" fillId="0" borderId="28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30" fillId="8" borderId="11" xfId="0" applyFont="1" applyFill="1" applyBorder="1" applyAlignment="1" applyProtection="1">
      <alignment vertical="center"/>
      <protection locked="0"/>
    </xf>
    <xf numFmtId="3" fontId="30" fillId="8" borderId="10" xfId="0" applyNumberFormat="1" applyFont="1" applyFill="1" applyBorder="1" applyAlignment="1" applyProtection="1">
      <alignment horizontal="center" vertical="center"/>
      <protection locked="0"/>
    </xf>
    <xf numFmtId="3" fontId="30" fillId="8" borderId="62" xfId="0" applyNumberFormat="1" applyFont="1" applyFill="1" applyBorder="1" applyAlignment="1" applyProtection="1">
      <alignment horizontal="center" vertical="center"/>
      <protection locked="0"/>
    </xf>
    <xf numFmtId="3" fontId="30" fillId="8" borderId="1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/>
      <protection locked="0"/>
    </xf>
    <xf numFmtId="3" fontId="30" fillId="8" borderId="17" xfId="0" applyNumberFormat="1" applyFont="1" applyFill="1" applyBorder="1" applyAlignment="1" applyProtection="1">
      <alignment horizontal="center" vertical="center"/>
      <protection locked="0"/>
    </xf>
    <xf numFmtId="3" fontId="30" fillId="8" borderId="69" xfId="0" applyNumberFormat="1" applyFont="1" applyFill="1" applyBorder="1" applyAlignment="1" applyProtection="1">
      <alignment horizontal="center" vertical="center"/>
      <protection locked="0"/>
    </xf>
    <xf numFmtId="3" fontId="30" fillId="8" borderId="40" xfId="0" applyNumberFormat="1" applyFont="1" applyFill="1" applyBorder="1" applyAlignment="1" applyProtection="1">
      <alignment horizontal="center"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  <protection locked="0"/>
    </xf>
    <xf numFmtId="3" fontId="28" fillId="11" borderId="6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 wrapText="1"/>
      <protection locked="0"/>
    </xf>
    <xf numFmtId="3" fontId="30" fillId="8" borderId="35" xfId="0" applyNumberFormat="1" applyFont="1" applyFill="1" applyBorder="1" applyAlignment="1" applyProtection="1">
      <alignment horizontal="center" vertical="center"/>
      <protection locked="0"/>
    </xf>
    <xf numFmtId="3" fontId="30" fillId="8" borderId="64" xfId="0" applyNumberFormat="1" applyFont="1" applyFill="1" applyBorder="1" applyAlignment="1" applyProtection="1">
      <alignment horizontal="center" vertical="center"/>
      <protection locked="0"/>
    </xf>
    <xf numFmtId="3" fontId="30" fillId="8" borderId="38" xfId="0" applyNumberFormat="1" applyFont="1" applyFill="1" applyBorder="1" applyAlignment="1" applyProtection="1">
      <alignment horizontal="center" vertical="center"/>
      <protection locked="0"/>
    </xf>
    <xf numFmtId="3" fontId="30" fillId="0" borderId="31" xfId="0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vertical="center"/>
      <protection locked="0"/>
    </xf>
    <xf numFmtId="16" fontId="30" fillId="8" borderId="11" xfId="0" applyNumberFormat="1" applyFont="1" applyFill="1" applyBorder="1" applyAlignment="1" applyProtection="1">
      <alignment vertical="center"/>
      <protection locked="0"/>
    </xf>
    <xf numFmtId="16" fontId="30" fillId="8" borderId="34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0" fillId="8" borderId="11" xfId="0" applyFont="1" applyFill="1" applyBorder="1" applyAlignment="1" applyProtection="1">
      <alignment vertical="center" wrapText="1"/>
      <protection locked="0"/>
    </xf>
    <xf numFmtId="0" fontId="30" fillId="8" borderId="28" xfId="0" applyFont="1" applyFill="1" applyBorder="1" applyAlignment="1" applyProtection="1">
      <alignment vertical="center" wrapText="1"/>
      <protection locked="0"/>
    </xf>
    <xf numFmtId="0" fontId="30" fillId="0" borderId="28" xfId="0" applyFont="1" applyFill="1" applyBorder="1" applyAlignment="1" applyProtection="1">
      <alignment horizontal="left" vertical="center"/>
      <protection locked="0"/>
    </xf>
    <xf numFmtId="0" fontId="30" fillId="0" borderId="11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/>
      <protection locked="0"/>
    </xf>
    <xf numFmtId="0" fontId="28" fillId="8" borderId="11" xfId="0" applyFont="1" applyFill="1" applyBorder="1" applyAlignment="1" applyProtection="1">
      <alignment vertical="center" wrapText="1"/>
      <protection locked="0"/>
    </xf>
    <xf numFmtId="0" fontId="28" fillId="11" borderId="42" xfId="0" applyFont="1" applyFill="1" applyBorder="1" applyAlignment="1" applyProtection="1">
      <alignment vertical="center"/>
      <protection locked="0"/>
    </xf>
    <xf numFmtId="0" fontId="30" fillId="0" borderId="11" xfId="0" applyFont="1" applyFill="1" applyBorder="1" applyAlignment="1" applyProtection="1">
      <alignment horizontal="left" vertical="center"/>
      <protection locked="0"/>
    </xf>
    <xf numFmtId="0" fontId="28" fillId="8" borderId="18" xfId="0" applyFont="1" applyFill="1" applyBorder="1" applyAlignment="1" applyProtection="1">
      <alignment vertical="center" wrapText="1"/>
      <protection locked="0"/>
    </xf>
    <xf numFmtId="0" fontId="28" fillId="11" borderId="1" xfId="0" applyFont="1" applyFill="1" applyBorder="1" applyAlignment="1" applyProtection="1">
      <alignment vertical="center"/>
      <protection locked="0"/>
    </xf>
    <xf numFmtId="3" fontId="28" fillId="11" borderId="50" xfId="0" applyNumberFormat="1" applyFont="1" applyFill="1" applyBorder="1" applyAlignment="1" applyProtection="1">
      <alignment horizontal="center" vertical="center"/>
      <protection locked="0"/>
    </xf>
    <xf numFmtId="3" fontId="28" fillId="11" borderId="6" xfId="0" applyNumberFormat="1" applyFont="1" applyFill="1" applyBorder="1" applyAlignment="1" applyProtection="1">
      <alignment horizontal="center" vertical="center"/>
      <protection locked="0"/>
    </xf>
    <xf numFmtId="3" fontId="28" fillId="9" borderId="48" xfId="0" applyNumberFormat="1" applyFont="1" applyFill="1" applyBorder="1" applyAlignment="1" applyProtection="1">
      <alignment horizontal="center" vertical="center"/>
      <protection locked="0"/>
    </xf>
    <xf numFmtId="3" fontId="28" fillId="9" borderId="63" xfId="0" applyNumberFormat="1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left" vertical="center" wrapText="1"/>
      <protection locked="0"/>
    </xf>
    <xf numFmtId="0" fontId="30" fillId="8" borderId="28" xfId="0" applyFont="1" applyFill="1" applyBorder="1" applyAlignment="1" applyProtection="1">
      <alignment horizontal="left" vertical="center"/>
      <protection locked="0"/>
    </xf>
    <xf numFmtId="0" fontId="30" fillId="8" borderId="11" xfId="0" applyFont="1" applyFill="1" applyBorder="1" applyAlignment="1" applyProtection="1">
      <alignment horizontal="left" vertical="center"/>
      <protection locked="0"/>
    </xf>
    <xf numFmtId="0" fontId="30" fillId="8" borderId="34" xfId="0" applyFont="1" applyFill="1" applyBorder="1" applyAlignment="1" applyProtection="1">
      <alignment horizontal="left" vertical="center"/>
      <protection locked="0"/>
    </xf>
    <xf numFmtId="0" fontId="30" fillId="8" borderId="28" xfId="0" applyFont="1" applyFill="1" applyBorder="1" applyAlignment="1" applyProtection="1">
      <alignment horizontal="left" vertical="center" wrapText="1"/>
      <protection locked="0"/>
    </xf>
    <xf numFmtId="3" fontId="30" fillId="0" borderId="70" xfId="0" applyNumberFormat="1" applyFont="1" applyFill="1" applyBorder="1" applyAlignment="1" applyProtection="1">
      <alignment horizontal="center" vertical="center"/>
      <protection locked="0"/>
    </xf>
    <xf numFmtId="3" fontId="30" fillId="0" borderId="62" xfId="0" applyNumberFormat="1" applyFont="1" applyFill="1" applyBorder="1" applyAlignment="1" applyProtection="1">
      <alignment horizontal="center" vertical="center"/>
      <protection locked="0"/>
    </xf>
    <xf numFmtId="3" fontId="30" fillId="0" borderId="69" xfId="0" applyNumberFormat="1" applyFont="1" applyFill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</xf>
    <xf numFmtId="3" fontId="28" fillId="11" borderId="46" xfId="0" applyNumberFormat="1" applyFont="1" applyFill="1" applyBorder="1" applyAlignment="1" applyProtection="1">
      <alignment horizontal="center" vertical="center"/>
    </xf>
    <xf numFmtId="3" fontId="28" fillId="11" borderId="47" xfId="0" applyNumberFormat="1" applyFont="1" applyFill="1" applyBorder="1" applyAlignment="1" applyProtection="1">
      <alignment horizontal="center" vertical="center"/>
    </xf>
    <xf numFmtId="3" fontId="27" fillId="13" borderId="46" xfId="0" applyNumberFormat="1" applyFont="1" applyFill="1" applyBorder="1" applyAlignment="1" applyProtection="1">
      <alignment horizontal="center" vertical="center"/>
    </xf>
    <xf numFmtId="3" fontId="27" fillId="13" borderId="47" xfId="0" applyNumberFormat="1" applyFont="1" applyFill="1" applyBorder="1" applyAlignment="1" applyProtection="1">
      <alignment horizontal="center" vertical="center"/>
    </xf>
    <xf numFmtId="3" fontId="27" fillId="13" borderId="48" xfId="0" applyNumberFormat="1" applyFont="1" applyFill="1" applyBorder="1" applyAlignment="1" applyProtection="1">
      <alignment horizontal="center" vertical="center"/>
    </xf>
    <xf numFmtId="3" fontId="27" fillId="13" borderId="63" xfId="0" applyNumberFormat="1" applyFont="1" applyFill="1" applyBorder="1" applyAlignment="1" applyProtection="1">
      <alignment horizontal="center" vertical="center"/>
    </xf>
    <xf numFmtId="3" fontId="28" fillId="16" borderId="46" xfId="0" applyNumberFormat="1" applyFont="1" applyFill="1" applyBorder="1" applyAlignment="1" applyProtection="1">
      <alignment horizontal="center" vertical="center"/>
    </xf>
    <xf numFmtId="3" fontId="28" fillId="16" borderId="47" xfId="0" applyNumberFormat="1" applyFont="1" applyFill="1" applyBorder="1" applyAlignment="1" applyProtection="1">
      <alignment horizontal="center" vertical="center"/>
    </xf>
    <xf numFmtId="3" fontId="28" fillId="16" borderId="48" xfId="0" applyNumberFormat="1" applyFont="1" applyFill="1" applyBorder="1" applyAlignment="1" applyProtection="1">
      <alignment horizontal="center" vertical="center"/>
    </xf>
    <xf numFmtId="3" fontId="28" fillId="16" borderId="63" xfId="0" applyNumberFormat="1" applyFont="1" applyFill="1" applyBorder="1" applyAlignment="1" applyProtection="1">
      <alignment horizontal="center" vertical="center"/>
    </xf>
    <xf numFmtId="3" fontId="28" fillId="8" borderId="36" xfId="0" applyNumberFormat="1" applyFont="1" applyFill="1" applyBorder="1" applyAlignment="1" applyProtection="1">
      <alignment horizontal="center" vertical="center"/>
    </xf>
    <xf numFmtId="3" fontId="28" fillId="8" borderId="10" xfId="0" applyNumberFormat="1" applyFont="1" applyFill="1" applyBorder="1" applyAlignment="1" applyProtection="1">
      <alignment horizontal="center" vertical="center"/>
    </xf>
    <xf numFmtId="3" fontId="28" fillId="8" borderId="17" xfId="0" applyNumberFormat="1" applyFont="1" applyFill="1" applyBorder="1" applyAlignment="1" applyProtection="1">
      <alignment horizontal="center" vertical="center"/>
    </xf>
    <xf numFmtId="3" fontId="28" fillId="8" borderId="35" xfId="0" applyNumberFormat="1" applyFont="1" applyFill="1" applyBorder="1" applyAlignment="1" applyProtection="1">
      <alignment horizontal="center" vertical="center"/>
    </xf>
    <xf numFmtId="10" fontId="31" fillId="0" borderId="25" xfId="1" applyNumberFormat="1" applyFont="1" applyFill="1" applyBorder="1" applyAlignment="1" applyProtection="1">
      <alignment horizontal="center" vertical="center"/>
    </xf>
    <xf numFmtId="10" fontId="31" fillId="0" borderId="12" xfId="1" applyNumberFormat="1" applyFont="1" applyFill="1" applyBorder="1" applyAlignment="1" applyProtection="1">
      <alignment horizontal="center" vertical="center"/>
    </xf>
    <xf numFmtId="10" fontId="31" fillId="0" borderId="37" xfId="1" applyNumberFormat="1" applyFont="1" applyFill="1" applyBorder="1" applyAlignment="1" applyProtection="1">
      <alignment horizontal="center" vertical="center"/>
    </xf>
    <xf numFmtId="10" fontId="28" fillId="11" borderId="45" xfId="1" applyNumberFormat="1" applyFont="1" applyFill="1" applyBorder="1" applyAlignment="1" applyProtection="1">
      <alignment horizontal="center" vertical="center"/>
    </xf>
    <xf numFmtId="10" fontId="31" fillId="0" borderId="32" xfId="1" applyNumberFormat="1" applyFont="1" applyFill="1" applyBorder="1" applyAlignment="1" applyProtection="1">
      <alignment horizontal="center" vertical="center"/>
    </xf>
    <xf numFmtId="10" fontId="27" fillId="13" borderId="45" xfId="1" applyNumberFormat="1" applyFont="1" applyFill="1" applyBorder="1" applyAlignment="1" applyProtection="1">
      <alignment horizontal="center" vertical="center"/>
    </xf>
    <xf numFmtId="10" fontId="28" fillId="16" borderId="45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 wrapText="1"/>
    </xf>
    <xf numFmtId="10" fontId="31" fillId="0" borderId="34" xfId="1" applyNumberFormat="1" applyFont="1" applyFill="1" applyBorder="1" applyAlignment="1" applyProtection="1">
      <alignment horizontal="center" vertical="center" wrapText="1"/>
    </xf>
    <xf numFmtId="10" fontId="28" fillId="11" borderId="47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/>
    </xf>
    <xf numFmtId="10" fontId="31" fillId="0" borderId="34" xfId="1" applyNumberFormat="1" applyFont="1" applyFill="1" applyBorder="1" applyAlignment="1" applyProtection="1">
      <alignment horizontal="center" vertical="center"/>
    </xf>
    <xf numFmtId="10" fontId="31" fillId="0" borderId="31" xfId="1" applyNumberFormat="1" applyFont="1" applyFill="1" applyBorder="1" applyAlignment="1" applyProtection="1">
      <alignment horizontal="center" vertical="center"/>
    </xf>
    <xf numFmtId="10" fontId="27" fillId="13" borderId="47" xfId="1" applyNumberFormat="1" applyFont="1" applyFill="1" applyBorder="1" applyAlignment="1" applyProtection="1">
      <alignment horizontal="center" vertical="center"/>
    </xf>
    <xf numFmtId="10" fontId="28" fillId="16" borderId="47" xfId="1" applyNumberFormat="1" applyFont="1" applyFill="1" applyBorder="1" applyAlignment="1" applyProtection="1">
      <alignment horizontal="center" vertical="center"/>
    </xf>
    <xf numFmtId="10" fontId="31" fillId="8" borderId="28" xfId="1" applyNumberFormat="1" applyFont="1" applyFill="1" applyBorder="1" applyAlignment="1" applyProtection="1">
      <alignment horizontal="center" vertical="center"/>
    </xf>
    <xf numFmtId="10" fontId="31" fillId="8" borderId="11" xfId="1" applyNumberFormat="1" applyFont="1" applyFill="1" applyBorder="1" applyAlignment="1" applyProtection="1">
      <alignment horizontal="center" vertical="center"/>
    </xf>
    <xf numFmtId="10" fontId="31" fillId="8" borderId="34" xfId="1" applyNumberFormat="1" applyFont="1" applyFill="1" applyBorder="1" applyAlignment="1" applyProtection="1">
      <alignment horizontal="center" vertical="center"/>
    </xf>
    <xf numFmtId="10" fontId="31" fillId="8" borderId="31" xfId="1" applyNumberFormat="1" applyFont="1" applyFill="1" applyBorder="1" applyAlignment="1" applyProtection="1">
      <alignment horizontal="center" vertical="center"/>
    </xf>
    <xf numFmtId="10" fontId="28" fillId="11" borderId="4" xfId="1" applyNumberFormat="1" applyFont="1" applyFill="1" applyBorder="1" applyAlignment="1" applyProtection="1">
      <alignment horizontal="center" vertical="center"/>
    </xf>
    <xf numFmtId="10" fontId="28" fillId="11" borderId="27" xfId="1" applyNumberFormat="1" applyFont="1" applyFill="1" applyBorder="1" applyAlignment="1" applyProtection="1">
      <alignment horizontal="center" vertical="center"/>
    </xf>
    <xf numFmtId="10" fontId="28" fillId="9" borderId="45" xfId="1" applyNumberFormat="1" applyFont="1" applyFill="1" applyBorder="1" applyAlignment="1" applyProtection="1">
      <alignment horizontal="center" vertical="center"/>
    </xf>
    <xf numFmtId="10" fontId="28" fillId="9" borderId="47" xfId="1" applyNumberFormat="1" applyFont="1" applyFill="1" applyBorder="1" applyAlignment="1" applyProtection="1">
      <alignment horizontal="center" vertical="center"/>
    </xf>
    <xf numFmtId="10" fontId="28" fillId="0" borderId="25" xfId="1" applyNumberFormat="1" applyFont="1" applyFill="1" applyBorder="1" applyAlignment="1" applyProtection="1">
      <alignment horizontal="center" vertical="center"/>
    </xf>
    <xf numFmtId="10" fontId="28" fillId="0" borderId="28" xfId="1" applyNumberFormat="1" applyFont="1" applyFill="1" applyBorder="1" applyAlignment="1" applyProtection="1">
      <alignment horizontal="center" vertical="center"/>
    </xf>
    <xf numFmtId="10" fontId="28" fillId="0" borderId="12" xfId="1" applyNumberFormat="1" applyFont="1" applyFill="1" applyBorder="1" applyAlignment="1" applyProtection="1">
      <alignment horizontal="center" vertical="center"/>
    </xf>
    <xf numFmtId="10" fontId="28" fillId="0" borderId="11" xfId="1" applyNumberFormat="1" applyFont="1" applyFill="1" applyBorder="1" applyAlignment="1" applyProtection="1">
      <alignment horizontal="center" vertical="center"/>
    </xf>
    <xf numFmtId="10" fontId="28" fillId="0" borderId="37" xfId="1" applyNumberFormat="1" applyFont="1" applyFill="1" applyBorder="1" applyAlignment="1" applyProtection="1">
      <alignment horizontal="center" vertical="center"/>
    </xf>
    <xf numFmtId="10" fontId="28" fillId="0" borderId="34" xfId="1" applyNumberFormat="1" applyFont="1" applyFill="1" applyBorder="1" applyAlignment="1" applyProtection="1">
      <alignment horizontal="center" vertical="center"/>
    </xf>
    <xf numFmtId="3" fontId="28" fillId="11" borderId="5" xfId="0" applyNumberFormat="1" applyFont="1" applyFill="1" applyBorder="1" applyAlignment="1" applyProtection="1">
      <alignment horizontal="center" vertical="center"/>
    </xf>
    <xf numFmtId="3" fontId="28" fillId="11" borderId="50" xfId="0" applyNumberFormat="1" applyFont="1" applyFill="1" applyBorder="1" applyAlignment="1" applyProtection="1">
      <alignment horizontal="center" vertical="center"/>
    </xf>
    <xf numFmtId="3" fontId="28" fillId="11" borderId="27" xfId="0" applyNumberFormat="1" applyFont="1" applyFill="1" applyBorder="1" applyAlignment="1" applyProtection="1">
      <alignment horizontal="center" vertical="center"/>
    </xf>
    <xf numFmtId="3" fontId="28" fillId="9" borderId="46" xfId="0" applyNumberFormat="1" applyFont="1" applyFill="1" applyBorder="1" applyAlignment="1" applyProtection="1">
      <alignment horizontal="center" vertical="center"/>
    </xf>
    <xf numFmtId="3" fontId="28" fillId="9" borderId="48" xfId="0" applyNumberFormat="1" applyFont="1" applyFill="1" applyBorder="1" applyAlignment="1" applyProtection="1">
      <alignment horizontal="center" vertical="center"/>
    </xf>
    <xf numFmtId="3" fontId="28" fillId="9" borderId="47" xfId="0" applyNumberFormat="1" applyFont="1" applyFill="1" applyBorder="1" applyAlignment="1" applyProtection="1">
      <alignment horizontal="center" vertical="center"/>
    </xf>
    <xf numFmtId="10" fontId="28" fillId="8" borderId="28" xfId="1" applyNumberFormat="1" applyFont="1" applyFill="1" applyBorder="1" applyAlignment="1" applyProtection="1">
      <alignment horizontal="center" vertical="center"/>
    </xf>
    <xf numFmtId="10" fontId="28" fillId="8" borderId="11" xfId="1" applyNumberFormat="1" applyFont="1" applyFill="1" applyBorder="1" applyAlignment="1" applyProtection="1">
      <alignment horizontal="center" vertical="center"/>
    </xf>
    <xf numFmtId="10" fontId="28" fillId="8" borderId="34" xfId="1" applyNumberFormat="1" applyFont="1" applyFill="1" applyBorder="1" applyAlignment="1" applyProtection="1">
      <alignment horizontal="center" vertical="center"/>
    </xf>
    <xf numFmtId="3" fontId="32" fillId="14" borderId="79" xfId="0" applyNumberFormat="1" applyFont="1" applyFill="1" applyBorder="1" applyAlignment="1" applyProtection="1">
      <alignment horizontal="center" vertical="center"/>
    </xf>
    <xf numFmtId="10" fontId="32" fillId="14" borderId="79" xfId="1" applyNumberFormat="1" applyFont="1" applyFill="1" applyBorder="1" applyAlignment="1" applyProtection="1">
      <alignment horizontal="center" vertical="center"/>
    </xf>
    <xf numFmtId="4" fontId="19" fillId="0" borderId="0" xfId="0" applyNumberFormat="1" applyFont="1" applyAlignment="1" applyProtection="1">
      <alignment horizontal="right" vertical="center"/>
      <protection locked="0"/>
    </xf>
    <xf numFmtId="4" fontId="20" fillId="0" borderId="0" xfId="0" applyNumberFormat="1" applyFont="1" applyAlignment="1" applyProtection="1">
      <alignment horizontal="right" vertical="center"/>
      <protection locked="0"/>
    </xf>
    <xf numFmtId="4" fontId="22" fillId="0" borderId="0" xfId="0" applyNumberFormat="1" applyFont="1" applyAlignment="1" applyProtection="1">
      <alignment horizontal="right" vertical="center"/>
      <protection locked="0"/>
    </xf>
    <xf numFmtId="4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30" fillId="0" borderId="25" xfId="1" applyNumberFormat="1" applyFont="1" applyFill="1" applyBorder="1" applyAlignment="1" applyProtection="1">
      <alignment horizontal="right" vertical="center"/>
      <protection locked="0"/>
    </xf>
    <xf numFmtId="4" fontId="30" fillId="0" borderId="36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28" xfId="0" applyNumberFormat="1" applyFont="1" applyFill="1" applyBorder="1" applyAlignment="1" applyProtection="1">
      <alignment horizontal="right" vertical="center"/>
      <protection locked="0"/>
    </xf>
    <xf numFmtId="4" fontId="30" fillId="0" borderId="12" xfId="1" applyNumberFormat="1" applyFont="1" applyFill="1" applyBorder="1" applyAlignment="1" applyProtection="1">
      <alignment horizontal="right" vertical="center"/>
      <protection locked="0"/>
    </xf>
    <xf numFmtId="4" fontId="30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30" fillId="0" borderId="37" xfId="1" applyNumberFormat="1" applyFont="1" applyFill="1" applyBorder="1" applyAlignment="1" applyProtection="1">
      <alignment horizontal="right" vertical="center"/>
      <protection locked="0"/>
    </xf>
    <xf numFmtId="4" fontId="30" fillId="0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34" xfId="0" applyNumberFormat="1" applyFont="1" applyFill="1" applyBorder="1" applyAlignment="1" applyProtection="1">
      <alignment horizontal="right" vertical="center"/>
      <protection locked="0"/>
    </xf>
    <xf numFmtId="4" fontId="28" fillId="11" borderId="45" xfId="0" applyNumberFormat="1" applyFont="1" applyFill="1" applyBorder="1" applyAlignment="1" applyProtection="1">
      <alignment horizontal="right" vertical="center"/>
      <protection locked="0"/>
    </xf>
    <xf numFmtId="4" fontId="28" fillId="11" borderId="48" xfId="0" applyNumberFormat="1" applyFont="1" applyFill="1" applyBorder="1" applyAlignment="1" applyProtection="1">
      <alignment horizontal="right" vertical="center"/>
      <protection locked="0"/>
    </xf>
    <xf numFmtId="4" fontId="30" fillId="0" borderId="35" xfId="0" applyNumberFormat="1" applyFont="1" applyFill="1" applyBorder="1" applyAlignment="1" applyProtection="1">
      <alignment horizontal="right" vertical="center" wrapText="1"/>
      <protection locked="0"/>
    </xf>
    <xf numFmtId="4" fontId="27" fillId="13" borderId="45" xfId="0" applyNumberFormat="1" applyFont="1" applyFill="1" applyBorder="1" applyAlignment="1" applyProtection="1">
      <alignment horizontal="right" vertical="center"/>
      <protection locked="0"/>
    </xf>
    <xf numFmtId="4" fontId="27" fillId="13" borderId="48" xfId="0" applyNumberFormat="1" applyFont="1" applyFill="1" applyBorder="1" applyAlignment="1" applyProtection="1">
      <alignment horizontal="right" vertical="center"/>
      <protection locked="0"/>
    </xf>
    <xf numFmtId="4" fontId="28" fillId="16" borderId="45" xfId="0" applyNumberFormat="1" applyFont="1" applyFill="1" applyBorder="1" applyAlignment="1" applyProtection="1">
      <alignment horizontal="right" vertical="center"/>
      <protection locked="0"/>
    </xf>
    <xf numFmtId="4" fontId="28" fillId="16" borderId="48" xfId="0" applyNumberFormat="1" applyFont="1" applyFill="1" applyBorder="1" applyAlignment="1" applyProtection="1">
      <alignment horizontal="right" vertical="center"/>
      <protection locked="0"/>
    </xf>
    <xf numFmtId="4" fontId="28" fillId="11" borderId="4" xfId="0" applyNumberFormat="1" applyFont="1" applyFill="1" applyBorder="1" applyAlignment="1" applyProtection="1">
      <alignment horizontal="right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  <protection locked="0"/>
    </xf>
    <xf numFmtId="4" fontId="28" fillId="9" borderId="45" xfId="0" applyNumberFormat="1" applyFont="1" applyFill="1" applyBorder="1" applyAlignment="1" applyProtection="1">
      <alignment horizontal="right" vertical="center"/>
      <protection locked="0"/>
    </xf>
    <xf numFmtId="4" fontId="28" fillId="9" borderId="48" xfId="0" applyNumberFormat="1" applyFont="1" applyFill="1" applyBorder="1" applyAlignment="1" applyProtection="1">
      <alignment horizontal="right" vertical="center"/>
      <protection locked="0"/>
    </xf>
    <xf numFmtId="4" fontId="32" fillId="14" borderId="79" xfId="0" applyNumberFormat="1" applyFont="1" applyFill="1" applyBorder="1" applyAlignment="1" applyProtection="1">
      <alignment horizontal="right" vertical="center"/>
      <protection locked="0"/>
    </xf>
    <xf numFmtId="4" fontId="28" fillId="0" borderId="26" xfId="1" applyNumberFormat="1" applyFont="1" applyFill="1" applyBorder="1" applyAlignment="1" applyProtection="1">
      <alignment horizontal="right" vertical="center"/>
    </xf>
    <xf numFmtId="4" fontId="28" fillId="0" borderId="70" xfId="1" applyNumberFormat="1" applyFont="1" applyFill="1" applyBorder="1" applyAlignment="1" applyProtection="1">
      <alignment horizontal="right" vertical="center"/>
    </xf>
    <xf numFmtId="4" fontId="28" fillId="0" borderId="13" xfId="1" applyNumberFormat="1" applyFont="1" applyFill="1" applyBorder="1" applyAlignment="1" applyProtection="1">
      <alignment horizontal="right" vertical="center"/>
    </xf>
    <xf numFmtId="4" fontId="28" fillId="0" borderId="40" xfId="1" applyNumberFormat="1" applyFont="1" applyFill="1" applyBorder="1" applyAlignment="1" applyProtection="1">
      <alignment horizontal="right" vertical="center"/>
    </xf>
    <xf numFmtId="4" fontId="28" fillId="11" borderId="46" xfId="0" applyNumberFormat="1" applyFont="1" applyFill="1" applyBorder="1" applyAlignment="1" applyProtection="1">
      <alignment horizontal="right" vertical="center"/>
    </xf>
    <xf numFmtId="4" fontId="28" fillId="11" borderId="63" xfId="0" applyNumberFormat="1" applyFont="1" applyFill="1" applyBorder="1" applyAlignment="1" applyProtection="1">
      <alignment horizontal="right" vertical="center"/>
    </xf>
    <xf numFmtId="4" fontId="28" fillId="0" borderId="38" xfId="1" applyNumberFormat="1" applyFont="1" applyFill="1" applyBorder="1" applyAlignment="1" applyProtection="1">
      <alignment horizontal="right" vertical="center"/>
    </xf>
    <xf numFmtId="4" fontId="28" fillId="0" borderId="64" xfId="1" applyNumberFormat="1" applyFont="1" applyFill="1" applyBorder="1" applyAlignment="1" applyProtection="1">
      <alignment horizontal="right" vertical="center"/>
    </xf>
    <xf numFmtId="4" fontId="27" fillId="13" borderId="46" xfId="0" applyNumberFormat="1" applyFont="1" applyFill="1" applyBorder="1" applyAlignment="1" applyProtection="1">
      <alignment horizontal="right" vertical="center"/>
    </xf>
    <xf numFmtId="4" fontId="27" fillId="13" borderId="63" xfId="0" applyNumberFormat="1" applyFont="1" applyFill="1" applyBorder="1" applyAlignment="1" applyProtection="1">
      <alignment horizontal="right" vertical="center"/>
    </xf>
    <xf numFmtId="4" fontId="28" fillId="16" borderId="46" xfId="0" applyNumberFormat="1" applyFont="1" applyFill="1" applyBorder="1" applyAlignment="1" applyProtection="1">
      <alignment horizontal="right" vertical="center"/>
    </xf>
    <xf numFmtId="4" fontId="28" fillId="16" borderId="63" xfId="0" applyNumberFormat="1" applyFont="1" applyFill="1" applyBorder="1" applyAlignment="1" applyProtection="1">
      <alignment horizontal="right" vertical="center"/>
    </xf>
    <xf numFmtId="4" fontId="28" fillId="11" borderId="5" xfId="0" applyNumberFormat="1" applyFont="1" applyFill="1" applyBorder="1" applyAlignment="1" applyProtection="1">
      <alignment horizontal="right" vertical="center"/>
    </xf>
    <xf numFmtId="4" fontId="28" fillId="11" borderId="6" xfId="0" applyNumberFormat="1" applyFont="1" applyFill="1" applyBorder="1" applyAlignment="1" applyProtection="1">
      <alignment horizontal="right" vertical="center"/>
    </xf>
    <xf numFmtId="4" fontId="28" fillId="9" borderId="46" xfId="0" applyNumberFormat="1" applyFont="1" applyFill="1" applyBorder="1" applyAlignment="1" applyProtection="1">
      <alignment horizontal="right" vertical="center"/>
    </xf>
    <xf numFmtId="4" fontId="28" fillId="9" borderId="63" xfId="0" applyNumberFormat="1" applyFont="1" applyFill="1" applyBorder="1" applyAlignment="1" applyProtection="1">
      <alignment horizontal="right" vertical="center"/>
    </xf>
    <xf numFmtId="4" fontId="32" fillId="14" borderId="79" xfId="0" applyNumberFormat="1" applyFont="1" applyFill="1" applyBorder="1" applyAlignment="1" applyProtection="1">
      <alignment horizontal="right" vertical="center"/>
    </xf>
    <xf numFmtId="4" fontId="28" fillId="0" borderId="26" xfId="0" applyNumberFormat="1" applyFont="1" applyFill="1" applyBorder="1" applyAlignment="1" applyProtection="1">
      <alignment horizontal="right" vertical="center"/>
    </xf>
    <xf numFmtId="4" fontId="28" fillId="0" borderId="28" xfId="0" applyNumberFormat="1" applyFont="1" applyFill="1" applyBorder="1" applyAlignment="1" applyProtection="1">
      <alignment horizontal="right" vertical="center"/>
    </xf>
    <xf numFmtId="4" fontId="28" fillId="0" borderId="13" xfId="0" applyNumberFormat="1" applyFont="1" applyFill="1" applyBorder="1" applyAlignment="1" applyProtection="1">
      <alignment horizontal="right" vertical="center"/>
    </xf>
    <xf numFmtId="4" fontId="28" fillId="0" borderId="11" xfId="0" applyNumberFormat="1" applyFont="1" applyFill="1" applyBorder="1" applyAlignment="1" applyProtection="1">
      <alignment horizontal="right" vertical="center"/>
    </xf>
    <xf numFmtId="4" fontId="28" fillId="0" borderId="40" xfId="0" applyNumberFormat="1" applyFont="1" applyFill="1" applyBorder="1" applyAlignment="1" applyProtection="1">
      <alignment horizontal="right" vertical="center"/>
    </xf>
    <xf numFmtId="4" fontId="28" fillId="0" borderId="34" xfId="0" applyNumberFormat="1" applyFont="1" applyFill="1" applyBorder="1" applyAlignment="1" applyProtection="1">
      <alignment horizontal="right" vertical="center"/>
    </xf>
    <xf numFmtId="4" fontId="28" fillId="11" borderId="47" xfId="0" applyNumberFormat="1" applyFont="1" applyFill="1" applyBorder="1" applyAlignment="1" applyProtection="1">
      <alignment horizontal="right" vertical="center"/>
    </xf>
    <xf numFmtId="4" fontId="28" fillId="0" borderId="38" xfId="0" applyNumberFormat="1" applyFont="1" applyFill="1" applyBorder="1" applyAlignment="1" applyProtection="1">
      <alignment horizontal="right" vertical="center"/>
    </xf>
    <xf numFmtId="4" fontId="28" fillId="0" borderId="31" xfId="0" applyNumberFormat="1" applyFont="1" applyFill="1" applyBorder="1" applyAlignment="1" applyProtection="1">
      <alignment horizontal="right" vertical="center"/>
    </xf>
    <xf numFmtId="4" fontId="27" fillId="13" borderId="47" xfId="0" applyNumberFormat="1" applyFont="1" applyFill="1" applyBorder="1" applyAlignment="1" applyProtection="1">
      <alignment horizontal="right" vertical="center"/>
    </xf>
    <xf numFmtId="4" fontId="28" fillId="16" borderId="47" xfId="0" applyNumberFormat="1" applyFont="1" applyFill="1" applyBorder="1" applyAlignment="1" applyProtection="1">
      <alignment horizontal="right" vertical="center"/>
    </xf>
    <xf numFmtId="4" fontId="28" fillId="11" borderId="27" xfId="0" applyNumberFormat="1" applyFont="1" applyFill="1" applyBorder="1" applyAlignment="1" applyProtection="1">
      <alignment horizontal="right" vertical="center"/>
    </xf>
    <xf numFmtId="4" fontId="28" fillId="9" borderId="47" xfId="0" applyNumberFormat="1" applyFont="1" applyFill="1" applyBorder="1" applyAlignment="1" applyProtection="1">
      <alignment horizontal="right" vertical="center"/>
    </xf>
    <xf numFmtId="4" fontId="32" fillId="14" borderId="80" xfId="0" applyNumberFormat="1" applyFont="1" applyFill="1" applyBorder="1" applyAlignment="1" applyProtection="1">
      <alignment horizontal="right" vertical="center"/>
    </xf>
    <xf numFmtId="0" fontId="27" fillId="13" borderId="61" xfId="0" applyFont="1" applyFill="1" applyBorder="1" applyAlignment="1" applyProtection="1">
      <alignment horizontal="right" vertical="center" wrapText="1"/>
      <protection locked="0"/>
    </xf>
    <xf numFmtId="0" fontId="30" fillId="8" borderId="22" xfId="0" applyFont="1" applyFill="1" applyBorder="1" applyAlignment="1" applyProtection="1">
      <alignment vertical="center"/>
      <protection locked="0"/>
    </xf>
    <xf numFmtId="3" fontId="30" fillId="8" borderId="28" xfId="0" applyNumberFormat="1" applyFont="1" applyFill="1" applyBorder="1" applyAlignment="1" applyProtection="1">
      <alignment horizontal="center" vertical="center"/>
      <protection locked="0"/>
    </xf>
    <xf numFmtId="3" fontId="30" fillId="8" borderId="11" xfId="0" applyNumberFormat="1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vertical="center" wrapText="1"/>
      <protection locked="0"/>
    </xf>
    <xf numFmtId="0" fontId="28" fillId="0" borderId="12" xfId="0" applyFont="1" applyFill="1" applyBorder="1" applyAlignment="1" applyProtection="1">
      <alignment vertical="center" wrapText="1"/>
      <protection locked="0"/>
    </xf>
    <xf numFmtId="0" fontId="28" fillId="0" borderId="25" xfId="0" applyFont="1" applyFill="1" applyBorder="1" applyAlignment="1" applyProtection="1">
      <alignment vertical="center" wrapText="1"/>
      <protection locked="0"/>
    </xf>
    <xf numFmtId="0" fontId="28" fillId="8" borderId="10" xfId="0" applyFont="1" applyFill="1" applyBorder="1" applyAlignment="1" applyProtection="1">
      <alignment vertical="center" wrapText="1"/>
      <protection locked="0"/>
    </xf>
    <xf numFmtId="0" fontId="30" fillId="8" borderId="62" xfId="0" applyFont="1" applyFill="1" applyBorder="1" applyAlignment="1" applyProtection="1">
      <alignment vertical="center"/>
      <protection locked="0"/>
    </xf>
    <xf numFmtId="4" fontId="28" fillId="12" borderId="73" xfId="0" applyNumberFormat="1" applyFont="1" applyFill="1" applyBorder="1" applyAlignment="1" applyProtection="1">
      <alignment vertical="center" wrapText="1"/>
      <protection locked="0"/>
    </xf>
    <xf numFmtId="4" fontId="28" fillId="12" borderId="24" xfId="0" applyNumberFormat="1" applyFont="1" applyFill="1" applyBorder="1" applyAlignment="1" applyProtection="1">
      <alignment vertical="center" wrapText="1"/>
      <protection locked="0"/>
    </xf>
    <xf numFmtId="4" fontId="28" fillId="12" borderId="21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2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8" xfId="0" applyNumberFormat="1" applyFont="1" applyFill="1" applyBorder="1" applyAlignment="1" applyProtection="1">
      <alignment horizontal="center" vertical="center" wrapText="1"/>
      <protection locked="0"/>
    </xf>
    <xf numFmtId="4" fontId="28" fillId="0" borderId="28" xfId="1" applyNumberFormat="1" applyFont="1" applyFill="1" applyBorder="1" applyAlignment="1" applyProtection="1">
      <alignment horizontal="right" vertical="center"/>
    </xf>
    <xf numFmtId="4" fontId="30" fillId="0" borderId="10" xfId="1" applyNumberFormat="1" applyFont="1" applyFill="1" applyBorder="1" applyAlignment="1" applyProtection="1">
      <alignment horizontal="right" vertical="center"/>
      <protection locked="0"/>
    </xf>
    <xf numFmtId="4" fontId="28" fillId="0" borderId="11" xfId="1" applyNumberFormat="1" applyFont="1" applyFill="1" applyBorder="1" applyAlignment="1" applyProtection="1">
      <alignment horizontal="right" vertical="center"/>
    </xf>
    <xf numFmtId="4" fontId="28" fillId="0" borderId="34" xfId="1" applyNumberFormat="1" applyFont="1" applyFill="1" applyBorder="1" applyAlignment="1" applyProtection="1">
      <alignment horizontal="right" vertical="center"/>
    </xf>
    <xf numFmtId="0" fontId="28" fillId="0" borderId="37" xfId="0" applyFont="1" applyFill="1" applyBorder="1" applyAlignment="1" applyProtection="1">
      <alignment vertical="center" wrapText="1"/>
      <protection locked="0"/>
    </xf>
    <xf numFmtId="3" fontId="22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22" fillId="12" borderId="18" xfId="1" applyNumberFormat="1" applyFont="1" applyFill="1" applyBorder="1" applyAlignment="1" applyProtection="1">
      <alignment horizontal="center" vertical="center" wrapText="1"/>
      <protection locked="0"/>
    </xf>
    <xf numFmtId="14" fontId="22" fillId="0" borderId="49" xfId="0" applyNumberFormat="1" applyFont="1" applyBorder="1" applyAlignment="1" applyProtection="1">
      <alignment vertical="center"/>
      <protection locked="0"/>
    </xf>
    <xf numFmtId="0" fontId="22" fillId="0" borderId="49" xfId="0" applyNumberFormat="1" applyFont="1" applyBorder="1" applyAlignment="1" applyProtection="1">
      <alignment vertical="center"/>
      <protection locked="0"/>
    </xf>
    <xf numFmtId="3" fontId="28" fillId="8" borderId="2" xfId="0" applyNumberFormat="1" applyFont="1" applyFill="1" applyBorder="1" applyAlignment="1" applyProtection="1">
      <alignment horizontal="center" vertical="center"/>
    </xf>
    <xf numFmtId="3" fontId="30" fillId="8" borderId="7" xfId="0" applyNumberFormat="1" applyFont="1" applyFill="1" applyBorder="1" applyAlignment="1" applyProtection="1">
      <alignment horizontal="center" vertical="center"/>
      <protection locked="0"/>
    </xf>
    <xf numFmtId="3" fontId="30" fillId="8" borderId="3" xfId="0" applyNumberFormat="1" applyFont="1" applyFill="1" applyBorder="1" applyAlignment="1" applyProtection="1">
      <alignment horizontal="center" vertical="center"/>
      <protection locked="0"/>
    </xf>
    <xf numFmtId="3" fontId="28" fillId="8" borderId="21" xfId="0" applyNumberFormat="1" applyFont="1" applyFill="1" applyBorder="1" applyAlignment="1" applyProtection="1">
      <alignment horizontal="center" vertical="center"/>
    </xf>
    <xf numFmtId="3" fontId="30" fillId="8" borderId="20" xfId="0" applyNumberFormat="1" applyFont="1" applyFill="1" applyBorder="1" applyAlignment="1" applyProtection="1">
      <alignment horizontal="center" vertical="center"/>
      <protection locked="0"/>
    </xf>
    <xf numFmtId="3" fontId="30" fillId="8" borderId="18" xfId="0" applyNumberFormat="1" applyFont="1" applyFill="1" applyBorder="1" applyAlignment="1" applyProtection="1">
      <alignment horizontal="center" vertical="center"/>
      <protection locked="0"/>
    </xf>
    <xf numFmtId="3" fontId="28" fillId="0" borderId="2" xfId="0" applyNumberFormat="1" applyFont="1" applyFill="1" applyBorder="1" applyAlignment="1" applyProtection="1">
      <alignment horizontal="center" vertical="center"/>
      <protection locked="0"/>
    </xf>
    <xf numFmtId="3" fontId="28" fillId="0" borderId="7" xfId="0" applyNumberFormat="1" applyFont="1" applyFill="1" applyBorder="1" applyAlignment="1" applyProtection="1">
      <alignment horizontal="center" vertical="center"/>
      <protection locked="0"/>
    </xf>
    <xf numFmtId="10" fontId="31" fillId="0" borderId="3" xfId="1" applyNumberFormat="1" applyFont="1" applyFill="1" applyBorder="1" applyAlignment="1" applyProtection="1">
      <alignment horizontal="center" vertical="center"/>
      <protection locked="0"/>
    </xf>
    <xf numFmtId="3" fontId="28" fillId="0" borderId="58" xfId="0" applyNumberFormat="1" applyFont="1" applyFill="1" applyBorder="1" applyAlignment="1" applyProtection="1">
      <alignment horizontal="center" vertical="center"/>
      <protection locked="0"/>
    </xf>
    <xf numFmtId="10" fontId="31" fillId="0" borderId="7" xfId="1" applyNumberFormat="1" applyFont="1" applyFill="1" applyBorder="1" applyAlignment="1" applyProtection="1">
      <alignment horizontal="center" vertical="center"/>
      <protection locked="0"/>
    </xf>
    <xf numFmtId="10" fontId="31" fillId="0" borderId="74" xfId="1" applyNumberFormat="1" applyFont="1" applyFill="1" applyBorder="1" applyAlignment="1" applyProtection="1">
      <alignment horizontal="center" vertical="center"/>
      <protection locked="0"/>
    </xf>
    <xf numFmtId="10" fontId="31" fillId="0" borderId="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0" xfId="0" applyNumberFormat="1" applyFont="1" applyFill="1" applyBorder="1" applyAlignment="1" applyProtection="1">
      <alignment horizontal="center" vertical="center"/>
      <protection locked="0"/>
    </xf>
    <xf numFmtId="3" fontId="28" fillId="0" borderId="13" xfId="1" applyNumberFormat="1" applyFont="1" applyFill="1" applyBorder="1" applyAlignment="1" applyProtection="1">
      <alignment horizontal="center" vertical="center"/>
      <protection locked="0"/>
    </xf>
    <xf numFmtId="3" fontId="28" fillId="0" borderId="13" xfId="0" applyNumberFormat="1" applyFont="1" applyFill="1" applyBorder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2" xfId="0" applyNumberFormat="1" applyFont="1" applyFill="1" applyBorder="1" applyAlignment="1" applyProtection="1">
      <alignment horizontal="center" vertical="center"/>
      <protection locked="0"/>
    </xf>
    <xf numFmtId="10" fontId="31" fillId="0" borderId="13" xfId="1" applyNumberFormat="1" applyFont="1" applyFill="1" applyBorder="1" applyAlignment="1" applyProtection="1">
      <alignment horizontal="center" vertical="center"/>
      <protection locked="0"/>
    </xf>
    <xf numFmtId="10" fontId="31" fillId="0" borderId="62" xfId="1" applyNumberFormat="1" applyFont="1" applyFill="1" applyBorder="1" applyAlignment="1" applyProtection="1">
      <alignment horizontal="center" vertical="center"/>
      <protection locked="0"/>
    </xf>
    <xf numFmtId="10" fontId="31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10" xfId="0" applyNumberFormat="1" applyFont="1" applyFill="1" applyBorder="1" applyAlignment="1" applyProtection="1">
      <alignment horizontal="center" vertical="center"/>
      <protection locked="0"/>
    </xf>
    <xf numFmtId="10" fontId="34" fillId="0" borderId="11" xfId="1" applyNumberFormat="1" applyFont="1" applyFill="1" applyBorder="1" applyAlignment="1" applyProtection="1">
      <alignment horizontal="center" vertical="center"/>
      <protection locked="0"/>
    </xf>
    <xf numFmtId="3" fontId="30" fillId="0" borderId="12" xfId="0" applyNumberFormat="1" applyFont="1" applyFill="1" applyBorder="1" applyAlignment="1" applyProtection="1">
      <alignment horizontal="center" vertical="center"/>
      <protection locked="0"/>
    </xf>
    <xf numFmtId="10" fontId="34" fillId="0" borderId="13" xfId="1" applyNumberFormat="1" applyFont="1" applyFill="1" applyBorder="1" applyAlignment="1" applyProtection="1">
      <alignment horizontal="center" vertical="center"/>
      <protection locked="0"/>
    </xf>
    <xf numFmtId="10" fontId="34" fillId="0" borderId="62" xfId="1" applyNumberFormat="1" applyFont="1" applyFill="1" applyBorder="1" applyAlignment="1" applyProtection="1">
      <alignment horizontal="center" vertical="center"/>
      <protection locked="0"/>
    </xf>
    <xf numFmtId="10" fontId="34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21" xfId="0" applyNumberFormat="1" applyFont="1" applyFill="1" applyBorder="1" applyAlignment="1" applyProtection="1">
      <alignment horizontal="center" vertical="center"/>
      <protection locked="0"/>
    </xf>
    <xf numFmtId="10" fontId="34" fillId="0" borderId="18" xfId="1" applyNumberFormat="1" applyFont="1" applyFill="1" applyBorder="1" applyAlignment="1" applyProtection="1">
      <alignment horizontal="center" vertical="center"/>
      <protection locked="0"/>
    </xf>
    <xf numFmtId="3" fontId="30" fillId="0" borderId="19" xfId="0" applyNumberFormat="1" applyFont="1" applyFill="1" applyBorder="1" applyAlignment="1" applyProtection="1">
      <alignment horizontal="center" vertical="center"/>
      <protection locked="0"/>
    </xf>
    <xf numFmtId="10" fontId="34" fillId="0" borderId="20" xfId="1" applyNumberFormat="1" applyFont="1" applyFill="1" applyBorder="1" applyAlignment="1" applyProtection="1">
      <alignment horizontal="center" vertical="center"/>
      <protection locked="0"/>
    </xf>
    <xf numFmtId="10" fontId="34" fillId="0" borderId="71" xfId="1" applyNumberFormat="1" applyFont="1" applyFill="1" applyBorder="1" applyAlignment="1" applyProtection="1">
      <alignment horizontal="center" vertical="center"/>
      <protection locked="0"/>
    </xf>
    <xf numFmtId="10" fontId="34" fillId="0" borderId="23" xfId="1" applyNumberFormat="1" applyFont="1" applyFill="1" applyBorder="1" applyAlignment="1" applyProtection="1">
      <alignment horizontal="center" vertical="center"/>
      <protection locked="0"/>
    </xf>
    <xf numFmtId="10" fontId="28" fillId="0" borderId="62" xfId="1" applyNumberFormat="1" applyFont="1" applyFill="1" applyBorder="1" applyAlignment="1" applyProtection="1">
      <alignment horizontal="center" vertical="center"/>
      <protection locked="0"/>
    </xf>
    <xf numFmtId="10" fontId="28" fillId="0" borderId="15" xfId="1" applyNumberFormat="1" applyFont="1" applyFill="1" applyBorder="1" applyAlignment="1" applyProtection="1">
      <alignment horizontal="center" vertical="center"/>
      <protection locked="0"/>
    </xf>
    <xf numFmtId="3" fontId="28" fillId="0" borderId="21" xfId="0" applyNumberFormat="1" applyFont="1" applyFill="1" applyBorder="1" applyAlignment="1" applyProtection="1">
      <alignment horizontal="center" vertical="center"/>
      <protection locked="0"/>
    </xf>
    <xf numFmtId="3" fontId="28" fillId="0" borderId="20" xfId="1" applyNumberFormat="1" applyFont="1" applyFill="1" applyBorder="1" applyAlignment="1" applyProtection="1">
      <alignment horizontal="center" vertical="center"/>
      <protection locked="0"/>
    </xf>
    <xf numFmtId="3" fontId="28" fillId="0" borderId="20" xfId="0" applyNumberFormat="1" applyFont="1" applyFill="1" applyBorder="1" applyAlignment="1" applyProtection="1">
      <alignment horizontal="center" vertical="center"/>
      <protection locked="0"/>
    </xf>
    <xf numFmtId="10" fontId="31" fillId="0" borderId="18" xfId="1" applyNumberFormat="1" applyFont="1" applyFill="1" applyBorder="1" applyAlignment="1" applyProtection="1">
      <alignment horizontal="center" vertical="center"/>
      <protection locked="0"/>
    </xf>
    <xf numFmtId="3" fontId="28" fillId="0" borderId="19" xfId="0" applyNumberFormat="1" applyFont="1" applyFill="1" applyBorder="1" applyAlignment="1" applyProtection="1">
      <alignment horizontal="center" vertical="center"/>
      <protection locked="0"/>
    </xf>
    <xf numFmtId="10" fontId="31" fillId="0" borderId="20" xfId="1" applyNumberFormat="1" applyFont="1" applyFill="1" applyBorder="1" applyAlignment="1" applyProtection="1">
      <alignment horizontal="center" vertical="center"/>
      <protection locked="0"/>
    </xf>
    <xf numFmtId="10" fontId="31" fillId="0" borderId="71" xfId="1" applyNumberFormat="1" applyFont="1" applyFill="1" applyBorder="1" applyAlignment="1" applyProtection="1">
      <alignment horizontal="center" vertical="center"/>
      <protection locked="0"/>
    </xf>
    <xf numFmtId="10" fontId="31" fillId="0" borderId="23" xfId="1" applyNumberFormat="1" applyFont="1" applyFill="1" applyBorder="1" applyAlignment="1" applyProtection="1">
      <alignment horizontal="center" vertical="center"/>
      <protection locked="0"/>
    </xf>
    <xf numFmtId="166" fontId="30" fillId="0" borderId="37" xfId="1" applyNumberFormat="1" applyFont="1" applyFill="1" applyBorder="1" applyAlignment="1" applyProtection="1">
      <alignment horizontal="right" vertical="center"/>
      <protection locked="0"/>
    </xf>
    <xf numFmtId="165" fontId="30" fillId="0" borderId="37" xfId="1" applyNumberFormat="1" applyFont="1" applyFill="1" applyBorder="1" applyAlignment="1" applyProtection="1">
      <alignment horizontal="right" vertical="center"/>
      <protection locked="0"/>
    </xf>
    <xf numFmtId="166" fontId="30" fillId="0" borderId="25" xfId="1" applyNumberFormat="1" applyFont="1" applyFill="1" applyBorder="1" applyAlignment="1" applyProtection="1">
      <alignment horizontal="right" vertical="center"/>
      <protection locked="0"/>
    </xf>
    <xf numFmtId="166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25" xfId="1" applyNumberFormat="1" applyFont="1" applyFill="1" applyBorder="1" applyAlignment="1" applyProtection="1">
      <alignment horizontal="right" vertical="center"/>
      <protection locked="0"/>
    </xf>
    <xf numFmtId="165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32" xfId="1" applyNumberFormat="1" applyFont="1" applyFill="1" applyBorder="1" applyAlignment="1" applyProtection="1">
      <alignment horizontal="right" vertical="center"/>
      <protection locked="0"/>
    </xf>
    <xf numFmtId="165" fontId="30" fillId="0" borderId="36" xfId="1" applyNumberFormat="1" applyFont="1" applyFill="1" applyBorder="1" applyAlignment="1" applyProtection="1">
      <alignment horizontal="right" vertical="center"/>
      <protection locked="0"/>
    </xf>
    <xf numFmtId="165" fontId="30" fillId="0" borderId="10" xfId="1" applyNumberFormat="1" applyFont="1" applyFill="1" applyBorder="1" applyAlignment="1" applyProtection="1">
      <alignment horizontal="right" vertical="center"/>
      <protection locked="0"/>
    </xf>
    <xf numFmtId="165" fontId="30" fillId="0" borderId="17" xfId="1" applyNumberFormat="1" applyFont="1" applyFill="1" applyBorder="1" applyAlignment="1" applyProtection="1">
      <alignment horizontal="right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</xf>
    <xf numFmtId="3" fontId="30" fillId="8" borderId="12" xfId="0" applyNumberFormat="1" applyFont="1" applyFill="1" applyBorder="1" applyAlignment="1" applyProtection="1">
      <alignment horizontal="center" vertical="center"/>
      <protection locked="0"/>
    </xf>
    <xf numFmtId="3" fontId="27" fillId="13" borderId="50" xfId="0" applyNumberFormat="1" applyFont="1" applyFill="1" applyBorder="1" applyAlignment="1" applyProtection="1">
      <alignment horizontal="center" vertical="center"/>
    </xf>
    <xf numFmtId="3" fontId="28" fillId="11" borderId="41" xfId="0" applyNumberFormat="1" applyFont="1" applyFill="1" applyBorder="1" applyAlignment="1" applyProtection="1">
      <alignment horizontal="center" vertical="center"/>
    </xf>
    <xf numFmtId="3" fontId="27" fillId="13" borderId="5" xfId="0" applyNumberFormat="1" applyFont="1" applyFill="1" applyBorder="1" applyAlignment="1" applyProtection="1">
      <alignment horizontal="center" vertical="center"/>
    </xf>
    <xf numFmtId="10" fontId="27" fillId="13" borderId="27" xfId="1" applyNumberFormat="1" applyFont="1" applyFill="1" applyBorder="1" applyAlignment="1" applyProtection="1">
      <alignment horizontal="center" vertical="center"/>
    </xf>
    <xf numFmtId="10" fontId="27" fillId="13" borderId="4" xfId="1" applyNumberFormat="1" applyFont="1" applyFill="1" applyBorder="1" applyAlignment="1" applyProtection="1">
      <alignment horizontal="center" vertical="center"/>
    </xf>
    <xf numFmtId="4" fontId="27" fillId="13" borderId="50" xfId="0" applyNumberFormat="1" applyFont="1" applyFill="1" applyBorder="1" applyAlignment="1" applyProtection="1">
      <alignment horizontal="right" vertical="center"/>
      <protection locked="0"/>
    </xf>
    <xf numFmtId="4" fontId="27" fillId="13" borderId="5" xfId="0" applyNumberFormat="1" applyFont="1" applyFill="1" applyBorder="1" applyAlignment="1" applyProtection="1">
      <alignment horizontal="right" vertical="center"/>
    </xf>
    <xf numFmtId="3" fontId="28" fillId="11" borderId="54" xfId="0" applyNumberFormat="1" applyFont="1" applyFill="1" applyBorder="1" applyAlignment="1" applyProtection="1">
      <alignment horizontal="center" vertical="center"/>
    </xf>
    <xf numFmtId="10" fontId="28" fillId="11" borderId="55" xfId="1" applyNumberFormat="1" applyFont="1" applyFill="1" applyBorder="1" applyAlignment="1" applyProtection="1">
      <alignment horizontal="center" vertical="center"/>
    </xf>
    <xf numFmtId="10" fontId="28" fillId="11" borderId="81" xfId="1" applyNumberFormat="1" applyFont="1" applyFill="1" applyBorder="1" applyAlignment="1" applyProtection="1">
      <alignment horizontal="center" vertical="center"/>
    </xf>
    <xf numFmtId="4" fontId="28" fillId="11" borderId="41" xfId="0" applyNumberFormat="1" applyFont="1" applyFill="1" applyBorder="1" applyAlignment="1" applyProtection="1">
      <alignment horizontal="right" vertical="center"/>
      <protection locked="0"/>
    </xf>
    <xf numFmtId="4" fontId="28" fillId="11" borderId="54" xfId="0" applyNumberFormat="1" applyFont="1" applyFill="1" applyBorder="1" applyAlignment="1" applyProtection="1">
      <alignment horizontal="right" vertical="center"/>
    </xf>
    <xf numFmtId="3" fontId="27" fillId="13" borderId="6" xfId="0" applyNumberFormat="1" applyFont="1" applyFill="1" applyBorder="1" applyAlignment="1" applyProtection="1">
      <alignment horizontal="center" vertical="center"/>
    </xf>
    <xf numFmtId="3" fontId="28" fillId="11" borderId="67" xfId="0" applyNumberFormat="1" applyFont="1" applyFill="1" applyBorder="1" applyAlignment="1" applyProtection="1">
      <alignment horizontal="center" vertical="center"/>
      <protection locked="0"/>
    </xf>
    <xf numFmtId="3" fontId="30" fillId="8" borderId="2" xfId="0" applyNumberFormat="1" applyFont="1" applyFill="1" applyBorder="1" applyAlignment="1" applyProtection="1">
      <alignment horizontal="center" vertical="center"/>
      <protection locked="0"/>
    </xf>
    <xf numFmtId="3" fontId="30" fillId="8" borderId="34" xfId="0" applyNumberFormat="1" applyFont="1" applyFill="1" applyBorder="1" applyAlignment="1" applyProtection="1">
      <alignment horizontal="center" vertical="center"/>
      <protection locked="0"/>
    </xf>
    <xf numFmtId="3" fontId="28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21" xfId="0" applyNumberFormat="1" applyFont="1" applyFill="1" applyBorder="1" applyAlignment="1" applyProtection="1">
      <alignment horizontal="center" vertical="center"/>
      <protection locked="0"/>
    </xf>
    <xf numFmtId="10" fontId="31" fillId="8" borderId="3" xfId="1" applyNumberFormat="1" applyFont="1" applyFill="1" applyBorder="1" applyAlignment="1" applyProtection="1">
      <alignment horizontal="center" vertical="center"/>
    </xf>
    <xf numFmtId="10" fontId="31" fillId="8" borderId="18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 wrapText="1"/>
    </xf>
    <xf numFmtId="4" fontId="28" fillId="0" borderId="7" xfId="1" applyNumberFormat="1" applyFont="1" applyFill="1" applyBorder="1" applyAlignment="1" applyProtection="1">
      <alignment horizontal="right" vertical="center"/>
    </xf>
    <xf numFmtId="4" fontId="28" fillId="0" borderId="3" xfId="1" applyNumberFormat="1" applyFont="1" applyFill="1" applyBorder="1" applyAlignment="1" applyProtection="1">
      <alignment horizontal="right" vertical="center"/>
    </xf>
    <xf numFmtId="4" fontId="28" fillId="0" borderId="20" xfId="1" applyNumberFormat="1" applyFont="1" applyFill="1" applyBorder="1" applyAlignment="1" applyProtection="1">
      <alignment horizontal="right" vertical="center"/>
    </xf>
    <xf numFmtId="4" fontId="28" fillId="0" borderId="18" xfId="1" applyNumberFormat="1" applyFont="1" applyFill="1" applyBorder="1" applyAlignment="1" applyProtection="1">
      <alignment horizontal="right" vertical="center"/>
    </xf>
    <xf numFmtId="165" fontId="30" fillId="0" borderId="2" xfId="1" applyNumberFormat="1" applyFont="1" applyFill="1" applyBorder="1" applyAlignment="1" applyProtection="1">
      <alignment horizontal="right" vertical="center"/>
      <protection locked="0"/>
    </xf>
    <xf numFmtId="165" fontId="30" fillId="0" borderId="21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0" applyNumberFormat="1" applyFont="1" applyFill="1" applyBorder="1" applyAlignment="1" applyProtection="1">
      <alignment horizontal="right" vertical="center"/>
      <protection locked="0"/>
    </xf>
    <xf numFmtId="0" fontId="36" fillId="0" borderId="8" xfId="0" applyFont="1" applyBorder="1"/>
    <xf numFmtId="0" fontId="36" fillId="0" borderId="15" xfId="0" applyFont="1" applyBorder="1"/>
    <xf numFmtId="0" fontId="36" fillId="0" borderId="30" xfId="0" applyFont="1" applyBorder="1"/>
    <xf numFmtId="0" fontId="28" fillId="0" borderId="78" xfId="0" applyFont="1" applyFill="1" applyBorder="1" applyAlignment="1" applyProtection="1">
      <alignment vertical="center" wrapText="1"/>
      <protection locked="0"/>
    </xf>
    <xf numFmtId="3" fontId="30" fillId="8" borderId="13" xfId="0" applyNumberFormat="1" applyFont="1" applyFill="1" applyBorder="1" applyAlignment="1" applyProtection="1">
      <alignment horizontal="center" vertical="center"/>
    </xf>
    <xf numFmtId="0" fontId="27" fillId="14" borderId="61" xfId="0" applyFont="1" applyFill="1" applyBorder="1" applyAlignment="1" applyProtection="1">
      <alignment horizontal="right" vertical="center"/>
      <protection locked="0"/>
    </xf>
    <xf numFmtId="4" fontId="37" fillId="14" borderId="79" xfId="0" applyNumberFormat="1" applyFont="1" applyFill="1" applyBorder="1" applyAlignment="1" applyProtection="1">
      <alignment horizontal="right" vertical="center"/>
      <protection locked="0"/>
    </xf>
    <xf numFmtId="4" fontId="38" fillId="8" borderId="28" xfId="0" applyNumberFormat="1" applyFont="1" applyFill="1" applyBorder="1" applyAlignment="1" applyProtection="1">
      <alignment horizontal="right" vertical="center"/>
      <protection locked="0"/>
    </xf>
    <xf numFmtId="4" fontId="38" fillId="8" borderId="36" xfId="0" applyNumberFormat="1" applyFont="1" applyFill="1" applyBorder="1" applyAlignment="1" applyProtection="1">
      <alignment horizontal="right" vertical="center"/>
      <protection locked="0"/>
    </xf>
    <xf numFmtId="9" fontId="39" fillId="8" borderId="70" xfId="1" applyFont="1" applyFill="1" applyBorder="1" applyAlignment="1" applyProtection="1">
      <alignment horizontal="center" vertical="center"/>
      <protection locked="0"/>
    </xf>
    <xf numFmtId="4" fontId="39" fillId="8" borderId="28" xfId="0" applyNumberFormat="1" applyFont="1" applyFill="1" applyBorder="1" applyAlignment="1" applyProtection="1">
      <alignment horizontal="right" vertical="center"/>
    </xf>
    <xf numFmtId="4" fontId="38" fillId="0" borderId="28" xfId="0" applyNumberFormat="1" applyFont="1" applyFill="1" applyBorder="1" applyAlignment="1" applyProtection="1">
      <alignment horizontal="right" vertical="center"/>
      <protection locked="0"/>
    </xf>
    <xf numFmtId="4" fontId="40" fillId="0" borderId="28" xfId="1" applyNumberFormat="1" applyFont="1" applyFill="1" applyBorder="1" applyAlignment="1" applyProtection="1">
      <alignment horizontal="right" vertical="center" wrapText="1"/>
    </xf>
    <xf numFmtId="4" fontId="38" fillId="8" borderId="11" xfId="0" applyNumberFormat="1" applyFont="1" applyFill="1" applyBorder="1" applyAlignment="1" applyProtection="1">
      <alignment horizontal="right" vertical="center"/>
      <protection locked="0"/>
    </xf>
    <xf numFmtId="4" fontId="38" fillId="8" borderId="10" xfId="0" applyNumberFormat="1" applyFont="1" applyFill="1" applyBorder="1" applyAlignment="1" applyProtection="1">
      <alignment horizontal="right" vertical="center"/>
      <protection locked="0"/>
    </xf>
    <xf numFmtId="9" fontId="39" fillId="8" borderId="62" xfId="1" applyFont="1" applyFill="1" applyBorder="1" applyAlignment="1" applyProtection="1">
      <alignment horizontal="center" vertical="center"/>
      <protection locked="0"/>
    </xf>
    <xf numFmtId="4" fontId="39" fillId="8" borderId="11" xfId="0" applyNumberFormat="1" applyFont="1" applyFill="1" applyBorder="1" applyAlignment="1" applyProtection="1">
      <alignment horizontal="right" vertical="center"/>
    </xf>
    <xf numFmtId="4" fontId="38" fillId="0" borderId="11" xfId="0" applyNumberFormat="1" applyFont="1" applyFill="1" applyBorder="1" applyAlignment="1" applyProtection="1">
      <alignment horizontal="right" vertical="center"/>
      <protection locked="0"/>
    </xf>
    <xf numFmtId="4" fontId="40" fillId="0" borderId="11" xfId="1" applyNumberFormat="1" applyFont="1" applyFill="1" applyBorder="1" applyAlignment="1" applyProtection="1">
      <alignment horizontal="right" vertical="center" wrapText="1"/>
    </xf>
    <xf numFmtId="4" fontId="37" fillId="13" borderId="47" xfId="0" applyNumberFormat="1" applyFont="1" applyFill="1" applyBorder="1" applyAlignment="1" applyProtection="1">
      <alignment horizontal="right" vertical="center" wrapText="1"/>
      <protection locked="0"/>
    </xf>
    <xf numFmtId="4" fontId="37" fillId="13" borderId="48" xfId="0" applyNumberFormat="1" applyFont="1" applyFill="1" applyBorder="1" applyAlignment="1" applyProtection="1">
      <alignment horizontal="right" vertical="center"/>
    </xf>
    <xf numFmtId="9" fontId="37" fillId="13" borderId="63" xfId="1" applyFont="1" applyFill="1" applyBorder="1" applyAlignment="1" applyProtection="1">
      <alignment horizontal="center" vertical="center"/>
    </xf>
    <xf numFmtId="4" fontId="37" fillId="13" borderId="47" xfId="0" applyNumberFormat="1" applyFont="1" applyFill="1" applyBorder="1" applyAlignment="1" applyProtection="1">
      <alignment horizontal="right" vertical="center"/>
    </xf>
    <xf numFmtId="4" fontId="40" fillId="0" borderId="28" xfId="1" applyNumberFormat="1" applyFont="1" applyFill="1" applyBorder="1" applyAlignment="1" applyProtection="1">
      <alignment horizontal="right" vertical="center"/>
    </xf>
    <xf numFmtId="4" fontId="38" fillId="8" borderId="11" xfId="0" applyNumberFormat="1" applyFont="1" applyFill="1" applyBorder="1" applyAlignment="1" applyProtection="1">
      <alignment horizontal="right" vertical="center" wrapText="1"/>
      <protection locked="0"/>
    </xf>
    <xf numFmtId="4" fontId="40" fillId="0" borderId="11" xfId="1" applyNumberFormat="1" applyFont="1" applyFill="1" applyBorder="1" applyAlignment="1" applyProtection="1">
      <alignment horizontal="right" vertical="center"/>
    </xf>
    <xf numFmtId="4" fontId="38" fillId="8" borderId="21" xfId="0" applyNumberFormat="1" applyFont="1" applyFill="1" applyBorder="1" applyAlignment="1" applyProtection="1">
      <alignment horizontal="right" vertical="center"/>
      <protection locked="0"/>
    </xf>
    <xf numFmtId="9" fontId="39" fillId="8" borderId="71" xfId="1" applyFont="1" applyFill="1" applyBorder="1" applyAlignment="1" applyProtection="1">
      <alignment horizontal="center" vertical="center"/>
      <protection locked="0"/>
    </xf>
    <xf numFmtId="4" fontId="39" fillId="8" borderId="18" xfId="0" applyNumberFormat="1" applyFont="1" applyFill="1" applyBorder="1" applyAlignment="1" applyProtection="1">
      <alignment horizontal="right" vertical="center"/>
    </xf>
    <xf numFmtId="0" fontId="28" fillId="8" borderId="28" xfId="0" applyFont="1" applyFill="1" applyBorder="1" applyAlignment="1" applyProtection="1">
      <alignment vertical="center"/>
      <protection locked="0"/>
    </xf>
    <xf numFmtId="0" fontId="28" fillId="8" borderId="11" xfId="0" applyFont="1" applyFill="1" applyBorder="1" applyAlignment="1" applyProtection="1">
      <alignment vertical="center"/>
      <protection locked="0"/>
    </xf>
    <xf numFmtId="0" fontId="28" fillId="0" borderId="28" xfId="0" applyFont="1" applyFill="1" applyBorder="1" applyAlignment="1" applyProtection="1">
      <alignment horizontal="left" vertical="center"/>
      <protection locked="0"/>
    </xf>
    <xf numFmtId="4" fontId="25" fillId="14" borderId="79" xfId="0" applyNumberFormat="1" applyFont="1" applyFill="1" applyBorder="1" applyAlignment="1" applyProtection="1">
      <alignment horizontal="right" vertical="center"/>
    </xf>
    <xf numFmtId="9" fontId="25" fillId="14" borderId="79" xfId="1" applyFont="1" applyFill="1" applyBorder="1" applyAlignment="1" applyProtection="1">
      <alignment horizontal="center" vertical="center"/>
    </xf>
    <xf numFmtId="16" fontId="30" fillId="8" borderId="70" xfId="0" applyNumberFormat="1" applyFont="1" applyFill="1" applyBorder="1" applyAlignment="1" applyProtection="1">
      <alignment vertical="center"/>
      <protection locked="0"/>
    </xf>
    <xf numFmtId="4" fontId="28" fillId="8" borderId="17" xfId="0" applyNumberFormat="1" applyFont="1" applyFill="1" applyBorder="1" applyAlignment="1" applyProtection="1">
      <alignment horizontal="center" vertical="center"/>
    </xf>
    <xf numFmtId="165" fontId="28" fillId="8" borderId="17" xfId="0" applyNumberFormat="1" applyFont="1" applyFill="1" applyBorder="1" applyAlignment="1" applyProtection="1">
      <alignment horizontal="center" vertical="center"/>
    </xf>
    <xf numFmtId="4" fontId="27" fillId="13" borderId="46" xfId="0" applyNumberFormat="1" applyFont="1" applyFill="1" applyBorder="1" applyAlignment="1" applyProtection="1">
      <alignment horizontal="center" vertical="center"/>
    </xf>
    <xf numFmtId="0" fontId="28" fillId="0" borderId="2" xfId="0" applyFont="1" applyFill="1" applyBorder="1" applyAlignment="1" applyProtection="1">
      <alignment vertical="center" wrapText="1"/>
      <protection locked="0"/>
    </xf>
    <xf numFmtId="0" fontId="30" fillId="8" borderId="3" xfId="0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  <protection locked="0"/>
    </xf>
    <xf numFmtId="0" fontId="28" fillId="0" borderId="17" xfId="0" applyFont="1" applyFill="1" applyBorder="1" applyAlignment="1" applyProtection="1">
      <alignment vertical="center" wrapText="1"/>
      <protection locked="0"/>
    </xf>
    <xf numFmtId="0" fontId="28" fillId="0" borderId="36" xfId="0" applyFont="1" applyFill="1" applyBorder="1" applyAlignment="1" applyProtection="1">
      <alignment vertical="center" wrapText="1"/>
      <protection locked="0"/>
    </xf>
    <xf numFmtId="10" fontId="31" fillId="0" borderId="58" xfId="1" applyNumberFormat="1" applyFont="1" applyFill="1" applyBorder="1" applyAlignment="1" applyProtection="1">
      <alignment horizontal="center" vertical="center"/>
    </xf>
    <xf numFmtId="3" fontId="27" fillId="13" borderId="45" xfId="0" applyNumberFormat="1" applyFont="1" applyFill="1" applyBorder="1" applyAlignment="1" applyProtection="1">
      <alignment horizontal="center" vertical="center"/>
    </xf>
    <xf numFmtId="165" fontId="28" fillId="8" borderId="37" xfId="0" applyNumberFormat="1" applyFont="1" applyFill="1" applyBorder="1" applyAlignment="1" applyProtection="1">
      <alignment horizontal="center" vertical="center"/>
    </xf>
    <xf numFmtId="3" fontId="28" fillId="8" borderId="37" xfId="0" applyNumberFormat="1" applyFont="1" applyFill="1" applyBorder="1" applyAlignment="1" applyProtection="1">
      <alignment horizontal="center" vertical="center"/>
    </xf>
    <xf numFmtId="4" fontId="27" fillId="13" borderId="45" xfId="0" applyNumberFormat="1" applyFont="1" applyFill="1" applyBorder="1" applyAlignment="1" applyProtection="1">
      <alignment horizontal="center" vertical="center"/>
    </xf>
    <xf numFmtId="4" fontId="30" fillId="8" borderId="25" xfId="0" applyNumberFormat="1" applyFont="1" applyFill="1" applyBorder="1" applyAlignment="1" applyProtection="1">
      <alignment horizontal="center" vertical="center"/>
    </xf>
    <xf numFmtId="4" fontId="30" fillId="8" borderId="12" xfId="0" applyNumberFormat="1" applyFont="1" applyFill="1" applyBorder="1" applyAlignment="1" applyProtection="1">
      <alignment horizontal="center" vertical="center"/>
    </xf>
    <xf numFmtId="4" fontId="30" fillId="8" borderId="37" xfId="0" applyNumberFormat="1" applyFont="1" applyFill="1" applyBorder="1" applyAlignment="1" applyProtection="1">
      <alignment horizontal="center" vertical="center"/>
    </xf>
    <xf numFmtId="4" fontId="28" fillId="8" borderId="26" xfId="0" applyNumberFormat="1" applyFont="1" applyFill="1" applyBorder="1" applyAlignment="1" applyProtection="1">
      <alignment horizontal="center" vertical="center"/>
      <protection locked="0"/>
    </xf>
    <xf numFmtId="4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40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</xf>
    <xf numFmtId="0" fontId="28" fillId="8" borderId="32" xfId="0" applyFont="1" applyFill="1" applyBorder="1" applyAlignment="1" applyProtection="1">
      <alignment horizontal="left" vertical="center"/>
      <protection locked="0"/>
    </xf>
    <xf numFmtId="0" fontId="28" fillId="8" borderId="32" xfId="0" applyFont="1" applyFill="1" applyBorder="1" applyAlignment="1" applyProtection="1">
      <alignment horizontal="center" vertical="center"/>
      <protection locked="0"/>
    </xf>
    <xf numFmtId="3" fontId="28" fillId="0" borderId="2" xfId="1" applyNumberFormat="1" applyFont="1" applyFill="1" applyBorder="1" applyAlignment="1" applyProtection="1">
      <alignment horizontal="center" vertical="center"/>
      <protection locked="0"/>
    </xf>
    <xf numFmtId="3" fontId="28" fillId="0" borderId="10" xfId="1" applyNumberFormat="1" applyFont="1" applyFill="1" applyBorder="1" applyAlignment="1" applyProtection="1">
      <alignment horizontal="center" vertical="center"/>
      <protection locked="0"/>
    </xf>
    <xf numFmtId="4" fontId="30" fillId="8" borderId="17" xfId="0" applyNumberFormat="1" applyFont="1" applyFill="1" applyBorder="1" applyAlignment="1" applyProtection="1">
      <alignment horizontal="center" vertical="center"/>
    </xf>
    <xf numFmtId="3" fontId="30" fillId="8" borderId="17" xfId="0" applyNumberFormat="1" applyFont="1" applyFill="1" applyBorder="1" applyAlignment="1" applyProtection="1">
      <alignment horizontal="center" vertical="center"/>
    </xf>
    <xf numFmtId="3" fontId="30" fillId="0" borderId="7" xfId="1" applyNumberFormat="1" applyFont="1" applyFill="1" applyBorder="1" applyAlignment="1" applyProtection="1">
      <alignment horizontal="center" vertical="center"/>
      <protection locked="0"/>
    </xf>
    <xf numFmtId="3" fontId="28" fillId="0" borderId="21" xfId="1" applyNumberFormat="1" applyFont="1" applyFill="1" applyBorder="1" applyAlignment="1" applyProtection="1">
      <alignment horizontal="center" vertical="center"/>
      <protection locked="0"/>
    </xf>
    <xf numFmtId="3" fontId="28" fillId="0" borderId="15" xfId="0" applyNumberFormat="1" applyFont="1" applyFill="1" applyBorder="1" applyAlignment="1" applyProtection="1">
      <alignment horizontal="center" vertical="center"/>
      <protection locked="0"/>
    </xf>
    <xf numFmtId="3" fontId="28" fillId="0" borderId="62" xfId="1" applyNumberFormat="1" applyFont="1" applyFill="1" applyBorder="1" applyAlignment="1" applyProtection="1">
      <alignment horizontal="center" vertical="center"/>
      <protection locked="0"/>
    </xf>
    <xf numFmtId="3" fontId="28" fillId="0" borderId="71" xfId="1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3" fontId="28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31" fillId="0" borderId="1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31" fillId="0" borderId="20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8" borderId="13" xfId="0" applyFont="1" applyFill="1" applyBorder="1" applyAlignment="1" applyProtection="1">
      <alignment vertical="center" wrapText="1"/>
      <protection locked="0"/>
    </xf>
    <xf numFmtId="165" fontId="30" fillId="8" borderId="2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1" applyNumberFormat="1" applyFont="1" applyFill="1" applyBorder="1" applyAlignment="1" applyProtection="1">
      <alignment horizontal="right" vertical="center"/>
      <protection locked="0"/>
    </xf>
    <xf numFmtId="0" fontId="30" fillId="0" borderId="60" xfId="0" applyFont="1" applyBorder="1" applyAlignment="1" applyProtection="1">
      <alignment vertical="center"/>
      <protection locked="0"/>
    </xf>
    <xf numFmtId="4" fontId="25" fillId="14" borderId="80" xfId="1" applyNumberFormat="1" applyFont="1" applyFill="1" applyBorder="1" applyAlignment="1" applyProtection="1">
      <alignment horizontal="right" vertical="center"/>
    </xf>
    <xf numFmtId="4" fontId="28" fillId="8" borderId="28" xfId="0" applyNumberFormat="1" applyFont="1" applyFill="1" applyBorder="1" applyAlignment="1" applyProtection="1">
      <alignment horizontal="right" vertical="center"/>
    </xf>
    <xf numFmtId="4" fontId="28" fillId="8" borderId="11" xfId="0" applyNumberFormat="1" applyFont="1" applyFill="1" applyBorder="1" applyAlignment="1" applyProtection="1">
      <alignment horizontal="right" vertical="center"/>
    </xf>
    <xf numFmtId="4" fontId="28" fillId="8" borderId="34" xfId="0" applyNumberFormat="1" applyFont="1" applyFill="1" applyBorder="1" applyAlignment="1" applyProtection="1">
      <alignment horizontal="right" vertical="center"/>
    </xf>
    <xf numFmtId="4" fontId="28" fillId="8" borderId="26" xfId="0" applyNumberFormat="1" applyFont="1" applyFill="1" applyBorder="1" applyAlignment="1" applyProtection="1">
      <alignment horizontal="right" vertical="center"/>
    </xf>
    <xf numFmtId="4" fontId="28" fillId="8" borderId="13" xfId="0" applyNumberFormat="1" applyFont="1" applyFill="1" applyBorder="1" applyAlignment="1" applyProtection="1">
      <alignment horizontal="right" vertical="center"/>
    </xf>
    <xf numFmtId="10" fontId="31" fillId="0" borderId="2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/>
    </xf>
    <xf numFmtId="4" fontId="28" fillId="8" borderId="3" xfId="0" applyNumberFormat="1" applyFont="1" applyFill="1" applyBorder="1" applyAlignment="1" applyProtection="1">
      <alignment horizontal="right" vertical="center"/>
    </xf>
    <xf numFmtId="4" fontId="41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30" fillId="8" borderId="8" xfId="0" applyFont="1" applyFill="1" applyBorder="1" applyAlignment="1" applyProtection="1">
      <alignment vertical="center"/>
      <protection locked="0"/>
    </xf>
    <xf numFmtId="0" fontId="30" fillId="8" borderId="15" xfId="0" applyFont="1" applyFill="1" applyBorder="1" applyAlignment="1" applyProtection="1">
      <alignment vertical="center"/>
      <protection locked="0"/>
    </xf>
    <xf numFmtId="0" fontId="30" fillId="8" borderId="33" xfId="0" applyFont="1" applyFill="1" applyBorder="1" applyAlignment="1" applyProtection="1">
      <alignment vertical="center"/>
      <protection locked="0"/>
    </xf>
    <xf numFmtId="0" fontId="30" fillId="8" borderId="23" xfId="0" applyFont="1" applyFill="1" applyBorder="1" applyAlignment="1" applyProtection="1">
      <alignment vertical="center"/>
      <protection locked="0"/>
    </xf>
    <xf numFmtId="0" fontId="30" fillId="8" borderId="72" xfId="0" applyFont="1" applyFill="1" applyBorder="1" applyAlignment="1" applyProtection="1">
      <alignment vertical="center" wrapText="1"/>
      <protection locked="0"/>
    </xf>
    <xf numFmtId="0" fontId="30" fillId="8" borderId="76" xfId="0" applyFont="1" applyFill="1" applyBorder="1" applyAlignment="1" applyProtection="1">
      <alignment vertical="center" wrapText="1"/>
      <protection locked="0"/>
    </xf>
    <xf numFmtId="3" fontId="30" fillId="8" borderId="8" xfId="0" applyNumberFormat="1" applyFont="1" applyFill="1" applyBorder="1" applyAlignment="1" applyProtection="1">
      <alignment horizontal="center" vertical="center"/>
      <protection locked="0"/>
    </xf>
    <xf numFmtId="3" fontId="30" fillId="8" borderId="23" xfId="0" applyNumberFormat="1" applyFont="1" applyFill="1" applyBorder="1" applyAlignment="1" applyProtection="1">
      <alignment horizontal="center" vertical="center"/>
      <protection locked="0"/>
    </xf>
    <xf numFmtId="165" fontId="30" fillId="8" borderId="12" xfId="1" applyNumberFormat="1" applyFont="1" applyFill="1" applyBorder="1" applyAlignment="1" applyProtection="1">
      <alignment horizontal="right" vertical="center"/>
      <protection locked="0"/>
    </xf>
    <xf numFmtId="3" fontId="22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43" fillId="0" borderId="36" xfId="0" applyNumberFormat="1" applyFont="1" applyFill="1" applyBorder="1" applyAlignment="1" applyProtection="1">
      <alignment horizontal="right" vertical="center" wrapText="1"/>
      <protection locked="0"/>
    </xf>
    <xf numFmtId="10" fontId="28" fillId="8" borderId="12" xfId="1" applyNumberFormat="1" applyFont="1" applyFill="1" applyBorder="1" applyAlignment="1" applyProtection="1">
      <alignment horizontal="center" vertical="center"/>
    </xf>
    <xf numFmtId="10" fontId="31" fillId="0" borderId="19" xfId="1" applyNumberFormat="1" applyFont="1" applyFill="1" applyBorder="1" applyAlignment="1" applyProtection="1">
      <alignment horizontal="center" vertical="center"/>
    </xf>
    <xf numFmtId="165" fontId="43" fillId="0" borderId="12" xfId="1" applyNumberFormat="1" applyFont="1" applyFill="1" applyBorder="1" applyAlignment="1" applyProtection="1">
      <alignment horizontal="right" vertical="center"/>
      <protection locked="0"/>
    </xf>
    <xf numFmtId="4" fontId="41" fillId="0" borderId="26" xfId="1" applyNumberFormat="1" applyFont="1" applyFill="1" applyBorder="1" applyAlignment="1" applyProtection="1">
      <alignment horizontal="right" vertical="center"/>
    </xf>
    <xf numFmtId="3" fontId="43" fillId="8" borderId="13" xfId="0" applyNumberFormat="1" applyFont="1" applyFill="1" applyBorder="1" applyAlignment="1" applyProtection="1">
      <alignment horizontal="center" vertical="center"/>
      <protection locked="0"/>
    </xf>
    <xf numFmtId="3" fontId="43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5" xfId="0" applyNumberFormat="1" applyFont="1" applyFill="1" applyBorder="1" applyAlignment="1" applyProtection="1">
      <alignment horizontal="center" vertical="center"/>
      <protection locked="0"/>
    </xf>
    <xf numFmtId="3" fontId="28" fillId="11" borderId="55" xfId="0" applyNumberFormat="1" applyFont="1" applyFill="1" applyBorder="1" applyAlignment="1" applyProtection="1">
      <alignment horizontal="center" vertical="center"/>
    </xf>
    <xf numFmtId="3" fontId="28" fillId="8" borderId="65" xfId="0" applyNumberFormat="1" applyFont="1" applyFill="1" applyBorder="1" applyAlignment="1" applyProtection="1">
      <alignment horizontal="center" vertical="center"/>
    </xf>
    <xf numFmtId="3" fontId="28" fillId="8" borderId="76" xfId="0" applyNumberFormat="1" applyFont="1" applyFill="1" applyBorder="1" applyAlignment="1" applyProtection="1">
      <alignment horizontal="center" vertical="center"/>
    </xf>
    <xf numFmtId="3" fontId="28" fillId="11" borderId="38" xfId="0" applyNumberFormat="1" applyFont="1" applyFill="1" applyBorder="1" applyAlignment="1" applyProtection="1">
      <alignment horizontal="center" vertical="center"/>
    </xf>
    <xf numFmtId="3" fontId="28" fillId="11" borderId="31" xfId="0" applyNumberFormat="1" applyFont="1" applyFill="1" applyBorder="1" applyAlignment="1" applyProtection="1">
      <alignment horizontal="center" vertical="center"/>
    </xf>
    <xf numFmtId="3" fontId="28" fillId="8" borderId="72" xfId="0" applyNumberFormat="1" applyFont="1" applyFill="1" applyBorder="1" applyAlignment="1" applyProtection="1">
      <alignment horizontal="center" vertical="center"/>
    </xf>
    <xf numFmtId="3" fontId="28" fillId="8" borderId="78" xfId="0" applyNumberFormat="1" applyFont="1" applyFill="1" applyBorder="1" applyAlignment="1" applyProtection="1">
      <alignment horizontal="center" vertical="center"/>
    </xf>
    <xf numFmtId="3" fontId="28" fillId="8" borderId="66" xfId="0" applyNumberFormat="1" applyFont="1" applyFill="1" applyBorder="1" applyAlignment="1" applyProtection="1">
      <alignment horizontal="center" vertical="center"/>
    </xf>
    <xf numFmtId="4" fontId="28" fillId="8" borderId="12" xfId="0" applyNumberFormat="1" applyFont="1" applyFill="1" applyBorder="1" applyAlignment="1" applyProtection="1">
      <alignment horizontal="center" vertical="center"/>
    </xf>
    <xf numFmtId="3" fontId="27" fillId="13" borderId="41" xfId="0" applyNumberFormat="1" applyFont="1" applyFill="1" applyBorder="1" applyAlignment="1" applyProtection="1">
      <alignment horizontal="center" vertical="center"/>
    </xf>
    <xf numFmtId="3" fontId="30" fillId="8" borderId="78" xfId="0" applyNumberFormat="1" applyFont="1" applyFill="1" applyBorder="1" applyAlignment="1" applyProtection="1">
      <alignment horizontal="center" vertical="center"/>
      <protection locked="0"/>
    </xf>
    <xf numFmtId="3" fontId="30" fillId="8" borderId="65" xfId="0" applyNumberFormat="1" applyFont="1" applyFill="1" applyBorder="1" applyAlignment="1" applyProtection="1">
      <alignment horizontal="center" vertical="center"/>
      <protection locked="0"/>
    </xf>
    <xf numFmtId="3" fontId="30" fillId="8" borderId="15" xfId="0" applyNumberFormat="1" applyFont="1" applyFill="1" applyBorder="1" applyAlignment="1" applyProtection="1">
      <alignment horizontal="center" vertical="center"/>
      <protection locked="0"/>
    </xf>
    <xf numFmtId="3" fontId="43" fillId="0" borderId="28" xfId="0" applyNumberFormat="1" applyFont="1" applyFill="1" applyBorder="1" applyAlignment="1" applyProtection="1">
      <alignment horizontal="center" vertical="center"/>
      <protection locked="0"/>
    </xf>
    <xf numFmtId="4" fontId="19" fillId="0" borderId="0" xfId="0" applyNumberFormat="1" applyFont="1" applyAlignment="1" applyProtection="1">
      <alignment vertical="center"/>
      <protection locked="0"/>
    </xf>
    <xf numFmtId="165" fontId="36" fillId="0" borderId="25" xfId="1" applyNumberFormat="1" applyFont="1" applyFill="1" applyBorder="1" applyAlignment="1" applyProtection="1">
      <alignment horizontal="right" vertical="center"/>
      <protection locked="0"/>
    </xf>
    <xf numFmtId="4" fontId="36" fillId="0" borderId="36" xfId="0" applyNumberFormat="1" applyFont="1" applyFill="1" applyBorder="1" applyAlignment="1" applyProtection="1">
      <alignment horizontal="right" vertical="center" wrapText="1"/>
      <protection locked="0"/>
    </xf>
    <xf numFmtId="3" fontId="36" fillId="0" borderId="13" xfId="0" applyNumberFormat="1" applyFont="1" applyFill="1" applyBorder="1" applyAlignment="1" applyProtection="1">
      <alignment horizontal="center" vertical="center"/>
      <protection locked="0"/>
    </xf>
    <xf numFmtId="4" fontId="43" fillId="0" borderId="10" xfId="0" applyNumberFormat="1" applyFont="1" applyFill="1" applyBorder="1" applyAlignment="1" applyProtection="1">
      <alignment horizontal="right" vertical="center" wrapText="1"/>
      <protection locked="0"/>
    </xf>
    <xf numFmtId="166" fontId="43" fillId="0" borderId="25" xfId="1" applyNumberFormat="1" applyFont="1" applyFill="1" applyBorder="1" applyAlignment="1" applyProtection="1">
      <alignment horizontal="right" vertical="center"/>
      <protection locked="0"/>
    </xf>
    <xf numFmtId="165" fontId="43" fillId="0" borderId="10" xfId="1" applyNumberFormat="1" applyFont="1" applyFill="1" applyBorder="1" applyAlignment="1" applyProtection="1">
      <alignment horizontal="right" vertical="center"/>
      <protection locked="0"/>
    </xf>
    <xf numFmtId="165" fontId="43" fillId="0" borderId="37" xfId="1" applyNumberFormat="1" applyFont="1" applyFill="1" applyBorder="1" applyAlignment="1" applyProtection="1">
      <alignment horizontal="right" vertical="center"/>
      <protection locked="0"/>
    </xf>
    <xf numFmtId="3" fontId="19" fillId="0" borderId="0" xfId="0" applyNumberFormat="1" applyFont="1" applyAlignment="1" applyProtection="1">
      <alignment vertical="center"/>
      <protection locked="0"/>
    </xf>
    <xf numFmtId="0" fontId="44" fillId="0" borderId="9" xfId="0" applyFont="1" applyBorder="1" applyAlignment="1" applyProtection="1">
      <alignment horizontal="center" vertical="center"/>
      <protection locked="0"/>
    </xf>
    <xf numFmtId="3" fontId="36" fillId="8" borderId="26" xfId="0" applyNumberFormat="1" applyFont="1" applyFill="1" applyBorder="1" applyAlignment="1" applyProtection="1">
      <alignment horizontal="center" vertical="center"/>
      <protection locked="0"/>
    </xf>
    <xf numFmtId="4" fontId="41" fillId="8" borderId="12" xfId="0" applyNumberFormat="1" applyFont="1" applyFill="1" applyBorder="1" applyAlignment="1" applyProtection="1">
      <alignment horizontal="center" vertical="center"/>
    </xf>
    <xf numFmtId="10" fontId="41" fillId="0" borderId="11" xfId="1" applyNumberFormat="1" applyFont="1" applyFill="1" applyBorder="1" applyAlignment="1" applyProtection="1">
      <alignment horizontal="center" vertical="center" wrapText="1"/>
    </xf>
    <xf numFmtId="0" fontId="28" fillId="0" borderId="42" xfId="0" applyFont="1" applyFill="1" applyBorder="1" applyAlignment="1" applyProtection="1">
      <alignment horizontal="center" vertical="center" wrapText="1"/>
      <protection locked="0"/>
    </xf>
    <xf numFmtId="165" fontId="43" fillId="0" borderId="17" xfId="1" applyNumberFormat="1" applyFont="1" applyFill="1" applyBorder="1" applyAlignment="1" applyProtection="1">
      <alignment horizontal="right" vertical="center"/>
      <protection locked="0"/>
    </xf>
    <xf numFmtId="3" fontId="36" fillId="8" borderId="13" xfId="0" applyNumberFormat="1" applyFont="1" applyFill="1" applyBorder="1" applyAlignment="1" applyProtection="1">
      <alignment horizontal="center" vertical="center"/>
      <protection locked="0"/>
    </xf>
    <xf numFmtId="3" fontId="28" fillId="8" borderId="10" xfId="0" applyNumberFormat="1" applyFont="1" applyFill="1" applyBorder="1" applyAlignment="1" applyProtection="1">
      <alignment horizontal="center" vertical="center"/>
      <protection locked="0"/>
    </xf>
    <xf numFmtId="3" fontId="28" fillId="8" borderId="62" xfId="0" applyNumberFormat="1" applyFont="1" applyFill="1" applyBorder="1" applyAlignment="1" applyProtection="1">
      <alignment horizontal="center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26" xfId="1" applyNumberFormat="1" applyFont="1" applyFill="1" applyBorder="1" applyAlignment="1" applyProtection="1">
      <alignment horizontal="right" vertical="center"/>
    </xf>
    <xf numFmtId="0" fontId="27" fillId="8" borderId="9" xfId="0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horizontal="left" vertical="center" wrapText="1"/>
      <protection locked="0"/>
    </xf>
    <xf numFmtId="165" fontId="43" fillId="8" borderId="37" xfId="1" applyNumberFormat="1" applyFont="1" applyFill="1" applyBorder="1" applyAlignment="1" applyProtection="1">
      <alignment horizontal="right" vertical="center"/>
      <protection locked="0"/>
    </xf>
    <xf numFmtId="4" fontId="28" fillId="8" borderId="70" xfId="1" applyNumberFormat="1" applyFont="1" applyFill="1" applyBorder="1" applyAlignment="1" applyProtection="1">
      <alignment horizontal="right" vertical="center"/>
    </xf>
    <xf numFmtId="4" fontId="30" fillId="8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8" borderId="40" xfId="0" applyNumberFormat="1" applyFont="1" applyFill="1" applyBorder="1" applyAlignment="1" applyProtection="1">
      <alignment horizontal="right" vertical="center"/>
    </xf>
    <xf numFmtId="0" fontId="19" fillId="8" borderId="0" xfId="0" applyFont="1" applyFill="1" applyAlignment="1" applyProtection="1">
      <alignment vertical="center"/>
      <protection locked="0"/>
    </xf>
    <xf numFmtId="4" fontId="41" fillId="8" borderId="25" xfId="0" applyNumberFormat="1" applyFont="1" applyFill="1" applyBorder="1" applyAlignment="1" applyProtection="1">
      <alignment horizontal="center" vertical="center"/>
    </xf>
    <xf numFmtId="165" fontId="43" fillId="8" borderId="12" xfId="1" applyNumberFormat="1" applyFont="1" applyFill="1" applyBorder="1" applyAlignment="1" applyProtection="1">
      <alignment horizontal="right" vertical="center"/>
      <protection locked="0"/>
    </xf>
    <xf numFmtId="4" fontId="43" fillId="8" borderId="36" xfId="0" applyNumberFormat="1" applyFont="1" applyFill="1" applyBorder="1" applyAlignment="1" applyProtection="1">
      <alignment horizontal="right" vertical="center" wrapText="1"/>
      <protection locked="0"/>
    </xf>
    <xf numFmtId="4" fontId="43" fillId="8" borderId="10" xfId="0" applyNumberFormat="1" applyFont="1" applyFill="1" applyBorder="1" applyAlignment="1" applyProtection="1">
      <alignment horizontal="right" vertical="center" wrapText="1"/>
      <protection locked="0"/>
    </xf>
    <xf numFmtId="165" fontId="43" fillId="8" borderId="25" xfId="1" applyNumberFormat="1" applyFont="1" applyFill="1" applyBorder="1" applyAlignment="1" applyProtection="1">
      <alignment horizontal="right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43" fillId="0" borderId="17" xfId="0" applyNumberFormat="1" applyFont="1" applyFill="1" applyBorder="1" applyAlignment="1" applyProtection="1">
      <alignment horizontal="right" vertical="center" wrapText="1"/>
      <protection locked="0"/>
    </xf>
    <xf numFmtId="0" fontId="45" fillId="0" borderId="13" xfId="0" applyFont="1" applyBorder="1" applyAlignment="1">
      <alignment horizontal="left" vertical="center" wrapText="1"/>
    </xf>
    <xf numFmtId="0" fontId="45" fillId="0" borderId="11" xfId="0" applyFont="1" applyBorder="1" applyAlignment="1">
      <alignment horizontal="left" vertical="center" wrapText="1"/>
    </xf>
    <xf numFmtId="0" fontId="44" fillId="8" borderId="37" xfId="0" applyFont="1" applyFill="1" applyBorder="1" applyAlignment="1" applyProtection="1">
      <alignment horizontal="center" vertical="center" wrapText="1"/>
      <protection locked="0"/>
    </xf>
    <xf numFmtId="0" fontId="36" fillId="8" borderId="34" xfId="0" applyFont="1" applyFill="1" applyBorder="1" applyAlignment="1" applyProtection="1">
      <alignment vertical="center"/>
      <protection locked="0"/>
    </xf>
    <xf numFmtId="0" fontId="36" fillId="8" borderId="22" xfId="0" applyFont="1" applyFill="1" applyBorder="1" applyAlignment="1" applyProtection="1">
      <alignment vertical="center"/>
      <protection locked="0"/>
    </xf>
    <xf numFmtId="3" fontId="36" fillId="8" borderId="17" xfId="0" applyNumberFormat="1" applyFont="1" applyFill="1" applyBorder="1" applyAlignment="1" applyProtection="1">
      <alignment horizontal="center" vertical="center"/>
      <protection locked="0"/>
    </xf>
    <xf numFmtId="3" fontId="36" fillId="8" borderId="28" xfId="0" applyNumberFormat="1" applyFont="1" applyFill="1" applyBorder="1" applyAlignment="1" applyProtection="1">
      <alignment horizontal="center" vertical="center"/>
      <protection locked="0"/>
    </xf>
    <xf numFmtId="4" fontId="36" fillId="8" borderId="17" xfId="0" applyNumberFormat="1" applyFont="1" applyFill="1" applyBorder="1" applyAlignment="1" applyProtection="1">
      <alignment horizontal="center" vertical="center"/>
    </xf>
    <xf numFmtId="3" fontId="36" fillId="8" borderId="37" xfId="0" applyNumberFormat="1" applyFont="1" applyFill="1" applyBorder="1" applyAlignment="1" applyProtection="1">
      <alignment horizontal="center" vertical="center"/>
    </xf>
    <xf numFmtId="4" fontId="44" fillId="8" borderId="40" xfId="0" applyNumberFormat="1" applyFont="1" applyFill="1" applyBorder="1" applyAlignment="1" applyProtection="1">
      <alignment horizontal="center" vertical="center"/>
      <protection locked="0"/>
    </xf>
    <xf numFmtId="10" fontId="44" fillId="8" borderId="34" xfId="1" applyNumberFormat="1" applyFont="1" applyFill="1" applyBorder="1" applyAlignment="1" applyProtection="1">
      <alignment horizontal="center" vertical="center"/>
    </xf>
    <xf numFmtId="0" fontId="46" fillId="0" borderId="0" xfId="0" applyFont="1" applyAlignment="1" applyProtection="1">
      <alignment vertical="center"/>
      <protection locked="0"/>
    </xf>
    <xf numFmtId="4" fontId="37" fillId="17" borderId="47" xfId="1" applyNumberFormat="1" applyFont="1" applyFill="1" applyBorder="1" applyAlignment="1" applyProtection="1">
      <alignment horizontal="right" vertical="center"/>
    </xf>
    <xf numFmtId="3" fontId="27" fillId="13" borderId="54" xfId="0" applyNumberFormat="1" applyFont="1" applyFill="1" applyBorder="1" applyAlignment="1" applyProtection="1">
      <alignment horizontal="center" vertical="center"/>
    </xf>
    <xf numFmtId="3" fontId="28" fillId="11" borderId="43" xfId="0" applyNumberFormat="1" applyFont="1" applyFill="1" applyBorder="1" applyAlignment="1" applyProtection="1">
      <alignment horizontal="center" vertical="center"/>
    </xf>
    <xf numFmtId="3" fontId="28" fillId="11" borderId="42" xfId="0" applyNumberFormat="1" applyFont="1" applyFill="1" applyBorder="1" applyAlignment="1" applyProtection="1">
      <alignment horizontal="center" vertical="center"/>
    </xf>
    <xf numFmtId="0" fontId="30" fillId="0" borderId="69" xfId="0" applyFont="1" applyFill="1" applyBorder="1" applyAlignment="1" applyProtection="1">
      <alignment horizontal="left" vertical="center" wrapText="1"/>
      <protection locked="0"/>
    </xf>
    <xf numFmtId="3" fontId="28" fillId="11" borderId="81" xfId="0" applyNumberFormat="1" applyFont="1" applyFill="1" applyBorder="1" applyAlignment="1" applyProtection="1">
      <alignment horizontal="center" vertical="center"/>
    </xf>
    <xf numFmtId="10" fontId="31" fillId="0" borderId="10" xfId="1" applyNumberFormat="1" applyFont="1" applyFill="1" applyBorder="1" applyAlignment="1" applyProtection="1">
      <alignment horizontal="center" vertical="center"/>
    </xf>
    <xf numFmtId="10" fontId="31" fillId="0" borderId="21" xfId="1" applyNumberFormat="1" applyFont="1" applyFill="1" applyBorder="1" applyAlignment="1" applyProtection="1">
      <alignment horizontal="center" vertical="center"/>
    </xf>
    <xf numFmtId="3" fontId="30" fillId="8" borderId="74" xfId="0" applyNumberFormat="1" applyFont="1" applyFill="1" applyBorder="1" applyAlignment="1" applyProtection="1">
      <alignment horizontal="center" vertical="center"/>
      <protection locked="0"/>
    </xf>
    <xf numFmtId="3" fontId="30" fillId="8" borderId="71" xfId="0" applyNumberFormat="1" applyFont="1" applyFill="1" applyBorder="1" applyAlignment="1" applyProtection="1">
      <alignment horizontal="center" vertical="center"/>
      <protection locked="0"/>
    </xf>
    <xf numFmtId="0" fontId="30" fillId="8" borderId="65" xfId="0" applyFont="1" applyFill="1" applyBorder="1" applyAlignment="1" applyProtection="1">
      <alignment vertical="center" wrapText="1"/>
      <protection locked="0"/>
    </xf>
    <xf numFmtId="3" fontId="28" fillId="11" borderId="67" xfId="0" applyNumberFormat="1" applyFont="1" applyFill="1" applyBorder="1" applyAlignment="1" applyProtection="1">
      <alignment horizontal="center" vertical="center"/>
    </xf>
    <xf numFmtId="3" fontId="28" fillId="8" borderId="73" xfId="0" applyNumberFormat="1" applyFont="1" applyFill="1" applyBorder="1" applyAlignment="1" applyProtection="1">
      <alignment horizontal="center" vertical="center"/>
    </xf>
    <xf numFmtId="3" fontId="28" fillId="8" borderId="14" xfId="0" applyNumberFormat="1" applyFont="1" applyFill="1" applyBorder="1" applyAlignment="1" applyProtection="1">
      <alignment horizontal="center" vertical="center"/>
    </xf>
    <xf numFmtId="3" fontId="28" fillId="8" borderId="75" xfId="0" applyNumberFormat="1" applyFont="1" applyFill="1" applyBorder="1" applyAlignment="1" applyProtection="1">
      <alignment horizontal="center" vertical="center"/>
    </xf>
    <xf numFmtId="10" fontId="44" fillId="18" borderId="47" xfId="1" applyNumberFormat="1" applyFont="1" applyFill="1" applyBorder="1" applyAlignment="1" applyProtection="1">
      <alignment horizontal="center" vertical="center"/>
    </xf>
    <xf numFmtId="0" fontId="30" fillId="8" borderId="15" xfId="0" applyFont="1" applyFill="1" applyBorder="1" applyAlignment="1" applyProtection="1">
      <alignment vertical="center" wrapText="1"/>
      <protection locked="0"/>
    </xf>
    <xf numFmtId="0" fontId="30" fillId="8" borderId="8" xfId="0" applyFont="1" applyFill="1" applyBorder="1" applyAlignment="1" applyProtection="1">
      <alignment vertical="center" wrapText="1"/>
      <protection locked="0"/>
    </xf>
    <xf numFmtId="0" fontId="30" fillId="8" borderId="23" xfId="0" applyFont="1" applyFill="1" applyBorder="1" applyAlignment="1" applyProtection="1">
      <alignment vertical="center" wrapText="1"/>
      <protection locked="0"/>
    </xf>
    <xf numFmtId="0" fontId="30" fillId="0" borderId="70" xfId="0" applyFont="1" applyFill="1" applyBorder="1" applyAlignment="1" applyProtection="1">
      <alignment horizontal="left" vertical="center"/>
      <protection locked="0"/>
    </xf>
    <xf numFmtId="0" fontId="30" fillId="0" borderId="69" xfId="0" applyFont="1" applyFill="1" applyBorder="1" applyAlignment="1" applyProtection="1">
      <alignment horizontal="left" vertical="center"/>
      <protection locked="0"/>
    </xf>
    <xf numFmtId="3" fontId="30" fillId="8" borderId="25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  <protection locked="0"/>
    </xf>
    <xf numFmtId="0" fontId="28" fillId="11" borderId="16" xfId="0" applyFont="1" applyFill="1" applyBorder="1" applyAlignment="1" applyProtection="1">
      <alignment vertical="center"/>
      <protection locked="0"/>
    </xf>
    <xf numFmtId="0" fontId="30" fillId="0" borderId="8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23" xfId="0" applyFont="1" applyFill="1" applyBorder="1" applyAlignment="1" applyProtection="1">
      <alignment horizontal="left" vertical="center" wrapText="1"/>
      <protection locked="0"/>
    </xf>
    <xf numFmtId="3" fontId="30" fillId="8" borderId="58" xfId="0" applyNumberFormat="1" applyFont="1" applyFill="1" applyBorder="1" applyAlignment="1" applyProtection="1">
      <alignment horizontal="center" vertical="center"/>
      <protection locked="0"/>
    </xf>
    <xf numFmtId="3" fontId="30" fillId="8" borderId="19" xfId="0" applyNumberFormat="1" applyFont="1" applyFill="1" applyBorder="1" applyAlignment="1" applyProtection="1">
      <alignment horizontal="center" vertical="center"/>
      <protection locked="0"/>
    </xf>
    <xf numFmtId="3" fontId="28" fillId="0" borderId="30" xfId="0" applyNumberFormat="1" applyFont="1" applyFill="1" applyBorder="1" applyAlignment="1" applyProtection="1">
      <alignment horizontal="center" vertical="center"/>
      <protection locked="0"/>
    </xf>
    <xf numFmtId="3" fontId="28" fillId="0" borderId="77" xfId="0" applyNumberFormat="1" applyFont="1" applyFill="1" applyBorder="1" applyAlignment="1" applyProtection="1">
      <alignment horizontal="center" vertical="center"/>
      <protection locked="0"/>
    </xf>
    <xf numFmtId="3" fontId="28" fillId="0" borderId="26" xfId="1" applyNumberFormat="1" applyFont="1" applyFill="1" applyBorder="1" applyAlignment="1" applyProtection="1">
      <alignment horizontal="center" vertical="center"/>
      <protection locked="0"/>
    </xf>
    <xf numFmtId="3" fontId="28" fillId="0" borderId="70" xfId="1" applyNumberFormat="1" applyFont="1" applyFill="1" applyBorder="1" applyAlignment="1" applyProtection="1">
      <alignment horizontal="center" vertical="center"/>
      <protection locked="0"/>
    </xf>
    <xf numFmtId="3" fontId="28" fillId="0" borderId="26" xfId="0" applyNumberFormat="1" applyFont="1" applyFill="1" applyBorder="1" applyAlignment="1" applyProtection="1">
      <alignment horizontal="center" vertical="center"/>
      <protection locked="0"/>
    </xf>
    <xf numFmtId="3" fontId="44" fillId="8" borderId="29" xfId="0" applyNumberFormat="1" applyFont="1" applyFill="1" applyBorder="1" applyAlignment="1" applyProtection="1">
      <alignment horizontal="center" vertical="center"/>
      <protection locked="0"/>
    </xf>
    <xf numFmtId="3" fontId="28" fillId="0" borderId="24" xfId="0" applyNumberFormat="1" applyFont="1" applyFill="1" applyBorder="1" applyAlignment="1" applyProtection="1">
      <alignment horizontal="center" vertical="center"/>
      <protection locked="0"/>
    </xf>
    <xf numFmtId="3" fontId="30" fillId="0" borderId="3" xfId="1" applyNumberFormat="1" applyFont="1" applyFill="1" applyBorder="1" applyAlignment="1" applyProtection="1">
      <alignment horizontal="center" vertical="center"/>
      <protection locked="0"/>
    </xf>
    <xf numFmtId="3" fontId="30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1" xfId="1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horizontal="center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0" fillId="8" borderId="73" xfId="0" applyFont="1" applyFill="1" applyBorder="1" applyAlignment="1" applyProtection="1">
      <alignment vertical="center" wrapText="1"/>
      <protection locked="0"/>
    </xf>
    <xf numFmtId="0" fontId="30" fillId="8" borderId="14" xfId="0" applyFont="1" applyFill="1" applyBorder="1" applyAlignment="1" applyProtection="1">
      <alignment vertical="center" wrapText="1"/>
      <protection locked="0"/>
    </xf>
    <xf numFmtId="0" fontId="30" fillId="8" borderId="75" xfId="0" applyFont="1" applyFill="1" applyBorder="1" applyAlignment="1" applyProtection="1">
      <alignment vertical="center" wrapText="1"/>
      <protection locked="0"/>
    </xf>
    <xf numFmtId="4" fontId="28" fillId="11" borderId="57" xfId="0" applyNumberFormat="1" applyFont="1" applyFill="1" applyBorder="1" applyAlignment="1" applyProtection="1">
      <alignment horizontal="right" vertical="center"/>
      <protection locked="0"/>
    </xf>
    <xf numFmtId="4" fontId="28" fillId="11" borderId="81" xfId="0" applyNumberFormat="1" applyFont="1" applyFill="1" applyBorder="1" applyAlignment="1" applyProtection="1">
      <alignment horizontal="right" vertical="center"/>
      <protection locked="0"/>
    </xf>
    <xf numFmtId="165" fontId="30" fillId="0" borderId="72" xfId="1" applyNumberFormat="1" applyFont="1" applyFill="1" applyBorder="1" applyAlignment="1" applyProtection="1">
      <alignment horizontal="right" vertical="center"/>
      <protection locked="0"/>
    </xf>
    <xf numFmtId="165" fontId="30" fillId="0" borderId="65" xfId="1" applyNumberFormat="1" applyFont="1" applyFill="1" applyBorder="1" applyAlignment="1" applyProtection="1">
      <alignment horizontal="right" vertical="center"/>
      <protection locked="0"/>
    </xf>
    <xf numFmtId="3" fontId="30" fillId="8" borderId="76" xfId="0" applyNumberFormat="1" applyFont="1" applyFill="1" applyBorder="1" applyAlignment="1" applyProtection="1">
      <alignment horizontal="center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</xf>
    <xf numFmtId="4" fontId="28" fillId="8" borderId="2" xfId="0" applyNumberFormat="1" applyFont="1" applyFill="1" applyBorder="1" applyAlignment="1" applyProtection="1">
      <alignment horizontal="right" vertical="center"/>
    </xf>
    <xf numFmtId="4" fontId="28" fillId="8" borderId="10" xfId="0" applyNumberFormat="1" applyFont="1" applyFill="1" applyBorder="1" applyAlignment="1" applyProtection="1">
      <alignment horizontal="right" vertical="center"/>
    </xf>
    <xf numFmtId="4" fontId="28" fillId="8" borderId="21" xfId="0" applyNumberFormat="1" applyFont="1" applyFill="1" applyBorder="1" applyAlignment="1" applyProtection="1">
      <alignment horizontal="right" vertical="center"/>
    </xf>
    <xf numFmtId="4" fontId="28" fillId="8" borderId="74" xfId="0" applyNumberFormat="1" applyFont="1" applyFill="1" applyBorder="1" applyAlignment="1" applyProtection="1">
      <alignment horizontal="right" vertical="center"/>
    </xf>
    <xf numFmtId="4" fontId="28" fillId="8" borderId="62" xfId="0" applyNumberFormat="1" applyFont="1" applyFill="1" applyBorder="1" applyAlignment="1" applyProtection="1">
      <alignment horizontal="right" vertical="center"/>
    </xf>
    <xf numFmtId="4" fontId="28" fillId="0" borderId="71" xfId="1" applyNumberFormat="1" applyFont="1" applyFill="1" applyBorder="1" applyAlignment="1" applyProtection="1">
      <alignment horizontal="right" vertical="center"/>
    </xf>
    <xf numFmtId="4" fontId="30" fillId="8" borderId="72" xfId="0" applyNumberFormat="1" applyFont="1" applyFill="1" applyBorder="1" applyAlignment="1" applyProtection="1">
      <alignment horizontal="right" vertical="center"/>
      <protection locked="0"/>
    </xf>
    <xf numFmtId="4" fontId="30" fillId="8" borderId="65" xfId="0" applyNumberFormat="1" applyFont="1" applyFill="1" applyBorder="1" applyAlignment="1" applyProtection="1">
      <alignment horizontal="right" vertical="center"/>
      <protection locked="0"/>
    </xf>
    <xf numFmtId="4" fontId="30" fillId="0" borderId="76" xfId="0" applyNumberFormat="1" applyFont="1" applyFill="1" applyBorder="1" applyAlignment="1" applyProtection="1">
      <alignment horizontal="right" vertical="center" wrapText="1"/>
      <protection locked="0"/>
    </xf>
    <xf numFmtId="4" fontId="28" fillId="11" borderId="55" xfId="0" applyNumberFormat="1" applyFont="1" applyFill="1" applyBorder="1" applyAlignment="1" applyProtection="1">
      <alignment horizontal="right" vertical="center"/>
    </xf>
    <xf numFmtId="4" fontId="28" fillId="0" borderId="21" xfId="0" applyNumberFormat="1" applyFont="1" applyFill="1" applyBorder="1" applyAlignment="1" applyProtection="1">
      <alignment horizontal="right" vertical="center"/>
    </xf>
    <xf numFmtId="4" fontId="28" fillId="0" borderId="18" xfId="0" applyNumberFormat="1" applyFont="1" applyFill="1" applyBorder="1" applyAlignment="1" applyProtection="1">
      <alignment horizontal="right" vertical="center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76" xfId="0" applyFont="1" applyFill="1" applyBorder="1" applyAlignment="1" applyProtection="1">
      <alignment vertical="center" wrapText="1"/>
      <protection locked="0"/>
    </xf>
    <xf numFmtId="0" fontId="36" fillId="0" borderId="33" xfId="0" applyFont="1" applyBorder="1"/>
    <xf numFmtId="0" fontId="36" fillId="0" borderId="29" xfId="0" applyFont="1" applyBorder="1"/>
    <xf numFmtId="0" fontId="36" fillId="0" borderId="23" xfId="0" applyFont="1" applyBorder="1"/>
    <xf numFmtId="4" fontId="43" fillId="0" borderId="25" xfId="1" applyNumberFormat="1" applyFont="1" applyFill="1" applyBorder="1" applyAlignment="1" applyProtection="1">
      <alignment horizontal="right" vertical="center"/>
      <protection locked="0"/>
    </xf>
    <xf numFmtId="4" fontId="43" fillId="0" borderId="37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36" fillId="0" borderId="28" xfId="0" applyNumberFormat="1" applyFont="1" applyFill="1" applyBorder="1" applyAlignment="1" applyProtection="1">
      <alignment horizontal="center" vertical="center"/>
      <protection locked="0"/>
    </xf>
    <xf numFmtId="3" fontId="36" fillId="8" borderId="11" xfId="0" applyNumberFormat="1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165" fontId="36" fillId="0" borderId="37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30" fillId="19" borderId="17" xfId="0" applyNumberFormat="1" applyFont="1" applyFill="1" applyBorder="1" applyAlignment="1" applyProtection="1">
      <alignment horizontal="center" vertical="center"/>
      <protection locked="0"/>
    </xf>
    <xf numFmtId="3" fontId="30" fillId="19" borderId="28" xfId="0" applyNumberFormat="1" applyFont="1" applyFill="1" applyBorder="1" applyAlignment="1" applyProtection="1">
      <alignment horizontal="center" vertical="center"/>
      <protection locked="0"/>
    </xf>
    <xf numFmtId="4" fontId="30" fillId="19" borderId="17" xfId="0" applyNumberFormat="1" applyFont="1" applyFill="1" applyBorder="1" applyAlignment="1" applyProtection="1">
      <alignment horizontal="center" vertical="center"/>
    </xf>
    <xf numFmtId="0" fontId="28" fillId="16" borderId="43" xfId="0" applyFont="1" applyFill="1" applyBorder="1" applyAlignment="1" applyProtection="1">
      <alignment horizontal="center" vertical="center" wrapText="1"/>
      <protection locked="0"/>
    </xf>
    <xf numFmtId="0" fontId="28" fillId="16" borderId="61" xfId="0" applyFont="1" applyFill="1" applyBorder="1" applyAlignment="1" applyProtection="1">
      <alignment horizontal="center" vertical="center" wrapText="1"/>
      <protection locked="0"/>
    </xf>
    <xf numFmtId="0" fontId="28" fillId="16" borderId="44" xfId="0" applyFont="1" applyFill="1" applyBorder="1" applyAlignment="1" applyProtection="1">
      <alignment horizontal="center" vertical="center" wrapText="1"/>
      <protection locked="0"/>
    </xf>
    <xf numFmtId="0" fontId="28" fillId="8" borderId="25" xfId="0" applyFont="1" applyFill="1" applyBorder="1" applyAlignment="1" applyProtection="1">
      <alignment horizontal="center" vertical="center" wrapText="1"/>
      <protection locked="0"/>
    </xf>
    <xf numFmtId="0" fontId="28" fillId="8" borderId="12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11" borderId="45" xfId="0" applyFont="1" applyFill="1" applyBorder="1" applyAlignment="1" applyProtection="1">
      <alignment horizontal="center" vertical="center" wrapText="1"/>
      <protection locked="0"/>
    </xf>
    <xf numFmtId="0" fontId="28" fillId="11" borderId="61" xfId="0" applyFont="1" applyFill="1" applyBorder="1" applyAlignment="1" applyProtection="1">
      <alignment horizontal="center" vertical="center" wrapText="1"/>
      <protection locked="0"/>
    </xf>
    <xf numFmtId="0" fontId="28" fillId="11" borderId="47" xfId="0" applyFont="1" applyFill="1" applyBorder="1" applyAlignment="1" applyProtection="1">
      <alignment horizontal="center" vertical="center" wrapText="1"/>
      <protection locked="0"/>
    </xf>
    <xf numFmtId="0" fontId="28" fillId="8" borderId="22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9" borderId="45" xfId="0" applyFont="1" applyFill="1" applyBorder="1" applyAlignment="1" applyProtection="1">
      <alignment horizontal="center" vertical="center"/>
      <protection locked="0"/>
    </xf>
    <xf numFmtId="0" fontId="28" fillId="9" borderId="61" xfId="0" applyFont="1" applyFill="1" applyBorder="1" applyAlignment="1" applyProtection="1">
      <alignment horizontal="center" vertical="center"/>
      <protection locked="0"/>
    </xf>
    <xf numFmtId="0" fontId="28" fillId="9" borderId="47" xfId="0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7" fillId="13" borderId="47" xfId="0" applyFont="1" applyFill="1" applyBorder="1" applyAlignment="1" applyProtection="1">
      <alignment horizontal="center" vertical="center" wrapText="1"/>
      <protection locked="0"/>
    </xf>
    <xf numFmtId="0" fontId="27" fillId="13" borderId="45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27" fillId="13" borderId="47" xfId="0" applyFont="1" applyFill="1" applyBorder="1" applyAlignment="1" applyProtection="1">
      <alignment horizontal="center" vertical="center"/>
      <protection locked="0"/>
    </xf>
    <xf numFmtId="0" fontId="32" fillId="14" borderId="48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32" fillId="14" borderId="63" xfId="0" applyFont="1" applyFill="1" applyBorder="1" applyAlignment="1" applyProtection="1">
      <alignment horizontal="center" vertical="center"/>
      <protection locked="0"/>
    </xf>
    <xf numFmtId="0" fontId="28" fillId="11" borderId="45" xfId="0" applyFont="1" applyFill="1" applyBorder="1" applyAlignment="1" applyProtection="1">
      <alignment horizontal="center" vertical="center"/>
      <protection locked="0"/>
    </xf>
    <xf numFmtId="0" fontId="28" fillId="11" borderId="61" xfId="0" applyFont="1" applyFill="1" applyBorder="1" applyAlignment="1" applyProtection="1">
      <alignment horizontal="center" vertical="center"/>
      <protection locked="0"/>
    </xf>
    <xf numFmtId="0" fontId="28" fillId="11" borderId="47" xfId="0" applyFont="1" applyFill="1" applyBorder="1" applyAlignment="1" applyProtection="1">
      <alignment horizontal="center" vertical="center"/>
      <protection locked="0"/>
    </xf>
    <xf numFmtId="0" fontId="28" fillId="16" borderId="51" xfId="0" applyFont="1" applyFill="1" applyBorder="1" applyAlignment="1" applyProtection="1">
      <alignment horizontal="center" vertical="center" wrapText="1"/>
      <protection locked="0"/>
    </xf>
    <xf numFmtId="0" fontId="28" fillId="8" borderId="68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8" fillId="0" borderId="12" xfId="0" applyFont="1" applyFill="1" applyBorder="1" applyAlignment="1" applyProtection="1">
      <alignment horizontal="center" vertical="center" wrapText="1"/>
      <protection locked="0"/>
    </xf>
    <xf numFmtId="0" fontId="28" fillId="0" borderId="37" xfId="0" applyFont="1" applyFill="1" applyBorder="1" applyAlignment="1" applyProtection="1">
      <alignment horizontal="center" vertical="center" wrapText="1"/>
      <protection locked="0"/>
    </xf>
    <xf numFmtId="0" fontId="28" fillId="11" borderId="83" xfId="0" applyFont="1" applyFill="1" applyBorder="1" applyAlignment="1" applyProtection="1">
      <alignment horizontal="center" vertical="center" wrapText="1"/>
      <protection locked="0"/>
    </xf>
    <xf numFmtId="0" fontId="28" fillId="11" borderId="27" xfId="0" applyFont="1" applyFill="1" applyBorder="1" applyAlignment="1" applyProtection="1">
      <alignment horizontal="center" vertical="center" wrapText="1"/>
      <protection locked="0"/>
    </xf>
    <xf numFmtId="0" fontId="28" fillId="0" borderId="57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8" fillId="0" borderId="60" xfId="0" applyFont="1" applyFill="1" applyBorder="1" applyAlignment="1" applyProtection="1">
      <alignment horizontal="center" vertical="center" wrapText="1"/>
      <protection locked="0"/>
    </xf>
    <xf numFmtId="0" fontId="28" fillId="11" borderId="48" xfId="0" applyFont="1" applyFill="1" applyBorder="1" applyAlignment="1" applyProtection="1">
      <alignment horizontal="center" vertical="center" wrapText="1"/>
      <protection locked="0"/>
    </xf>
    <xf numFmtId="0" fontId="28" fillId="11" borderId="49" xfId="0" applyFont="1" applyFill="1" applyBorder="1" applyAlignment="1" applyProtection="1">
      <alignment horizontal="center" vertical="center" wrapText="1"/>
      <protection locked="0"/>
    </xf>
    <xf numFmtId="0" fontId="28" fillId="11" borderId="55" xfId="0" applyFont="1" applyFill="1" applyBorder="1" applyAlignment="1" applyProtection="1">
      <alignment horizontal="center" vertical="center" wrapText="1"/>
      <protection locked="0"/>
    </xf>
    <xf numFmtId="0" fontId="28" fillId="11" borderId="44" xfId="0" applyFont="1" applyFill="1" applyBorder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/>
      <protection locked="0"/>
    </xf>
    <xf numFmtId="0" fontId="28" fillId="12" borderId="8" xfId="0" applyFont="1" applyFill="1" applyBorder="1" applyAlignment="1" applyProtection="1">
      <alignment horizontal="center" vertical="center" wrapText="1"/>
      <protection locked="0"/>
    </xf>
    <xf numFmtId="0" fontId="28" fillId="12" borderId="15" xfId="0" applyFont="1" applyFill="1" applyBorder="1" applyAlignment="1" applyProtection="1">
      <alignment horizontal="center" vertical="center" wrapText="1"/>
      <protection locked="0"/>
    </xf>
    <xf numFmtId="0" fontId="28" fillId="12" borderId="33" xfId="0" applyFont="1" applyFill="1" applyBorder="1" applyAlignment="1" applyProtection="1">
      <alignment horizontal="center" vertical="center" wrapText="1"/>
      <protection locked="0"/>
    </xf>
    <xf numFmtId="0" fontId="28" fillId="12" borderId="2" xfId="0" applyFont="1" applyFill="1" applyBorder="1" applyAlignment="1" applyProtection="1">
      <alignment horizontal="center" vertical="center" wrapText="1"/>
      <protection locked="0"/>
    </xf>
    <xf numFmtId="0" fontId="28" fillId="12" borderId="10" xfId="0" applyFont="1" applyFill="1" applyBorder="1" applyAlignment="1" applyProtection="1">
      <alignment horizontal="center" vertical="center" wrapText="1"/>
      <protection locked="0"/>
    </xf>
    <xf numFmtId="0" fontId="28" fillId="12" borderId="21" xfId="0" applyFont="1" applyFill="1" applyBorder="1" applyAlignment="1" applyProtection="1">
      <alignment horizontal="center" vertical="center" wrapText="1"/>
      <protection locked="0"/>
    </xf>
    <xf numFmtId="0" fontId="28" fillId="12" borderId="3" xfId="0" applyFont="1" applyFill="1" applyBorder="1" applyAlignment="1" applyProtection="1">
      <alignment horizontal="center" vertical="center" wrapText="1"/>
      <protection locked="0"/>
    </xf>
    <xf numFmtId="0" fontId="28" fillId="12" borderId="11" xfId="0" applyFont="1" applyFill="1" applyBorder="1" applyAlignment="1" applyProtection="1">
      <alignment horizontal="center" vertical="center" wrapText="1"/>
      <protection locked="0"/>
    </xf>
    <xf numFmtId="0" fontId="28" fillId="12" borderId="18" xfId="0" applyFont="1" applyFill="1" applyBorder="1" applyAlignment="1" applyProtection="1">
      <alignment horizontal="center" vertical="center" wrapText="1"/>
      <protection locked="0"/>
    </xf>
    <xf numFmtId="0" fontId="28" fillId="12" borderId="72" xfId="0" applyFont="1" applyFill="1" applyBorder="1" applyAlignment="1" applyProtection="1">
      <alignment horizontal="center" vertical="center" wrapText="1"/>
      <protection locked="0"/>
    </xf>
    <xf numFmtId="0" fontId="28" fillId="12" borderId="73" xfId="0" applyFont="1" applyFill="1" applyBorder="1" applyAlignment="1" applyProtection="1">
      <alignment horizontal="center" vertical="center" wrapText="1"/>
      <protection locked="0"/>
    </xf>
    <xf numFmtId="0" fontId="28" fillId="12" borderId="24" xfId="0" applyFont="1" applyFill="1" applyBorder="1" applyAlignment="1" applyProtection="1">
      <alignment horizontal="center" vertical="center" wrapText="1"/>
      <protection locked="0"/>
    </xf>
    <xf numFmtId="3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1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3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7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4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34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5" xfId="1" applyNumberFormat="1" applyFont="1" applyFill="1" applyBorder="1" applyAlignment="1" applyProtection="1">
      <alignment horizontal="center" vertical="center" wrapText="1"/>
      <protection locked="0"/>
    </xf>
    <xf numFmtId="0" fontId="28" fillId="12" borderId="17" xfId="0" applyFont="1" applyFill="1" applyBorder="1" applyAlignment="1" applyProtection="1">
      <alignment horizontal="center" vertical="center" wrapText="1"/>
      <protection locked="0"/>
    </xf>
    <xf numFmtId="0" fontId="28" fillId="12" borderId="34" xfId="0" applyFont="1" applyFill="1" applyBorder="1" applyAlignment="1" applyProtection="1">
      <alignment horizontal="center" vertical="center" wrapText="1"/>
      <protection locked="0"/>
    </xf>
    <xf numFmtId="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3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76" xfId="0" applyNumberFormat="1" applyFont="1" applyFill="1" applyBorder="1" applyAlignment="1" applyProtection="1">
      <alignment horizontal="center" vertical="center" wrapText="1"/>
    </xf>
    <xf numFmtId="14" fontId="29" fillId="12" borderId="75" xfId="0" applyNumberFormat="1" applyFont="1" applyFill="1" applyBorder="1" applyAlignment="1" applyProtection="1">
      <alignment horizontal="center" vertical="center" wrapText="1"/>
    </xf>
    <xf numFmtId="14" fontId="29" fillId="12" borderId="77" xfId="0" applyNumberFormat="1" applyFont="1" applyFill="1" applyBorder="1" applyAlignment="1" applyProtection="1">
      <alignment horizontal="center" vertical="center" wrapText="1"/>
    </xf>
    <xf numFmtId="0" fontId="28" fillId="11" borderId="43" xfId="0" applyFont="1" applyFill="1" applyBorder="1" applyAlignment="1" applyProtection="1">
      <alignment horizontal="center" vertical="center" wrapText="1"/>
      <protection locked="0"/>
    </xf>
    <xf numFmtId="0" fontId="28" fillId="11" borderId="56" xfId="0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center" vertical="center" wrapText="1"/>
      <protection locked="0"/>
    </xf>
    <xf numFmtId="0" fontId="27" fillId="13" borderId="44" xfId="0" applyFont="1" applyFill="1" applyBorder="1" applyAlignment="1" applyProtection="1">
      <alignment horizontal="center" vertical="center" wrapText="1"/>
      <protection locked="0"/>
    </xf>
    <xf numFmtId="0" fontId="28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4" fontId="28" fillId="12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1" xfId="0" applyFont="1" applyFill="1" applyBorder="1" applyAlignment="1" applyProtection="1">
      <alignment horizontal="center" vertical="center" wrapText="1"/>
      <protection locked="0"/>
    </xf>
    <xf numFmtId="0" fontId="28" fillId="12" borderId="9" xfId="0" applyFont="1" applyFill="1" applyBorder="1" applyAlignment="1" applyProtection="1">
      <alignment horizontal="center" vertical="center" wrapText="1"/>
      <protection locked="0"/>
    </xf>
    <xf numFmtId="0" fontId="28" fillId="12" borderId="16" xfId="0" applyFont="1" applyFill="1" applyBorder="1" applyAlignment="1" applyProtection="1">
      <alignment horizontal="center" vertical="center" wrapText="1"/>
      <protection locked="0"/>
    </xf>
    <xf numFmtId="0" fontId="28" fillId="12" borderId="50" xfId="0" applyFont="1" applyFill="1" applyBorder="1" applyAlignment="1" applyProtection="1">
      <alignment horizontal="center" vertical="center" wrapText="1"/>
      <protection locked="0"/>
    </xf>
    <xf numFmtId="0" fontId="28" fillId="12" borderId="35" xfId="0" applyFont="1" applyFill="1" applyBorder="1" applyAlignment="1" applyProtection="1">
      <alignment horizontal="center" vertical="center" wrapText="1"/>
      <protection locked="0"/>
    </xf>
    <xf numFmtId="0" fontId="28" fillId="12" borderId="41" xfId="0" applyFont="1" applyFill="1" applyBorder="1" applyAlignment="1" applyProtection="1">
      <alignment horizontal="center" vertical="center" wrapText="1"/>
      <protection locked="0"/>
    </xf>
    <xf numFmtId="0" fontId="28" fillId="12" borderId="27" xfId="0" applyFont="1" applyFill="1" applyBorder="1" applyAlignment="1" applyProtection="1">
      <alignment horizontal="center" vertical="center" wrapText="1"/>
      <protection locked="0"/>
    </xf>
    <xf numFmtId="0" fontId="28" fillId="12" borderId="31" xfId="0" applyFont="1" applyFill="1" applyBorder="1" applyAlignment="1" applyProtection="1">
      <alignment horizontal="center" vertical="center" wrapText="1"/>
      <protection locked="0"/>
    </xf>
    <xf numFmtId="0" fontId="28" fillId="12" borderId="55" xfId="0" applyFont="1" applyFill="1" applyBorder="1" applyAlignment="1" applyProtection="1">
      <alignment horizontal="center" vertical="center" wrapText="1"/>
      <protection locked="0"/>
    </xf>
    <xf numFmtId="0" fontId="32" fillId="14" borderId="43" xfId="0" applyFont="1" applyFill="1" applyBorder="1" applyAlignment="1" applyProtection="1">
      <alignment horizontal="center" vertical="center"/>
      <protection locked="0"/>
    </xf>
    <xf numFmtId="0" fontId="32" fillId="14" borderId="82" xfId="0" applyFont="1" applyFill="1" applyBorder="1" applyAlignment="1" applyProtection="1">
      <alignment horizontal="center" vertical="center"/>
      <protection locked="0"/>
    </xf>
    <xf numFmtId="0" fontId="27" fillId="13" borderId="43" xfId="0" applyFont="1" applyFill="1" applyBorder="1" applyAlignment="1" applyProtection="1">
      <alignment horizontal="right" vertical="center" wrapText="1"/>
      <protection locked="0"/>
    </xf>
    <xf numFmtId="0" fontId="27" fillId="13" borderId="45" xfId="0" applyFont="1" applyFill="1" applyBorder="1" applyAlignment="1" applyProtection="1">
      <alignment horizontal="right" vertical="center" wrapText="1"/>
      <protection locked="0"/>
    </xf>
    <xf numFmtId="0" fontId="32" fillId="14" borderId="43" xfId="0" applyFont="1" applyFill="1" applyBorder="1" applyAlignment="1" applyProtection="1">
      <alignment horizontal="right" vertical="center"/>
      <protection locked="0"/>
    </xf>
    <xf numFmtId="0" fontId="32" fillId="14" borderId="45" xfId="0" applyFont="1" applyFill="1" applyBorder="1" applyAlignment="1" applyProtection="1">
      <alignment horizontal="right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12" borderId="29" xfId="0" applyFont="1" applyFill="1" applyBorder="1" applyAlignment="1" applyProtection="1">
      <alignment horizontal="center" vertical="center" wrapText="1"/>
      <protection locked="0"/>
    </xf>
    <xf numFmtId="0" fontId="28" fillId="12" borderId="36" xfId="0" applyFont="1" applyFill="1" applyBorder="1" applyAlignment="1" applyProtection="1">
      <alignment horizontal="center" vertical="center" wrapText="1"/>
      <protection locked="0"/>
    </xf>
    <xf numFmtId="0" fontId="28" fillId="12" borderId="74" xfId="0" applyFont="1" applyFill="1" applyBorder="1" applyAlignment="1" applyProtection="1">
      <alignment horizontal="center" vertical="center" wrapText="1"/>
      <protection locked="0"/>
    </xf>
    <xf numFmtId="0" fontId="28" fillId="12" borderId="70" xfId="0" applyFont="1" applyFill="1" applyBorder="1" applyAlignment="1" applyProtection="1">
      <alignment horizontal="center" vertical="center" wrapText="1"/>
      <protection locked="0"/>
    </xf>
    <xf numFmtId="0" fontId="28" fillId="12" borderId="62" xfId="0" applyFont="1" applyFill="1" applyBorder="1" applyAlignment="1" applyProtection="1">
      <alignment horizontal="center" vertical="center" wrapText="1"/>
      <protection locked="0"/>
    </xf>
    <xf numFmtId="0" fontId="28" fillId="12" borderId="71" xfId="0" applyFont="1" applyFill="1" applyBorder="1" applyAlignment="1" applyProtection="1">
      <alignment horizontal="center" vertical="center" wrapText="1"/>
      <protection locked="0"/>
    </xf>
    <xf numFmtId="1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65" xfId="0" applyFont="1" applyFill="1" applyBorder="1" applyAlignment="1" applyProtection="1">
      <alignment horizontal="center" vertical="center" wrapText="1"/>
      <protection locked="0"/>
    </xf>
    <xf numFmtId="0" fontId="28" fillId="12" borderId="30" xfId="0" applyFont="1" applyFill="1" applyBorder="1" applyAlignment="1" applyProtection="1">
      <alignment horizontal="center" vertical="center" wrapText="1"/>
      <protection locked="0"/>
    </xf>
    <xf numFmtId="0" fontId="28" fillId="12" borderId="14" xfId="0" applyFont="1" applyFill="1" applyBorder="1" applyAlignment="1" applyProtection="1">
      <alignment horizontal="center" vertical="center" wrapText="1"/>
      <protection locked="0"/>
    </xf>
    <xf numFmtId="3" fontId="28" fillId="12" borderId="3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53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6" xfId="1" applyNumberFormat="1" applyFont="1" applyFill="1" applyBorder="1" applyAlignment="1" applyProtection="1">
      <alignment horizontal="center" vertical="center" wrapText="1"/>
      <protection locked="0"/>
    </xf>
    <xf numFmtId="0" fontId="28" fillId="12" borderId="28" xfId="0" applyFont="1" applyFill="1" applyBorder="1" applyAlignment="1" applyProtection="1">
      <alignment horizontal="center" vertical="center" wrapText="1"/>
      <protection locked="0"/>
    </xf>
    <xf numFmtId="0" fontId="42" fillId="12" borderId="72" xfId="0" applyFont="1" applyFill="1" applyBorder="1" applyAlignment="1" applyProtection="1">
      <alignment horizontal="center" vertical="center" wrapText="1"/>
      <protection locked="0"/>
    </xf>
    <xf numFmtId="0" fontId="42" fillId="12" borderId="73" xfId="0" applyFont="1" applyFill="1" applyBorder="1" applyAlignment="1" applyProtection="1">
      <alignment horizontal="center" vertical="center" wrapText="1"/>
      <protection locked="0"/>
    </xf>
    <xf numFmtId="0" fontId="42" fillId="12" borderId="24" xfId="0" applyFont="1" applyFill="1" applyBorder="1" applyAlignment="1" applyProtection="1">
      <alignment horizontal="center" vertical="center" wrapText="1"/>
      <protection locked="0"/>
    </xf>
    <xf numFmtId="0" fontId="42" fillId="12" borderId="1" xfId="0" applyFont="1" applyFill="1" applyBorder="1" applyAlignment="1" applyProtection="1">
      <alignment horizontal="center" vertical="center" wrapText="1"/>
      <protection locked="0"/>
    </xf>
    <xf numFmtId="0" fontId="42" fillId="12" borderId="9" xfId="0" applyFont="1" applyFill="1" applyBorder="1" applyAlignment="1" applyProtection="1">
      <alignment horizontal="center" vertical="center" wrapText="1"/>
      <protection locked="0"/>
    </xf>
    <xf numFmtId="0" fontId="42" fillId="12" borderId="16" xfId="0" applyFont="1" applyFill="1" applyBorder="1" applyAlignment="1" applyProtection="1">
      <alignment horizontal="center" vertical="center" wrapText="1"/>
      <protection locked="0"/>
    </xf>
    <xf numFmtId="0" fontId="42" fillId="12" borderId="65" xfId="0" applyFont="1" applyFill="1" applyBorder="1" applyAlignment="1" applyProtection="1">
      <alignment horizontal="center" vertical="center" wrapText="1"/>
      <protection locked="0"/>
    </xf>
    <xf numFmtId="0" fontId="42" fillId="12" borderId="14" xfId="0" applyFont="1" applyFill="1" applyBorder="1" applyAlignment="1" applyProtection="1">
      <alignment horizontal="center" vertical="center" wrapText="1"/>
      <protection locked="0"/>
    </xf>
    <xf numFmtId="0" fontId="42" fillId="12" borderId="30" xfId="0" applyFont="1" applyFill="1" applyBorder="1" applyAlignment="1" applyProtection="1">
      <alignment horizontal="center" vertical="center" wrapText="1"/>
      <protection locked="0"/>
    </xf>
    <xf numFmtId="3" fontId="42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9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7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6" xfId="1" applyNumberFormat="1" applyFont="1" applyFill="1" applyBorder="1" applyAlignment="1" applyProtection="1">
      <alignment horizontal="center" vertical="center" wrapText="1"/>
      <protection locked="0"/>
    </xf>
    <xf numFmtId="0" fontId="2" fillId="10" borderId="43" xfId="0" applyFont="1" applyFill="1" applyBorder="1" applyAlignment="1">
      <alignment horizontal="center"/>
    </xf>
    <xf numFmtId="0" fontId="2" fillId="10" borderId="61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45"/>
    </xf>
    <xf numFmtId="0" fontId="6" fillId="0" borderId="9" xfId="0" applyFont="1" applyBorder="1" applyAlignment="1">
      <alignment horizontal="center" vertical="center" textRotation="45"/>
    </xf>
    <xf numFmtId="0" fontId="6" fillId="0" borderId="16" xfId="0" applyFont="1" applyBorder="1" applyAlignment="1">
      <alignment horizontal="center" vertical="center" textRotation="45"/>
    </xf>
    <xf numFmtId="0" fontId="10" fillId="0" borderId="7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0" fillId="0" borderId="53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2" fillId="0" borderId="43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2" fillId="0" borderId="9" xfId="0" applyFont="1" applyBorder="1" applyAlignment="1">
      <alignment horizontal="center" vertical="center" textRotation="45"/>
    </xf>
    <xf numFmtId="0" fontId="14" fillId="0" borderId="2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textRotation="45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3" fontId="11" fillId="0" borderId="16" xfId="0" applyNumberFormat="1" applyFont="1" applyFill="1" applyBorder="1" applyAlignment="1">
      <alignment horizontal="center" vertical="center" wrapText="1"/>
    </xf>
    <xf numFmtId="0" fontId="10" fillId="0" borderId="57" xfId="0" applyFont="1" applyFill="1" applyBorder="1" applyAlignment="1">
      <alignment horizontal="left" vertical="center"/>
    </xf>
    <xf numFmtId="0" fontId="10" fillId="0" borderId="59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Normal 3" xfId="2"/>
    <cellStyle name="Normal 4" xfId="3"/>
    <cellStyle name="Pourcentage" xfId="1" builtinId="5"/>
  </cellStyles>
  <dxfs count="32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colors>
    <mruColors>
      <color rgb="FF000000"/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0</xdr:rowOff>
    </xdr:from>
    <xdr:to>
      <xdr:col>11</xdr:col>
      <xdr:colOff>1112472</xdr:colOff>
      <xdr:row>5</xdr:row>
      <xdr:rowOff>487362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0426366" cy="13065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147634</xdr:colOff>
      <xdr:row>0</xdr:row>
      <xdr:rowOff>0</xdr:rowOff>
    </xdr:from>
    <xdr:ext cx="19759616" cy="1581150"/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4" y="0"/>
          <a:ext cx="19759616" cy="158115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71435</xdr:colOff>
      <xdr:row>0</xdr:row>
      <xdr:rowOff>103188</xdr:rowOff>
    </xdr:from>
    <xdr:to>
      <xdr:col>9</xdr:col>
      <xdr:colOff>523240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5" y="103188"/>
          <a:ext cx="20578765" cy="13446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18</xdr:col>
      <xdr:colOff>400050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6690006" cy="137509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300034</xdr:colOff>
      <xdr:row>0</xdr:row>
      <xdr:rowOff>122238</xdr:rowOff>
    </xdr:from>
    <xdr:to>
      <xdr:col>8</xdr:col>
      <xdr:colOff>1885950</xdr:colOff>
      <xdr:row>6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4" y="122238"/>
          <a:ext cx="18407066" cy="12684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19844</xdr:colOff>
      <xdr:row>6</xdr:row>
      <xdr:rowOff>277812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31563" cy="158750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33334</xdr:colOff>
      <xdr:row>0</xdr:row>
      <xdr:rowOff>46038</xdr:rowOff>
    </xdr:from>
    <xdr:to>
      <xdr:col>19</xdr:col>
      <xdr:colOff>838200</xdr:colOff>
      <xdr:row>6</xdr:row>
      <xdr:rowOff>323850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4" y="46038"/>
          <a:ext cx="28122566" cy="15351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19</xdr:col>
      <xdr:colOff>1466850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8827416" cy="132937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0</xdr:row>
      <xdr:rowOff>0</xdr:rowOff>
    </xdr:from>
    <xdr:to>
      <xdr:col>16</xdr:col>
      <xdr:colOff>504825</xdr:colOff>
      <xdr:row>9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0"/>
          <a:ext cx="12696826" cy="1895475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6:O719"/>
  <sheetViews>
    <sheetView view="pageBreakPreview" topLeftCell="A595" zoomScale="51" zoomScaleNormal="30" zoomScaleSheetLayoutView="51" workbookViewId="0">
      <selection activeCell="C604" sqref="C604:D604"/>
    </sheetView>
  </sheetViews>
  <sheetFormatPr baseColWidth="10" defaultColWidth="9.140625" defaultRowHeight="16.5" x14ac:dyDescent="0.25"/>
  <cols>
    <col min="1" max="1" width="10.140625" style="229" customWidth="1"/>
    <col min="2" max="2" width="18.7109375" style="266" customWidth="1"/>
    <col min="3" max="3" width="85.5703125" style="266" customWidth="1"/>
    <col min="4" max="4" width="34.7109375" style="229" customWidth="1"/>
    <col min="5" max="5" width="21.85546875" style="222" customWidth="1"/>
    <col min="6" max="6" width="22" style="222" customWidth="1"/>
    <col min="7" max="7" width="19.85546875" style="223" customWidth="1"/>
    <col min="8" max="8" width="16.140625" style="222" customWidth="1"/>
    <col min="9" max="9" width="15.7109375" style="222" customWidth="1"/>
    <col min="10" max="10" width="16.140625" style="224" customWidth="1"/>
    <col min="11" max="11" width="19.85546875" style="223" customWidth="1"/>
    <col min="12" max="12" width="23.85546875" style="222" customWidth="1"/>
    <col min="13" max="13" width="15.7109375" style="222" customWidth="1"/>
    <col min="14" max="14" width="17" style="224" customWidth="1"/>
    <col min="15" max="15" width="16.42578125" style="224" customWidth="1"/>
    <col min="16" max="16384" width="9.140625" style="229"/>
  </cols>
  <sheetData>
    <row r="6" spans="1:15" ht="67.150000000000006" customHeight="1" x14ac:dyDescent="0.25">
      <c r="A6" s="220" t="s">
        <v>0</v>
      </c>
    </row>
    <row r="8" spans="1:15" ht="81" customHeight="1" x14ac:dyDescent="0.25">
      <c r="A8" s="879" t="s">
        <v>491</v>
      </c>
      <c r="B8" s="880"/>
      <c r="C8" s="880"/>
      <c r="D8" s="880"/>
      <c r="E8" s="880"/>
      <c r="F8" s="880"/>
      <c r="G8" s="880"/>
      <c r="H8" s="880"/>
      <c r="I8" s="880"/>
      <c r="J8" s="880"/>
      <c r="K8" s="880"/>
      <c r="L8" s="880"/>
      <c r="M8" s="880"/>
      <c r="N8" s="880"/>
      <c r="O8" s="880"/>
    </row>
    <row r="9" spans="1:15" ht="24.6" customHeight="1" thickBot="1" x14ac:dyDescent="0.3">
      <c r="A9" s="230"/>
      <c r="B9" s="230"/>
      <c r="C9" s="230"/>
      <c r="D9" s="230"/>
      <c r="E9" s="232"/>
      <c r="F9" s="232"/>
      <c r="G9" s="451"/>
      <c r="H9" s="452"/>
      <c r="I9" s="452"/>
      <c r="J9" s="452"/>
      <c r="K9" s="232"/>
      <c r="L9" s="232"/>
      <c r="M9" s="232"/>
      <c r="N9" s="234"/>
      <c r="O9" s="234"/>
    </row>
    <row r="10" spans="1:15" ht="22.5" x14ac:dyDescent="0.25">
      <c r="A10" s="881" t="s">
        <v>1</v>
      </c>
      <c r="B10" s="884" t="s">
        <v>2</v>
      </c>
      <c r="C10" s="887" t="s">
        <v>394</v>
      </c>
      <c r="D10" s="887" t="s">
        <v>395</v>
      </c>
      <c r="E10" s="890" t="s">
        <v>4</v>
      </c>
      <c r="F10" s="891"/>
      <c r="G10" s="891"/>
      <c r="H10" s="891"/>
      <c r="I10" s="891"/>
      <c r="J10" s="891"/>
      <c r="K10" s="891"/>
      <c r="L10" s="891"/>
      <c r="M10" s="891"/>
      <c r="N10" s="891"/>
      <c r="O10" s="892"/>
    </row>
    <row r="11" spans="1:15" ht="22.5" x14ac:dyDescent="0.25">
      <c r="A11" s="882"/>
      <c r="B11" s="885"/>
      <c r="C11" s="888"/>
      <c r="D11" s="888"/>
      <c r="E11" s="893" t="s">
        <v>7</v>
      </c>
      <c r="F11" s="895" t="s">
        <v>108</v>
      </c>
      <c r="G11" s="897" t="s">
        <v>487</v>
      </c>
      <c r="H11" s="898"/>
      <c r="I11" s="898"/>
      <c r="J11" s="899"/>
      <c r="K11" s="900" t="s">
        <v>396</v>
      </c>
      <c r="L11" s="901"/>
      <c r="M11" s="902"/>
      <c r="N11" s="903" t="s">
        <v>397</v>
      </c>
      <c r="O11" s="905" t="s">
        <v>164</v>
      </c>
    </row>
    <row r="12" spans="1:15" ht="41.25" thickBot="1" x14ac:dyDescent="0.3">
      <c r="A12" s="883"/>
      <c r="B12" s="886"/>
      <c r="C12" s="889"/>
      <c r="D12" s="889"/>
      <c r="E12" s="894"/>
      <c r="F12" s="896"/>
      <c r="G12" s="448" t="s">
        <v>13</v>
      </c>
      <c r="H12" s="449" t="s">
        <v>14</v>
      </c>
      <c r="I12" s="449" t="s">
        <v>15</v>
      </c>
      <c r="J12" s="450" t="s">
        <v>166</v>
      </c>
      <c r="K12" s="641" t="s">
        <v>13</v>
      </c>
      <c r="L12" s="639" t="s">
        <v>14</v>
      </c>
      <c r="M12" s="640" t="s">
        <v>15</v>
      </c>
      <c r="N12" s="904"/>
      <c r="O12" s="906"/>
    </row>
    <row r="13" spans="1:15" ht="24" x14ac:dyDescent="0.25">
      <c r="A13" s="268" t="s">
        <v>103</v>
      </c>
      <c r="B13" s="867" t="s">
        <v>16</v>
      </c>
      <c r="C13" s="269" t="s">
        <v>483</v>
      </c>
      <c r="D13" s="269" t="s">
        <v>367</v>
      </c>
      <c r="E13" s="270"/>
      <c r="F13" s="271"/>
      <c r="G13" s="330">
        <f>+H13+I13</f>
        <v>0</v>
      </c>
      <c r="H13" s="272">
        <v>0</v>
      </c>
      <c r="I13" s="272">
        <v>0</v>
      </c>
      <c r="J13" s="350" t="str">
        <f>IFERROR(G13/F13,"-")</f>
        <v>-</v>
      </c>
      <c r="K13" s="655">
        <f>+L13+M13</f>
        <v>0</v>
      </c>
      <c r="L13" s="522">
        <f>+H13</f>
        <v>0</v>
      </c>
      <c r="M13" s="455">
        <f>+I13</f>
        <v>0</v>
      </c>
      <c r="N13" s="334" t="str">
        <f>IFERROR(K13/E13,"-")</f>
        <v>-</v>
      </c>
      <c r="O13" s="341" t="str">
        <f t="shared" ref="O13:O14" si="0">IFERROR(M13/K13,"-")</f>
        <v>-</v>
      </c>
    </row>
    <row r="14" spans="1:15" ht="24" x14ac:dyDescent="0.25">
      <c r="A14" s="274" t="s">
        <v>103</v>
      </c>
      <c r="B14" s="868"/>
      <c r="C14" s="275" t="s">
        <v>374</v>
      </c>
      <c r="D14" s="275" t="s">
        <v>373</v>
      </c>
      <c r="E14" s="276"/>
      <c r="F14" s="277"/>
      <c r="G14" s="331">
        <f t="shared" ref="G14:G16" si="1">+H14+I14</f>
        <v>0</v>
      </c>
      <c r="H14" s="278"/>
      <c r="I14" s="278"/>
      <c r="J14" s="350" t="str">
        <f t="shared" ref="J14:J16" si="2">IFERROR(G14/F14,"-")</f>
        <v>-</v>
      </c>
      <c r="K14" s="651">
        <f t="shared" ref="K14:K16" si="3">+L14+M14</f>
        <v>0</v>
      </c>
      <c r="L14" s="276">
        <f t="shared" ref="L14:L16" si="4">+H14</f>
        <v>0</v>
      </c>
      <c r="M14" s="432">
        <f t="shared" ref="M14:M16" si="5">+I14</f>
        <v>0</v>
      </c>
      <c r="N14" s="335" t="str">
        <f t="shared" ref="N14:N16" si="6">IFERROR(K14/E14,"-")</f>
        <v>-</v>
      </c>
      <c r="O14" s="265" t="str">
        <f t="shared" si="0"/>
        <v>-</v>
      </c>
    </row>
    <row r="15" spans="1:15" ht="24" x14ac:dyDescent="0.25">
      <c r="A15" s="274" t="s">
        <v>103</v>
      </c>
      <c r="B15" s="868"/>
      <c r="C15" s="566" t="s">
        <v>428</v>
      </c>
      <c r="D15" s="566" t="s">
        <v>364</v>
      </c>
      <c r="E15" s="680"/>
      <c r="F15" s="681"/>
      <c r="G15" s="331">
        <f t="shared" si="1"/>
        <v>4308</v>
      </c>
      <c r="H15" s="682">
        <v>4160</v>
      </c>
      <c r="I15" s="682">
        <v>148</v>
      </c>
      <c r="J15" s="350" t="str">
        <f t="shared" si="2"/>
        <v>-</v>
      </c>
      <c r="K15" s="651">
        <f t="shared" si="3"/>
        <v>4308</v>
      </c>
      <c r="L15" s="276">
        <f t="shared" si="4"/>
        <v>4160</v>
      </c>
      <c r="M15" s="432">
        <f t="shared" si="5"/>
        <v>148</v>
      </c>
      <c r="N15" s="335" t="str">
        <f t="shared" si="6"/>
        <v>-</v>
      </c>
      <c r="O15" s="265">
        <f>IFERROR(M15/K15,"-")</f>
        <v>3.4354688950789226E-2</v>
      </c>
    </row>
    <row r="16" spans="1:15" ht="24.75" thickBot="1" x14ac:dyDescent="0.3">
      <c r="A16" s="274" t="s">
        <v>103</v>
      </c>
      <c r="B16" s="869"/>
      <c r="C16" s="279" t="s">
        <v>426</v>
      </c>
      <c r="D16" s="279" t="s">
        <v>372</v>
      </c>
      <c r="E16" s="280"/>
      <c r="F16" s="281"/>
      <c r="G16" s="332">
        <f t="shared" si="1"/>
        <v>0</v>
      </c>
      <c r="H16" s="272"/>
      <c r="I16" s="272"/>
      <c r="J16" s="350" t="str">
        <f t="shared" si="2"/>
        <v>-</v>
      </c>
      <c r="K16" s="652">
        <f t="shared" si="3"/>
        <v>0</v>
      </c>
      <c r="L16" s="525">
        <f t="shared" si="4"/>
        <v>0</v>
      </c>
      <c r="M16" s="458">
        <f t="shared" si="5"/>
        <v>0</v>
      </c>
      <c r="N16" s="336" t="str">
        <f t="shared" si="6"/>
        <v>-</v>
      </c>
      <c r="O16" s="342" t="str">
        <f t="shared" ref="O16:O34" si="7">IFERROR(M16/K16,"-")</f>
        <v>-</v>
      </c>
    </row>
    <row r="17" spans="1:15" ht="23.25" thickBot="1" x14ac:dyDescent="0.3">
      <c r="A17" s="274" t="s">
        <v>103</v>
      </c>
      <c r="B17" s="845" t="s">
        <v>44</v>
      </c>
      <c r="C17" s="846"/>
      <c r="D17" s="847"/>
      <c r="E17" s="319">
        <f>SUM(E13:E16)</f>
        <v>0</v>
      </c>
      <c r="F17" s="284">
        <v>15000</v>
      </c>
      <c r="G17" s="319">
        <f>SUM(G13:G16)</f>
        <v>4308</v>
      </c>
      <c r="H17" s="320">
        <f t="shared" ref="H17:I17" si="8">SUM(H13:H16)</f>
        <v>4160</v>
      </c>
      <c r="I17" s="320">
        <f t="shared" si="8"/>
        <v>148</v>
      </c>
      <c r="J17" s="343">
        <f>+G17/F17</f>
        <v>0.28720000000000001</v>
      </c>
      <c r="K17" s="319">
        <f t="shared" ref="K17" si="9">SUM(K13:K16)</f>
        <v>4308</v>
      </c>
      <c r="L17" s="653">
        <f>SUM(L13:L16)</f>
        <v>4160</v>
      </c>
      <c r="M17" s="654">
        <f>SUM(M13:M16)</f>
        <v>148</v>
      </c>
      <c r="N17" s="337" t="str">
        <f>IFERROR(K17/E17,"-")</f>
        <v>-</v>
      </c>
      <c r="O17" s="343">
        <f t="shared" si="7"/>
        <v>3.4354688950789226E-2</v>
      </c>
    </row>
    <row r="18" spans="1:15" ht="24" x14ac:dyDescent="0.25">
      <c r="A18" s="274" t="s">
        <v>103</v>
      </c>
      <c r="B18" s="867" t="s">
        <v>17</v>
      </c>
      <c r="C18" s="269" t="s">
        <v>293</v>
      </c>
      <c r="D18" s="269"/>
      <c r="E18" s="270"/>
      <c r="F18" s="271"/>
      <c r="G18" s="330">
        <f t="shared" ref="G18:G24" si="10">+H18+I18</f>
        <v>0</v>
      </c>
      <c r="H18" s="272">
        <v>0</v>
      </c>
      <c r="I18" s="272">
        <v>0</v>
      </c>
      <c r="J18" s="349" t="str">
        <f>IFERROR(G18/F18,"-")</f>
        <v>-</v>
      </c>
      <c r="K18" s="655">
        <f t="shared" ref="K18:K24" si="11">+L18+M18</f>
        <v>0</v>
      </c>
      <c r="L18" s="522">
        <f t="shared" ref="L18:L24" si="12">+H18</f>
        <v>0</v>
      </c>
      <c r="M18" s="455">
        <f t="shared" ref="M18:M24" si="13">+I18</f>
        <v>0</v>
      </c>
      <c r="N18" s="334" t="str">
        <f t="shared" ref="N18:N24" si="14">IFERROR(K18/E18,"-")</f>
        <v>-</v>
      </c>
      <c r="O18" s="344" t="str">
        <f t="shared" si="7"/>
        <v>-</v>
      </c>
    </row>
    <row r="19" spans="1:15" ht="24" x14ac:dyDescent="0.25">
      <c r="A19" s="274" t="s">
        <v>103</v>
      </c>
      <c r="B19" s="868"/>
      <c r="C19" s="275" t="s">
        <v>342</v>
      </c>
      <c r="D19" s="275" t="s">
        <v>231</v>
      </c>
      <c r="E19" s="276"/>
      <c r="F19" s="277"/>
      <c r="G19" s="331">
        <f t="shared" si="10"/>
        <v>0</v>
      </c>
      <c r="H19" s="278">
        <v>0</v>
      </c>
      <c r="I19" s="278">
        <v>0</v>
      </c>
      <c r="J19" s="349" t="str">
        <f t="shared" ref="J19:J24" si="15">IFERROR(G19/F19,"-")</f>
        <v>-</v>
      </c>
      <c r="K19" s="651">
        <f t="shared" si="11"/>
        <v>0</v>
      </c>
      <c r="L19" s="276">
        <f t="shared" si="12"/>
        <v>0</v>
      </c>
      <c r="M19" s="432">
        <f t="shared" si="13"/>
        <v>0</v>
      </c>
      <c r="N19" s="335" t="str">
        <f t="shared" si="14"/>
        <v>-</v>
      </c>
      <c r="O19" s="263" t="str">
        <f t="shared" si="7"/>
        <v>-</v>
      </c>
    </row>
    <row r="20" spans="1:15" ht="24" x14ac:dyDescent="0.25">
      <c r="A20" s="274" t="s">
        <v>103</v>
      </c>
      <c r="B20" s="868"/>
      <c r="C20" s="275" t="s">
        <v>365</v>
      </c>
      <c r="D20" s="275" t="s">
        <v>187</v>
      </c>
      <c r="E20" s="276"/>
      <c r="F20" s="277"/>
      <c r="G20" s="331">
        <f t="shared" si="10"/>
        <v>24095</v>
      </c>
      <c r="H20" s="278">
        <v>23860</v>
      </c>
      <c r="I20" s="278">
        <v>235</v>
      </c>
      <c r="J20" s="349" t="str">
        <f t="shared" si="15"/>
        <v>-</v>
      </c>
      <c r="K20" s="651">
        <f t="shared" si="11"/>
        <v>24095</v>
      </c>
      <c r="L20" s="276">
        <f t="shared" si="12"/>
        <v>23860</v>
      </c>
      <c r="M20" s="432">
        <f t="shared" si="13"/>
        <v>235</v>
      </c>
      <c r="N20" s="335" t="str">
        <f t="shared" si="14"/>
        <v>-</v>
      </c>
      <c r="O20" s="263">
        <f t="shared" si="7"/>
        <v>9.7530608009960568E-3</v>
      </c>
    </row>
    <row r="21" spans="1:15" ht="24" x14ac:dyDescent="0.25">
      <c r="A21" s="274" t="s">
        <v>103</v>
      </c>
      <c r="B21" s="868"/>
      <c r="C21" s="275" t="s">
        <v>479</v>
      </c>
      <c r="D21" s="275" t="s">
        <v>478</v>
      </c>
      <c r="E21" s="276"/>
      <c r="F21" s="277"/>
      <c r="G21" s="331">
        <f t="shared" si="10"/>
        <v>0</v>
      </c>
      <c r="H21" s="278">
        <v>0</v>
      </c>
      <c r="I21" s="278">
        <v>0</v>
      </c>
      <c r="J21" s="349" t="str">
        <f t="shared" si="15"/>
        <v>-</v>
      </c>
      <c r="K21" s="651">
        <f t="shared" si="11"/>
        <v>0</v>
      </c>
      <c r="L21" s="276">
        <f t="shared" si="12"/>
        <v>0</v>
      </c>
      <c r="M21" s="432">
        <f t="shared" si="13"/>
        <v>0</v>
      </c>
      <c r="N21" s="335" t="str">
        <f t="shared" si="14"/>
        <v>-</v>
      </c>
      <c r="O21" s="263" t="str">
        <f t="shared" si="7"/>
        <v>-</v>
      </c>
    </row>
    <row r="22" spans="1:15" ht="24" x14ac:dyDescent="0.25">
      <c r="A22" s="274" t="s">
        <v>103</v>
      </c>
      <c r="B22" s="868"/>
      <c r="C22" s="275" t="s">
        <v>321</v>
      </c>
      <c r="D22" s="275" t="s">
        <v>316</v>
      </c>
      <c r="E22" s="276"/>
      <c r="F22" s="277"/>
      <c r="G22" s="331">
        <f t="shared" si="10"/>
        <v>0</v>
      </c>
      <c r="H22" s="278">
        <v>0</v>
      </c>
      <c r="I22" s="278">
        <v>0</v>
      </c>
      <c r="J22" s="349" t="str">
        <f t="shared" si="15"/>
        <v>-</v>
      </c>
      <c r="K22" s="651">
        <f t="shared" si="11"/>
        <v>0</v>
      </c>
      <c r="L22" s="276">
        <f t="shared" si="12"/>
        <v>0</v>
      </c>
      <c r="M22" s="432">
        <f t="shared" si="13"/>
        <v>0</v>
      </c>
      <c r="N22" s="335" t="str">
        <f t="shared" si="14"/>
        <v>-</v>
      </c>
      <c r="O22" s="263" t="str">
        <f t="shared" si="7"/>
        <v>-</v>
      </c>
    </row>
    <row r="23" spans="1:15" ht="24" x14ac:dyDescent="0.25">
      <c r="A23" s="274" t="s">
        <v>103</v>
      </c>
      <c r="B23" s="868"/>
      <c r="C23" s="275" t="s">
        <v>477</v>
      </c>
      <c r="D23" s="275" t="s">
        <v>189</v>
      </c>
      <c r="E23" s="276"/>
      <c r="F23" s="277"/>
      <c r="G23" s="331">
        <f t="shared" si="10"/>
        <v>0</v>
      </c>
      <c r="H23" s="278">
        <v>0</v>
      </c>
      <c r="I23" s="278">
        <v>0</v>
      </c>
      <c r="J23" s="349" t="str">
        <f t="shared" si="15"/>
        <v>-</v>
      </c>
      <c r="K23" s="651">
        <f t="shared" si="11"/>
        <v>0</v>
      </c>
      <c r="L23" s="276">
        <f t="shared" si="12"/>
        <v>0</v>
      </c>
      <c r="M23" s="432">
        <f t="shared" si="13"/>
        <v>0</v>
      </c>
      <c r="N23" s="335" t="str">
        <f t="shared" si="14"/>
        <v>-</v>
      </c>
      <c r="O23" s="263" t="str">
        <f t="shared" si="7"/>
        <v>-</v>
      </c>
    </row>
    <row r="24" spans="1:15" ht="24.75" thickBot="1" x14ac:dyDescent="0.3">
      <c r="A24" s="274" t="s">
        <v>103</v>
      </c>
      <c r="B24" s="869"/>
      <c r="C24" s="279" t="s">
        <v>339</v>
      </c>
      <c r="D24" s="279" t="s">
        <v>231</v>
      </c>
      <c r="E24" s="280"/>
      <c r="F24" s="281"/>
      <c r="G24" s="332">
        <f t="shared" si="10"/>
        <v>0</v>
      </c>
      <c r="H24" s="278">
        <v>0</v>
      </c>
      <c r="I24" s="278">
        <v>0</v>
      </c>
      <c r="J24" s="349" t="str">
        <f t="shared" si="15"/>
        <v>-</v>
      </c>
      <c r="K24" s="652">
        <f t="shared" si="11"/>
        <v>0</v>
      </c>
      <c r="L24" s="525">
        <f t="shared" si="12"/>
        <v>0</v>
      </c>
      <c r="M24" s="458">
        <f t="shared" si="13"/>
        <v>0</v>
      </c>
      <c r="N24" s="336" t="str">
        <f t="shared" si="14"/>
        <v>-</v>
      </c>
      <c r="O24" s="345" t="str">
        <f t="shared" si="7"/>
        <v>-</v>
      </c>
    </row>
    <row r="25" spans="1:15" ht="23.25" thickBot="1" x14ac:dyDescent="0.3">
      <c r="A25" s="274" t="s">
        <v>103</v>
      </c>
      <c r="B25" s="845" t="s">
        <v>45</v>
      </c>
      <c r="C25" s="846"/>
      <c r="D25" s="847"/>
      <c r="E25" s="319">
        <f>SUM(E18:E24)</f>
        <v>0</v>
      </c>
      <c r="F25" s="284">
        <v>100000</v>
      </c>
      <c r="G25" s="319">
        <f>SUM(G18:G24)</f>
        <v>24095</v>
      </c>
      <c r="H25" s="320">
        <f t="shared" ref="H25:I25" si="16">SUM(H18:H24)</f>
        <v>23860</v>
      </c>
      <c r="I25" s="320">
        <f t="shared" si="16"/>
        <v>235</v>
      </c>
      <c r="J25" s="343">
        <f>+G25/F25</f>
        <v>0.24095</v>
      </c>
      <c r="K25" s="319">
        <f>SUM(K18:K24)</f>
        <v>24095</v>
      </c>
      <c r="L25" s="515">
        <f>SUM(L18:L24)</f>
        <v>23860</v>
      </c>
      <c r="M25" s="650">
        <f t="shared" ref="M25" si="17">SUM(M18:M24)</f>
        <v>235</v>
      </c>
      <c r="N25" s="337" t="str">
        <f>IFERROR(K25/E25,"-")</f>
        <v>-</v>
      </c>
      <c r="O25" s="343">
        <f t="shared" si="7"/>
        <v>9.7530608009960568E-3</v>
      </c>
    </row>
    <row r="26" spans="1:15" ht="24" x14ac:dyDescent="0.25">
      <c r="A26" s="274" t="s">
        <v>103</v>
      </c>
      <c r="B26" s="867" t="s">
        <v>18</v>
      </c>
      <c r="C26" s="269" t="s">
        <v>311</v>
      </c>
      <c r="D26" s="269" t="s">
        <v>92</v>
      </c>
      <c r="E26" s="270"/>
      <c r="F26" s="271"/>
      <c r="G26" s="330">
        <f t="shared" ref="G26:G32" si="18">+H26+I26</f>
        <v>0</v>
      </c>
      <c r="H26" s="272">
        <v>0</v>
      </c>
      <c r="I26" s="272">
        <v>0</v>
      </c>
      <c r="J26" s="349" t="str">
        <f>IFERROR(G26/F26,"-")</f>
        <v>-</v>
      </c>
      <c r="K26" s="330">
        <f t="shared" ref="K26:K32" si="19">+L26+M26</f>
        <v>0</v>
      </c>
      <c r="L26" s="272">
        <f t="shared" ref="L26:L32" si="20">+H26</f>
        <v>0</v>
      </c>
      <c r="M26" s="273">
        <f t="shared" ref="M26:M32" si="21">+I26</f>
        <v>0</v>
      </c>
      <c r="N26" s="334" t="str">
        <f t="shared" ref="N26:N33" si="22">IFERROR(K26/E26,"-")</f>
        <v>-</v>
      </c>
      <c r="O26" s="344" t="str">
        <f t="shared" si="7"/>
        <v>-</v>
      </c>
    </row>
    <row r="27" spans="1:15" ht="24" x14ac:dyDescent="0.25">
      <c r="A27" s="274" t="s">
        <v>103</v>
      </c>
      <c r="B27" s="868"/>
      <c r="C27" s="275" t="s">
        <v>232</v>
      </c>
      <c r="D27" s="275" t="s">
        <v>233</v>
      </c>
      <c r="E27" s="276"/>
      <c r="F27" s="277"/>
      <c r="G27" s="331">
        <f t="shared" si="18"/>
        <v>0</v>
      </c>
      <c r="H27" s="278">
        <v>0</v>
      </c>
      <c r="I27" s="278">
        <v>0</v>
      </c>
      <c r="J27" s="349" t="str">
        <f t="shared" ref="J27:J32" si="23">IFERROR(G27/F27,"-")</f>
        <v>-</v>
      </c>
      <c r="K27" s="331">
        <f t="shared" si="19"/>
        <v>0</v>
      </c>
      <c r="L27" s="272">
        <f t="shared" si="20"/>
        <v>0</v>
      </c>
      <c r="M27" s="273">
        <f t="shared" si="21"/>
        <v>0</v>
      </c>
      <c r="N27" s="335" t="str">
        <f t="shared" si="22"/>
        <v>-</v>
      </c>
      <c r="O27" s="263" t="str">
        <f t="shared" si="7"/>
        <v>-</v>
      </c>
    </row>
    <row r="28" spans="1:15" ht="24" x14ac:dyDescent="0.25">
      <c r="A28" s="274" t="s">
        <v>103</v>
      </c>
      <c r="B28" s="868"/>
      <c r="C28" s="275" t="s">
        <v>115</v>
      </c>
      <c r="D28" s="275"/>
      <c r="E28" s="276"/>
      <c r="F28" s="277"/>
      <c r="G28" s="331">
        <f t="shared" si="18"/>
        <v>0</v>
      </c>
      <c r="H28" s="278">
        <v>0</v>
      </c>
      <c r="I28" s="278">
        <v>0</v>
      </c>
      <c r="J28" s="349" t="str">
        <f t="shared" si="23"/>
        <v>-</v>
      </c>
      <c r="K28" s="331">
        <f t="shared" si="19"/>
        <v>0</v>
      </c>
      <c r="L28" s="272">
        <f t="shared" si="20"/>
        <v>0</v>
      </c>
      <c r="M28" s="273">
        <f t="shared" si="21"/>
        <v>0</v>
      </c>
      <c r="N28" s="335" t="str">
        <f t="shared" si="22"/>
        <v>-</v>
      </c>
      <c r="O28" s="263" t="str">
        <f t="shared" si="7"/>
        <v>-</v>
      </c>
    </row>
    <row r="29" spans="1:15" ht="24" x14ac:dyDescent="0.25">
      <c r="A29" s="274" t="s">
        <v>103</v>
      </c>
      <c r="B29" s="868"/>
      <c r="C29" s="275" t="s">
        <v>122</v>
      </c>
      <c r="D29" s="275"/>
      <c r="E29" s="276"/>
      <c r="F29" s="277"/>
      <c r="G29" s="331">
        <f t="shared" si="18"/>
        <v>0</v>
      </c>
      <c r="H29" s="278">
        <v>0</v>
      </c>
      <c r="I29" s="278">
        <v>0</v>
      </c>
      <c r="J29" s="349" t="str">
        <f t="shared" si="23"/>
        <v>-</v>
      </c>
      <c r="K29" s="331">
        <f t="shared" si="19"/>
        <v>0</v>
      </c>
      <c r="L29" s="272">
        <f t="shared" si="20"/>
        <v>0</v>
      </c>
      <c r="M29" s="273">
        <f t="shared" si="21"/>
        <v>0</v>
      </c>
      <c r="N29" s="335" t="str">
        <f t="shared" si="22"/>
        <v>-</v>
      </c>
      <c r="O29" s="263" t="str">
        <f t="shared" si="7"/>
        <v>-</v>
      </c>
    </row>
    <row r="30" spans="1:15" ht="24" x14ac:dyDescent="0.25">
      <c r="A30" s="274" t="s">
        <v>103</v>
      </c>
      <c r="B30" s="868"/>
      <c r="C30" s="275" t="s">
        <v>176</v>
      </c>
      <c r="D30" s="275" t="s">
        <v>177</v>
      </c>
      <c r="E30" s="276"/>
      <c r="F30" s="277"/>
      <c r="G30" s="331">
        <f t="shared" si="18"/>
        <v>0</v>
      </c>
      <c r="H30" s="278">
        <v>0</v>
      </c>
      <c r="I30" s="278">
        <v>0</v>
      </c>
      <c r="J30" s="349" t="str">
        <f t="shared" si="23"/>
        <v>-</v>
      </c>
      <c r="K30" s="331">
        <f t="shared" si="19"/>
        <v>0</v>
      </c>
      <c r="L30" s="272">
        <f t="shared" si="20"/>
        <v>0</v>
      </c>
      <c r="M30" s="273">
        <f t="shared" si="21"/>
        <v>0</v>
      </c>
      <c r="N30" s="335" t="str">
        <f t="shared" si="22"/>
        <v>-</v>
      </c>
      <c r="O30" s="263" t="str">
        <f t="shared" si="7"/>
        <v>-</v>
      </c>
    </row>
    <row r="31" spans="1:15" ht="24" x14ac:dyDescent="0.25">
      <c r="A31" s="274" t="s">
        <v>103</v>
      </c>
      <c r="B31" s="868"/>
      <c r="C31" s="275" t="s">
        <v>179</v>
      </c>
      <c r="D31" s="275" t="s">
        <v>178</v>
      </c>
      <c r="E31" s="276"/>
      <c r="F31" s="277"/>
      <c r="G31" s="331">
        <f t="shared" si="18"/>
        <v>0</v>
      </c>
      <c r="H31" s="278">
        <v>0</v>
      </c>
      <c r="I31" s="278">
        <v>0</v>
      </c>
      <c r="J31" s="349" t="str">
        <f t="shared" si="23"/>
        <v>-</v>
      </c>
      <c r="K31" s="331">
        <f t="shared" si="19"/>
        <v>0</v>
      </c>
      <c r="L31" s="272">
        <f t="shared" si="20"/>
        <v>0</v>
      </c>
      <c r="M31" s="273">
        <f t="shared" si="21"/>
        <v>0</v>
      </c>
      <c r="N31" s="335" t="str">
        <f t="shared" si="22"/>
        <v>-</v>
      </c>
      <c r="O31" s="263" t="str">
        <f t="shared" si="7"/>
        <v>-</v>
      </c>
    </row>
    <row r="32" spans="1:15" ht="24.75" thickBot="1" x14ac:dyDescent="0.3">
      <c r="A32" s="274" t="s">
        <v>103</v>
      </c>
      <c r="B32" s="869"/>
      <c r="C32" s="285" t="s">
        <v>180</v>
      </c>
      <c r="D32" s="285" t="s">
        <v>107</v>
      </c>
      <c r="E32" s="280"/>
      <c r="F32" s="281"/>
      <c r="G32" s="332">
        <f t="shared" si="18"/>
        <v>0</v>
      </c>
      <c r="H32" s="282">
        <v>0</v>
      </c>
      <c r="I32" s="282">
        <v>0</v>
      </c>
      <c r="J32" s="349" t="str">
        <f t="shared" si="23"/>
        <v>-</v>
      </c>
      <c r="K32" s="332">
        <f t="shared" si="19"/>
        <v>0</v>
      </c>
      <c r="L32" s="272">
        <f t="shared" si="20"/>
        <v>0</v>
      </c>
      <c r="M32" s="273">
        <f t="shared" si="21"/>
        <v>0</v>
      </c>
      <c r="N32" s="336" t="str">
        <f t="shared" si="22"/>
        <v>-</v>
      </c>
      <c r="O32" s="345" t="str">
        <f t="shared" si="7"/>
        <v>-</v>
      </c>
    </row>
    <row r="33" spans="1:15" ht="23.25" thickBot="1" x14ac:dyDescent="0.3">
      <c r="A33" s="274" t="s">
        <v>103</v>
      </c>
      <c r="B33" s="845" t="s">
        <v>29</v>
      </c>
      <c r="C33" s="870"/>
      <c r="D33" s="871"/>
      <c r="E33" s="364">
        <f t="shared" ref="E33" si="24">SUM(E26:E32)</f>
        <v>0</v>
      </c>
      <c r="F33" s="306">
        <v>80000</v>
      </c>
      <c r="G33" s="364">
        <f>SUM(G26:G32)</f>
        <v>0</v>
      </c>
      <c r="H33" s="363">
        <f t="shared" ref="H33:I33" si="25">SUM(H26:H32)</f>
        <v>0</v>
      </c>
      <c r="I33" s="363">
        <f t="shared" si="25"/>
        <v>0</v>
      </c>
      <c r="J33" s="354">
        <f>+G33/F33</f>
        <v>0</v>
      </c>
      <c r="K33" s="364">
        <f t="shared" ref="K33" si="26">SUM(K26:K32)</f>
        <v>0</v>
      </c>
      <c r="L33" s="363">
        <f>SUM(L26:L32)</f>
        <v>0</v>
      </c>
      <c r="M33" s="365">
        <f t="shared" ref="M33" si="27">SUM(M26:M32)</f>
        <v>0</v>
      </c>
      <c r="N33" s="353" t="str">
        <f t="shared" si="22"/>
        <v>-</v>
      </c>
      <c r="O33" s="354" t="str">
        <f t="shared" si="7"/>
        <v>-</v>
      </c>
    </row>
    <row r="34" spans="1:15" ht="24" x14ac:dyDescent="0.25">
      <c r="A34" s="252" t="s">
        <v>103</v>
      </c>
      <c r="B34" s="872" t="s">
        <v>19</v>
      </c>
      <c r="C34" s="634" t="s">
        <v>234</v>
      </c>
      <c r="D34" s="734" t="s">
        <v>177</v>
      </c>
      <c r="E34" s="745"/>
      <c r="F34" s="725">
        <v>110000</v>
      </c>
      <c r="G34" s="453">
        <f t="shared" ref="G34:G40" si="28">+H34+I34</f>
        <v>59296</v>
      </c>
      <c r="H34" s="454">
        <v>59136</v>
      </c>
      <c r="I34" s="454">
        <v>160</v>
      </c>
      <c r="J34" s="526">
        <f>IFERROR(G34/F34,"-")</f>
        <v>0.53905454545454545</v>
      </c>
      <c r="K34" s="729">
        <f>+L34+M34</f>
        <v>59296</v>
      </c>
      <c r="L34" s="522">
        <f t="shared" ref="L34:L40" si="29">+H34</f>
        <v>59136</v>
      </c>
      <c r="M34" s="725">
        <f t="shared" ref="M34:M40" si="30">+I34</f>
        <v>160</v>
      </c>
      <c r="N34" s="626" t="str">
        <f>IFERROR(K34/E34,"-")</f>
        <v>-</v>
      </c>
      <c r="O34" s="627">
        <f t="shared" si="7"/>
        <v>2.6983270372369131E-3</v>
      </c>
    </row>
    <row r="35" spans="1:15" ht="24" x14ac:dyDescent="0.25">
      <c r="A35" s="252"/>
      <c r="B35" s="873"/>
      <c r="C35" s="727" t="s">
        <v>375</v>
      </c>
      <c r="D35" s="733" t="s">
        <v>421</v>
      </c>
      <c r="E35" s="507"/>
      <c r="F35" s="277"/>
      <c r="G35" s="331">
        <f t="shared" si="28"/>
        <v>0</v>
      </c>
      <c r="H35" s="278">
        <v>0</v>
      </c>
      <c r="I35" s="278">
        <v>0</v>
      </c>
      <c r="J35" s="350" t="str">
        <f t="shared" ref="J35:J40" si="31">IFERROR(G35/F35,"-")</f>
        <v>-</v>
      </c>
      <c r="K35" s="730">
        <f>+L35+M35</f>
        <v>0</v>
      </c>
      <c r="L35" s="276">
        <f t="shared" si="29"/>
        <v>0</v>
      </c>
      <c r="M35" s="277">
        <f t="shared" si="30"/>
        <v>0</v>
      </c>
      <c r="N35" s="723" t="str">
        <f t="shared" ref="N35:N40" si="32">IFERROR(K35/E35,"-")</f>
        <v>-</v>
      </c>
      <c r="O35" s="263" t="str">
        <f>IFERROR(M35/K35,"-")</f>
        <v>-</v>
      </c>
    </row>
    <row r="36" spans="1:15" ht="24" x14ac:dyDescent="0.25">
      <c r="A36" s="252"/>
      <c r="B36" s="873"/>
      <c r="C36" s="727" t="s">
        <v>234</v>
      </c>
      <c r="D36" s="733" t="s">
        <v>476</v>
      </c>
      <c r="E36" s="507"/>
      <c r="F36" s="277"/>
      <c r="G36" s="331">
        <f t="shared" si="28"/>
        <v>0</v>
      </c>
      <c r="H36" s="278">
        <v>0</v>
      </c>
      <c r="I36" s="278">
        <v>0</v>
      </c>
      <c r="J36" s="350" t="str">
        <f t="shared" si="31"/>
        <v>-</v>
      </c>
      <c r="K36" s="730">
        <f t="shared" ref="K36:K39" si="33">+L36+M36</f>
        <v>0</v>
      </c>
      <c r="L36" s="276">
        <f t="shared" si="29"/>
        <v>0</v>
      </c>
      <c r="M36" s="277">
        <f t="shared" si="30"/>
        <v>0</v>
      </c>
      <c r="N36" s="723" t="str">
        <f t="shared" si="32"/>
        <v>-</v>
      </c>
      <c r="O36" s="263" t="str">
        <f t="shared" ref="O36:O97" si="34">IFERROR(M36/K36,"-")</f>
        <v>-</v>
      </c>
    </row>
    <row r="37" spans="1:15" ht="24" x14ac:dyDescent="0.25">
      <c r="A37" s="252"/>
      <c r="B37" s="873"/>
      <c r="C37" s="727" t="s">
        <v>375</v>
      </c>
      <c r="D37" s="733" t="s">
        <v>476</v>
      </c>
      <c r="E37" s="507"/>
      <c r="F37" s="277"/>
      <c r="G37" s="331">
        <f t="shared" si="28"/>
        <v>0</v>
      </c>
      <c r="H37" s="278">
        <v>0</v>
      </c>
      <c r="I37" s="278">
        <v>0</v>
      </c>
      <c r="J37" s="350" t="str">
        <f t="shared" si="31"/>
        <v>-</v>
      </c>
      <c r="K37" s="730">
        <f t="shared" si="33"/>
        <v>0</v>
      </c>
      <c r="L37" s="276">
        <f t="shared" si="29"/>
        <v>0</v>
      </c>
      <c r="M37" s="277">
        <f t="shared" si="30"/>
        <v>0</v>
      </c>
      <c r="N37" s="723" t="str">
        <f t="shared" si="32"/>
        <v>-</v>
      </c>
      <c r="O37" s="263" t="str">
        <f t="shared" si="34"/>
        <v>-</v>
      </c>
    </row>
    <row r="38" spans="1:15" ht="24" x14ac:dyDescent="0.25">
      <c r="A38" s="252"/>
      <c r="B38" s="873"/>
      <c r="C38" s="727" t="s">
        <v>484</v>
      </c>
      <c r="D38" s="733" t="s">
        <v>476</v>
      </c>
      <c r="E38" s="507"/>
      <c r="F38" s="277"/>
      <c r="G38" s="331">
        <f t="shared" si="28"/>
        <v>0</v>
      </c>
      <c r="H38" s="278">
        <v>0</v>
      </c>
      <c r="I38" s="278">
        <v>0</v>
      </c>
      <c r="J38" s="350" t="str">
        <f t="shared" si="31"/>
        <v>-</v>
      </c>
      <c r="K38" s="730">
        <f t="shared" si="33"/>
        <v>0</v>
      </c>
      <c r="L38" s="276">
        <f t="shared" si="29"/>
        <v>0</v>
      </c>
      <c r="M38" s="277">
        <f t="shared" si="30"/>
        <v>0</v>
      </c>
      <c r="N38" s="723" t="str">
        <f t="shared" si="32"/>
        <v>-</v>
      </c>
      <c r="O38" s="263" t="str">
        <f t="shared" si="34"/>
        <v>-</v>
      </c>
    </row>
    <row r="39" spans="1:15" ht="24" x14ac:dyDescent="0.25">
      <c r="A39" s="252"/>
      <c r="B39" s="873"/>
      <c r="C39" s="727"/>
      <c r="D39" s="733"/>
      <c r="E39" s="507"/>
      <c r="F39" s="277"/>
      <c r="G39" s="331">
        <f t="shared" si="28"/>
        <v>0</v>
      </c>
      <c r="H39" s="278">
        <v>0</v>
      </c>
      <c r="I39" s="278">
        <v>0</v>
      </c>
      <c r="J39" s="350" t="str">
        <f t="shared" si="31"/>
        <v>-</v>
      </c>
      <c r="K39" s="730">
        <f t="shared" si="33"/>
        <v>0</v>
      </c>
      <c r="L39" s="276">
        <f t="shared" si="29"/>
        <v>0</v>
      </c>
      <c r="M39" s="277">
        <f t="shared" si="30"/>
        <v>0</v>
      </c>
      <c r="N39" s="723" t="str">
        <f t="shared" si="32"/>
        <v>-</v>
      </c>
      <c r="O39" s="263" t="str">
        <f t="shared" si="34"/>
        <v>-</v>
      </c>
    </row>
    <row r="40" spans="1:15" ht="24.75" thickBot="1" x14ac:dyDescent="0.3">
      <c r="A40" s="252"/>
      <c r="B40" s="874"/>
      <c r="C40" s="635" t="s">
        <v>340</v>
      </c>
      <c r="D40" s="735"/>
      <c r="E40" s="746"/>
      <c r="F40" s="726"/>
      <c r="G40" s="456">
        <f t="shared" si="28"/>
        <v>0</v>
      </c>
      <c r="H40" s="457">
        <v>0</v>
      </c>
      <c r="I40" s="457">
        <v>0</v>
      </c>
      <c r="J40" s="527" t="str">
        <f t="shared" si="31"/>
        <v>-</v>
      </c>
      <c r="K40" s="731">
        <f>+L40+M40</f>
        <v>0</v>
      </c>
      <c r="L40" s="525">
        <f t="shared" si="29"/>
        <v>0</v>
      </c>
      <c r="M40" s="726">
        <f t="shared" si="30"/>
        <v>0</v>
      </c>
      <c r="N40" s="724" t="str">
        <f t="shared" si="32"/>
        <v>-</v>
      </c>
      <c r="O40" s="264" t="str">
        <f t="shared" si="34"/>
        <v>-</v>
      </c>
    </row>
    <row r="41" spans="1:15" ht="23.25" thickBot="1" x14ac:dyDescent="0.3">
      <c r="A41" s="274" t="s">
        <v>103</v>
      </c>
      <c r="B41" s="875" t="s">
        <v>46</v>
      </c>
      <c r="C41" s="876"/>
      <c r="D41" s="877"/>
      <c r="E41" s="509">
        <f>SUM(E34:E40)</f>
        <v>0</v>
      </c>
      <c r="F41" s="728">
        <f t="shared" ref="F41" si="35">SUM(F34)</f>
        <v>110000</v>
      </c>
      <c r="G41" s="509">
        <f>SUM(G34:G40)</f>
        <v>59296</v>
      </c>
      <c r="H41" s="515">
        <f>SUM(H34:H40)</f>
        <v>59136</v>
      </c>
      <c r="I41" s="515">
        <f>SUM(I34:I40)</f>
        <v>160</v>
      </c>
      <c r="J41" s="516">
        <f>+G41/F41</f>
        <v>0.53905454545454545</v>
      </c>
      <c r="K41" s="722">
        <f>SUM(K34:K40)</f>
        <v>59296</v>
      </c>
      <c r="L41" s="515">
        <f>SUM(L34:L40)</f>
        <v>59136</v>
      </c>
      <c r="M41" s="650">
        <f>SUM(M34:M40)</f>
        <v>160</v>
      </c>
      <c r="N41" s="517" t="str">
        <f>IFERROR(K41/E41,"-")</f>
        <v>-</v>
      </c>
      <c r="O41" s="516">
        <f t="shared" si="34"/>
        <v>2.6983270372369131E-3</v>
      </c>
    </row>
    <row r="42" spans="1:15" ht="24" x14ac:dyDescent="0.25">
      <c r="A42" s="274" t="s">
        <v>103</v>
      </c>
      <c r="B42" s="867" t="s">
        <v>20</v>
      </c>
      <c r="C42" s="290" t="s">
        <v>486</v>
      </c>
      <c r="D42" s="757" t="s">
        <v>288</v>
      </c>
      <c r="E42" s="270"/>
      <c r="F42" s="271"/>
      <c r="G42" s="330">
        <f t="shared" ref="G42:G44" si="36">+H42+I42</f>
        <v>22641</v>
      </c>
      <c r="H42" s="272">
        <v>22464</v>
      </c>
      <c r="I42" s="272">
        <v>177</v>
      </c>
      <c r="J42" s="349" t="str">
        <f>IFERROR(G42/F42,"-")</f>
        <v>-</v>
      </c>
      <c r="K42" s="330">
        <f t="shared" ref="K42:K44" si="37">+L42+M42</f>
        <v>22641</v>
      </c>
      <c r="L42" s="272">
        <f t="shared" ref="L42:L44" si="38">+H42</f>
        <v>22464</v>
      </c>
      <c r="M42" s="273">
        <f t="shared" ref="M42:M44" si="39">+I42</f>
        <v>177</v>
      </c>
      <c r="N42" s="334" t="str">
        <f t="shared" ref="N42:N45" si="40">IFERROR(K42/E42,"-")</f>
        <v>-</v>
      </c>
      <c r="O42" s="344">
        <f t="shared" si="34"/>
        <v>7.8176758977076977E-3</v>
      </c>
    </row>
    <row r="43" spans="1:15" ht="24" x14ac:dyDescent="0.25">
      <c r="A43" s="274" t="s">
        <v>103</v>
      </c>
      <c r="B43" s="868"/>
      <c r="C43" s="291" t="s">
        <v>114</v>
      </c>
      <c r="D43" s="291"/>
      <c r="E43" s="276"/>
      <c r="F43" s="277"/>
      <c r="G43" s="331">
        <f t="shared" si="36"/>
        <v>0</v>
      </c>
      <c r="H43" s="278">
        <v>0</v>
      </c>
      <c r="I43" s="278">
        <v>0</v>
      </c>
      <c r="J43" s="349" t="str">
        <f t="shared" ref="J43:J44" si="41">IFERROR(G43/F43,"-")</f>
        <v>-</v>
      </c>
      <c r="K43" s="331">
        <f t="shared" si="37"/>
        <v>0</v>
      </c>
      <c r="L43" s="272">
        <f t="shared" si="38"/>
        <v>0</v>
      </c>
      <c r="M43" s="273">
        <f t="shared" si="39"/>
        <v>0</v>
      </c>
      <c r="N43" s="335" t="str">
        <f t="shared" si="40"/>
        <v>-</v>
      </c>
      <c r="O43" s="263" t="str">
        <f t="shared" si="34"/>
        <v>-</v>
      </c>
    </row>
    <row r="44" spans="1:15" ht="24.75" thickBot="1" x14ac:dyDescent="0.3">
      <c r="A44" s="274" t="s">
        <v>103</v>
      </c>
      <c r="B44" s="869"/>
      <c r="C44" s="292" t="s">
        <v>120</v>
      </c>
      <c r="D44" s="292"/>
      <c r="E44" s="280"/>
      <c r="F44" s="281"/>
      <c r="G44" s="332">
        <f t="shared" si="36"/>
        <v>0</v>
      </c>
      <c r="H44" s="282">
        <v>0</v>
      </c>
      <c r="I44" s="282">
        <v>0</v>
      </c>
      <c r="J44" s="349" t="str">
        <f t="shared" si="41"/>
        <v>-</v>
      </c>
      <c r="K44" s="332">
        <f t="shared" si="37"/>
        <v>0</v>
      </c>
      <c r="L44" s="272">
        <f t="shared" si="38"/>
        <v>0</v>
      </c>
      <c r="M44" s="273">
        <f t="shared" si="39"/>
        <v>0</v>
      </c>
      <c r="N44" s="336" t="str">
        <f t="shared" si="40"/>
        <v>-</v>
      </c>
      <c r="O44" s="345" t="str">
        <f t="shared" si="34"/>
        <v>-</v>
      </c>
    </row>
    <row r="45" spans="1:15" ht="23.25" thickBot="1" x14ac:dyDescent="0.3">
      <c r="A45" s="274" t="s">
        <v>103</v>
      </c>
      <c r="B45" s="846" t="s">
        <v>47</v>
      </c>
      <c r="C45" s="846"/>
      <c r="D45" s="878"/>
      <c r="E45" s="319">
        <f t="shared" ref="E45" si="42">SUM(E42:E44)</f>
        <v>0</v>
      </c>
      <c r="F45" s="284">
        <v>50000</v>
      </c>
      <c r="G45" s="319">
        <f>SUM(G42:G44)</f>
        <v>22641</v>
      </c>
      <c r="H45" s="320">
        <f t="shared" ref="H45:I45" si="43">SUM(H42:H44)</f>
        <v>22464</v>
      </c>
      <c r="I45" s="320">
        <f t="shared" si="43"/>
        <v>177</v>
      </c>
      <c r="J45" s="343">
        <f>+G45/F45</f>
        <v>0.45282</v>
      </c>
      <c r="K45" s="319">
        <f t="shared" ref="K45:M45" si="44">SUM(K42:K44)</f>
        <v>22641</v>
      </c>
      <c r="L45" s="320">
        <f t="shared" si="44"/>
        <v>22464</v>
      </c>
      <c r="M45" s="321">
        <f t="shared" si="44"/>
        <v>177</v>
      </c>
      <c r="N45" s="337" t="str">
        <f t="shared" si="40"/>
        <v>-</v>
      </c>
      <c r="O45" s="343">
        <f t="shared" si="34"/>
        <v>7.8176758977076977E-3</v>
      </c>
    </row>
    <row r="46" spans="1:15" ht="23.25" thickBot="1" x14ac:dyDescent="0.3">
      <c r="A46" s="274" t="s">
        <v>103</v>
      </c>
      <c r="B46" s="853" t="s">
        <v>21</v>
      </c>
      <c r="C46" s="854"/>
      <c r="D46" s="855"/>
      <c r="E46" s="324">
        <f>+E17+E25+E33+E41+E45</f>
        <v>0</v>
      </c>
      <c r="F46" s="325">
        <f>+F17+F25+F33+F41+F45</f>
        <v>355000</v>
      </c>
      <c r="G46" s="324">
        <f>+G17+G25+G33+G41+G45</f>
        <v>110340</v>
      </c>
      <c r="H46" s="322">
        <f>+H17+H25+H33+H41+H45</f>
        <v>109620</v>
      </c>
      <c r="I46" s="322">
        <f>+I17+I25+I33+I41+I45</f>
        <v>720</v>
      </c>
      <c r="J46" s="347">
        <f>+G46/F46</f>
        <v>0.3108169014084507</v>
      </c>
      <c r="K46" s="324">
        <f>+K17+K25+K33+K41+K45</f>
        <v>110340</v>
      </c>
      <c r="L46" s="322">
        <f>+L17+L25+L33+L41+L45</f>
        <v>109620</v>
      </c>
      <c r="M46" s="323">
        <f>+M17+M25+M33+M41+M45</f>
        <v>720</v>
      </c>
      <c r="N46" s="339" t="str">
        <f>IFERROR(K46/E46,"-")</f>
        <v>-</v>
      </c>
      <c r="O46" s="347">
        <f t="shared" si="34"/>
        <v>6.5252854812398045E-3</v>
      </c>
    </row>
    <row r="47" spans="1:15" ht="24" x14ac:dyDescent="0.25">
      <c r="A47" s="274" t="s">
        <v>103</v>
      </c>
      <c r="B47" s="867" t="s">
        <v>398</v>
      </c>
      <c r="C47" s="269" t="s">
        <v>125</v>
      </c>
      <c r="D47" s="269"/>
      <c r="E47" s="270"/>
      <c r="F47" s="271"/>
      <c r="G47" s="330">
        <f t="shared" ref="G47:G50" si="45">+H47+I47</f>
        <v>0</v>
      </c>
      <c r="H47" s="272">
        <v>0</v>
      </c>
      <c r="I47" s="272">
        <v>0</v>
      </c>
      <c r="J47" s="349" t="str">
        <f>IFERROR(G47/F47,"-")</f>
        <v>-</v>
      </c>
      <c r="K47" s="330">
        <f t="shared" ref="K47:K50" si="46">+L47+M47</f>
        <v>0</v>
      </c>
      <c r="L47" s="272">
        <f t="shared" ref="L47:L50" si="47">+H47</f>
        <v>0</v>
      </c>
      <c r="M47" s="273">
        <f t="shared" ref="M47:M50" si="48">+I47</f>
        <v>0</v>
      </c>
      <c r="N47" s="334" t="str">
        <f t="shared" ref="N47:N62" si="49">IFERROR(K47/E47,"-")</f>
        <v>-</v>
      </c>
      <c r="O47" s="344" t="str">
        <f t="shared" si="34"/>
        <v>-</v>
      </c>
    </row>
    <row r="48" spans="1:15" ht="24" x14ac:dyDescent="0.25">
      <c r="A48" s="274" t="s">
        <v>103</v>
      </c>
      <c r="B48" s="868"/>
      <c r="C48" s="294" t="s">
        <v>262</v>
      </c>
      <c r="D48" s="294" t="s">
        <v>181</v>
      </c>
      <c r="E48" s="276"/>
      <c r="F48" s="277"/>
      <c r="G48" s="331">
        <f t="shared" si="45"/>
        <v>0</v>
      </c>
      <c r="H48" s="278">
        <v>0</v>
      </c>
      <c r="I48" s="278">
        <v>0</v>
      </c>
      <c r="J48" s="349" t="str">
        <f t="shared" ref="J48:J50" si="50">IFERROR(G48/F48,"-")</f>
        <v>-</v>
      </c>
      <c r="K48" s="331">
        <f t="shared" si="46"/>
        <v>0</v>
      </c>
      <c r="L48" s="272">
        <f t="shared" si="47"/>
        <v>0</v>
      </c>
      <c r="M48" s="273">
        <f t="shared" si="48"/>
        <v>0</v>
      </c>
      <c r="N48" s="335" t="str">
        <f t="shared" si="49"/>
        <v>-</v>
      </c>
      <c r="O48" s="263" t="str">
        <f t="shared" si="34"/>
        <v>-</v>
      </c>
    </row>
    <row r="49" spans="1:15" ht="24" x14ac:dyDescent="0.25">
      <c r="A49" s="274" t="s">
        <v>103</v>
      </c>
      <c r="B49" s="868"/>
      <c r="C49" s="294" t="s">
        <v>360</v>
      </c>
      <c r="D49" s="294" t="s">
        <v>181</v>
      </c>
      <c r="E49" s="276"/>
      <c r="F49" s="277"/>
      <c r="G49" s="331">
        <f t="shared" si="45"/>
        <v>0</v>
      </c>
      <c r="H49" s="278">
        <v>0</v>
      </c>
      <c r="I49" s="278">
        <v>0</v>
      </c>
      <c r="J49" s="349" t="str">
        <f t="shared" si="50"/>
        <v>-</v>
      </c>
      <c r="K49" s="331">
        <f t="shared" si="46"/>
        <v>0</v>
      </c>
      <c r="L49" s="272">
        <f t="shared" si="47"/>
        <v>0</v>
      </c>
      <c r="M49" s="273">
        <f t="shared" si="48"/>
        <v>0</v>
      </c>
      <c r="N49" s="335" t="str">
        <f t="shared" si="49"/>
        <v>-</v>
      </c>
      <c r="O49" s="263" t="str">
        <f t="shared" si="34"/>
        <v>-</v>
      </c>
    </row>
    <row r="50" spans="1:15" ht="24.75" thickBot="1" x14ac:dyDescent="0.3">
      <c r="A50" s="274" t="s">
        <v>103</v>
      </c>
      <c r="B50" s="869"/>
      <c r="C50" s="279" t="s">
        <v>182</v>
      </c>
      <c r="D50" s="279" t="s">
        <v>93</v>
      </c>
      <c r="E50" s="280"/>
      <c r="F50" s="281"/>
      <c r="G50" s="332">
        <f t="shared" si="45"/>
        <v>2040</v>
      </c>
      <c r="H50" s="278">
        <v>1980</v>
      </c>
      <c r="I50" s="278">
        <v>60</v>
      </c>
      <c r="J50" s="349" t="str">
        <f t="shared" si="50"/>
        <v>-</v>
      </c>
      <c r="K50" s="332">
        <f t="shared" si="46"/>
        <v>2040</v>
      </c>
      <c r="L50" s="272">
        <f t="shared" si="47"/>
        <v>1980</v>
      </c>
      <c r="M50" s="273">
        <f t="shared" si="48"/>
        <v>60</v>
      </c>
      <c r="N50" s="336" t="str">
        <f t="shared" si="49"/>
        <v>-</v>
      </c>
      <c r="O50" s="345">
        <f t="shared" si="34"/>
        <v>2.9411764705882353E-2</v>
      </c>
    </row>
    <row r="51" spans="1:15" ht="23.25" thickBot="1" x14ac:dyDescent="0.3">
      <c r="A51" s="274" t="s">
        <v>103</v>
      </c>
      <c r="B51" s="845" t="s">
        <v>48</v>
      </c>
      <c r="C51" s="846"/>
      <c r="D51" s="847"/>
      <c r="E51" s="283">
        <f>SUM(E47:E50)</f>
        <v>0</v>
      </c>
      <c r="F51" s="284">
        <v>80000</v>
      </c>
      <c r="G51" s="319">
        <f>SUM(G47:G50)</f>
        <v>2040</v>
      </c>
      <c r="H51" s="320">
        <f t="shared" ref="H51:I51" si="51">SUM(H47:H50)</f>
        <v>1980</v>
      </c>
      <c r="I51" s="320">
        <f t="shared" si="51"/>
        <v>60</v>
      </c>
      <c r="J51" s="343">
        <f>+G51/F51</f>
        <v>2.5499999999999998E-2</v>
      </c>
      <c r="K51" s="319">
        <f t="shared" ref="K51" si="52">SUM(K47:K50)</f>
        <v>2040</v>
      </c>
      <c r="L51" s="320">
        <f>SUM(L47:L50)</f>
        <v>1980</v>
      </c>
      <c r="M51" s="321">
        <f t="shared" ref="M51" si="53">SUM(M47:M50)</f>
        <v>60</v>
      </c>
      <c r="N51" s="337" t="str">
        <f t="shared" si="49"/>
        <v>-</v>
      </c>
      <c r="O51" s="343">
        <f t="shared" si="34"/>
        <v>2.9411764705882353E-2</v>
      </c>
    </row>
    <row r="52" spans="1:15" ht="24" x14ac:dyDescent="0.25">
      <c r="A52" s="274" t="s">
        <v>103</v>
      </c>
      <c r="B52" s="867" t="s">
        <v>23</v>
      </c>
      <c r="C52" s="275" t="s">
        <v>473</v>
      </c>
      <c r="D52" s="295" t="s">
        <v>237</v>
      </c>
      <c r="E52" s="270"/>
      <c r="F52" s="271"/>
      <c r="G52" s="330">
        <f t="shared" ref="G52:G60" si="54">+H52+I52</f>
        <v>0</v>
      </c>
      <c r="H52" s="272">
        <v>0</v>
      </c>
      <c r="I52" s="272">
        <v>0</v>
      </c>
      <c r="J52" s="349" t="str">
        <f>IFERROR(G52/F52,"-")</f>
        <v>-</v>
      </c>
      <c r="K52" s="330">
        <f t="shared" ref="K52:K60" si="55">+L52+M52</f>
        <v>0</v>
      </c>
      <c r="L52" s="272">
        <f t="shared" ref="L52:L60" si="56">+H52</f>
        <v>0</v>
      </c>
      <c r="M52" s="273">
        <f t="shared" ref="M52:M60" si="57">+I52</f>
        <v>0</v>
      </c>
      <c r="N52" s="334" t="str">
        <f t="shared" si="49"/>
        <v>-</v>
      </c>
      <c r="O52" s="344" t="str">
        <f t="shared" si="34"/>
        <v>-</v>
      </c>
    </row>
    <row r="53" spans="1:15" ht="24" x14ac:dyDescent="0.25">
      <c r="A53" s="274" t="s">
        <v>103</v>
      </c>
      <c r="B53" s="868"/>
      <c r="C53" s="275" t="s">
        <v>24</v>
      </c>
      <c r="D53" s="275" t="s">
        <v>237</v>
      </c>
      <c r="E53" s="276"/>
      <c r="F53" s="277"/>
      <c r="G53" s="331">
        <f t="shared" si="54"/>
        <v>0</v>
      </c>
      <c r="H53" s="278">
        <v>0</v>
      </c>
      <c r="I53" s="278">
        <v>0</v>
      </c>
      <c r="J53" s="349" t="str">
        <f t="shared" ref="J53:J60" si="58">IFERROR(G53/F53,"-")</f>
        <v>-</v>
      </c>
      <c r="K53" s="331">
        <f t="shared" si="55"/>
        <v>0</v>
      </c>
      <c r="L53" s="272">
        <f t="shared" si="56"/>
        <v>0</v>
      </c>
      <c r="M53" s="273">
        <f t="shared" si="57"/>
        <v>0</v>
      </c>
      <c r="N53" s="335" t="str">
        <f t="shared" si="49"/>
        <v>-</v>
      </c>
      <c r="O53" s="263" t="str">
        <f t="shared" si="34"/>
        <v>-</v>
      </c>
    </row>
    <row r="54" spans="1:15" ht="24" x14ac:dyDescent="0.25">
      <c r="A54" s="274" t="s">
        <v>103</v>
      </c>
      <c r="B54" s="868"/>
      <c r="C54" s="275" t="s">
        <v>235</v>
      </c>
      <c r="D54" s="275" t="s">
        <v>237</v>
      </c>
      <c r="E54" s="276"/>
      <c r="F54" s="277"/>
      <c r="G54" s="331">
        <f t="shared" si="54"/>
        <v>0</v>
      </c>
      <c r="H54" s="278">
        <v>0</v>
      </c>
      <c r="I54" s="278">
        <v>0</v>
      </c>
      <c r="J54" s="349" t="str">
        <f t="shared" si="58"/>
        <v>-</v>
      </c>
      <c r="K54" s="331">
        <f t="shared" si="55"/>
        <v>0</v>
      </c>
      <c r="L54" s="272">
        <f t="shared" si="56"/>
        <v>0</v>
      </c>
      <c r="M54" s="273">
        <f t="shared" si="57"/>
        <v>0</v>
      </c>
      <c r="N54" s="335" t="str">
        <f t="shared" si="49"/>
        <v>-</v>
      </c>
      <c r="O54" s="263" t="str">
        <f t="shared" si="34"/>
        <v>-</v>
      </c>
    </row>
    <row r="55" spans="1:15" ht="24" x14ac:dyDescent="0.25">
      <c r="A55" s="274" t="s">
        <v>103</v>
      </c>
      <c r="B55" s="868"/>
      <c r="C55" s="275" t="s">
        <v>238</v>
      </c>
      <c r="D55" s="275" t="s">
        <v>237</v>
      </c>
      <c r="E55" s="276"/>
      <c r="F55" s="277"/>
      <c r="G55" s="331">
        <f t="shared" si="54"/>
        <v>0</v>
      </c>
      <c r="H55" s="278">
        <v>0</v>
      </c>
      <c r="I55" s="278">
        <v>0</v>
      </c>
      <c r="J55" s="349" t="str">
        <f t="shared" si="58"/>
        <v>-</v>
      </c>
      <c r="K55" s="331">
        <f t="shared" si="55"/>
        <v>0</v>
      </c>
      <c r="L55" s="272">
        <f t="shared" si="56"/>
        <v>0</v>
      </c>
      <c r="M55" s="273">
        <f t="shared" si="57"/>
        <v>0</v>
      </c>
      <c r="N55" s="335" t="str">
        <f t="shared" si="49"/>
        <v>-</v>
      </c>
      <c r="O55" s="263" t="str">
        <f t="shared" si="34"/>
        <v>-</v>
      </c>
    </row>
    <row r="56" spans="1:15" ht="24" x14ac:dyDescent="0.25">
      <c r="A56" s="274" t="s">
        <v>103</v>
      </c>
      <c r="B56" s="868"/>
      <c r="C56" s="294" t="s">
        <v>392</v>
      </c>
      <c r="D56" s="275" t="s">
        <v>237</v>
      </c>
      <c r="E56" s="276"/>
      <c r="F56" s="277"/>
      <c r="G56" s="331">
        <f t="shared" si="54"/>
        <v>0</v>
      </c>
      <c r="H56" s="278">
        <v>0</v>
      </c>
      <c r="I56" s="278">
        <v>0</v>
      </c>
      <c r="J56" s="349" t="str">
        <f t="shared" si="58"/>
        <v>-</v>
      </c>
      <c r="K56" s="331">
        <f t="shared" si="55"/>
        <v>0</v>
      </c>
      <c r="L56" s="272">
        <f t="shared" si="56"/>
        <v>0</v>
      </c>
      <c r="M56" s="273">
        <f t="shared" si="57"/>
        <v>0</v>
      </c>
      <c r="N56" s="335" t="str">
        <f t="shared" si="49"/>
        <v>-</v>
      </c>
      <c r="O56" s="263" t="str">
        <f t="shared" si="34"/>
        <v>-</v>
      </c>
    </row>
    <row r="57" spans="1:15" ht="24" x14ac:dyDescent="0.25">
      <c r="A57" s="274" t="s">
        <v>103</v>
      </c>
      <c r="B57" s="868"/>
      <c r="C57" s="294" t="s">
        <v>420</v>
      </c>
      <c r="D57" s="275" t="s">
        <v>237</v>
      </c>
      <c r="E57" s="276"/>
      <c r="F57" s="277"/>
      <c r="G57" s="331">
        <f t="shared" si="54"/>
        <v>0</v>
      </c>
      <c r="H57" s="278">
        <v>0</v>
      </c>
      <c r="I57" s="278">
        <v>0</v>
      </c>
      <c r="J57" s="349" t="str">
        <f t="shared" si="58"/>
        <v>-</v>
      </c>
      <c r="K57" s="331">
        <f t="shared" si="55"/>
        <v>0</v>
      </c>
      <c r="L57" s="272">
        <f t="shared" si="56"/>
        <v>0</v>
      </c>
      <c r="M57" s="273">
        <f t="shared" si="57"/>
        <v>0</v>
      </c>
      <c r="N57" s="335" t="str">
        <f t="shared" si="49"/>
        <v>-</v>
      </c>
      <c r="O57" s="263" t="str">
        <f t="shared" si="34"/>
        <v>-</v>
      </c>
    </row>
    <row r="58" spans="1:15" ht="24" x14ac:dyDescent="0.25">
      <c r="A58" s="274" t="s">
        <v>103</v>
      </c>
      <c r="B58" s="868"/>
      <c r="C58" s="294" t="s">
        <v>240</v>
      </c>
      <c r="D58" s="275" t="s">
        <v>242</v>
      </c>
      <c r="E58" s="276"/>
      <c r="F58" s="277"/>
      <c r="G58" s="331">
        <f t="shared" si="54"/>
        <v>0</v>
      </c>
      <c r="H58" s="278">
        <v>0</v>
      </c>
      <c r="I58" s="278">
        <v>0</v>
      </c>
      <c r="J58" s="349" t="str">
        <f t="shared" si="58"/>
        <v>-</v>
      </c>
      <c r="K58" s="331">
        <f t="shared" si="55"/>
        <v>0</v>
      </c>
      <c r="L58" s="272">
        <f t="shared" si="56"/>
        <v>0</v>
      </c>
      <c r="M58" s="273">
        <f t="shared" si="57"/>
        <v>0</v>
      </c>
      <c r="N58" s="335" t="str">
        <f t="shared" si="49"/>
        <v>-</v>
      </c>
      <c r="O58" s="263" t="str">
        <f t="shared" si="34"/>
        <v>-</v>
      </c>
    </row>
    <row r="59" spans="1:15" ht="24" x14ac:dyDescent="0.25">
      <c r="A59" s="274"/>
      <c r="B59" s="869"/>
      <c r="C59" s="294" t="s">
        <v>481</v>
      </c>
      <c r="D59" s="275" t="s">
        <v>237</v>
      </c>
      <c r="E59" s="280"/>
      <c r="F59" s="281"/>
      <c r="G59" s="331">
        <f t="shared" si="54"/>
        <v>0</v>
      </c>
      <c r="H59" s="278">
        <v>0</v>
      </c>
      <c r="I59" s="278">
        <v>0</v>
      </c>
      <c r="J59" s="349" t="str">
        <f t="shared" si="58"/>
        <v>-</v>
      </c>
      <c r="K59" s="331">
        <f t="shared" si="55"/>
        <v>0</v>
      </c>
      <c r="L59" s="272">
        <f t="shared" si="56"/>
        <v>0</v>
      </c>
      <c r="M59" s="273">
        <f t="shared" si="57"/>
        <v>0</v>
      </c>
      <c r="N59" s="335" t="str">
        <f t="shared" si="49"/>
        <v>-</v>
      </c>
      <c r="O59" s="263" t="str">
        <f t="shared" si="34"/>
        <v>-</v>
      </c>
    </row>
    <row r="60" spans="1:15" ht="24.75" thickBot="1" x14ac:dyDescent="0.3">
      <c r="A60" s="274" t="s">
        <v>103</v>
      </c>
      <c r="B60" s="869"/>
      <c r="C60" s="294" t="s">
        <v>241</v>
      </c>
      <c r="D60" s="275" t="s">
        <v>237</v>
      </c>
      <c r="E60" s="280"/>
      <c r="F60" s="281"/>
      <c r="G60" s="332">
        <f t="shared" si="54"/>
        <v>0</v>
      </c>
      <c r="H60" s="278">
        <v>0</v>
      </c>
      <c r="I60" s="278">
        <v>0</v>
      </c>
      <c r="J60" s="349" t="str">
        <f t="shared" si="58"/>
        <v>-</v>
      </c>
      <c r="K60" s="332">
        <f t="shared" si="55"/>
        <v>0</v>
      </c>
      <c r="L60" s="272">
        <f t="shared" si="56"/>
        <v>0</v>
      </c>
      <c r="M60" s="273">
        <f t="shared" si="57"/>
        <v>0</v>
      </c>
      <c r="N60" s="336" t="str">
        <f t="shared" si="49"/>
        <v>-</v>
      </c>
      <c r="O60" s="345" t="str">
        <f t="shared" si="34"/>
        <v>-</v>
      </c>
    </row>
    <row r="61" spans="1:15" ht="23.25" thickBot="1" x14ac:dyDescent="0.3">
      <c r="A61" s="274" t="s">
        <v>103</v>
      </c>
      <c r="B61" s="845" t="s">
        <v>49</v>
      </c>
      <c r="C61" s="846"/>
      <c r="D61" s="847"/>
      <c r="E61" s="283">
        <f>SUM(E52:E60)</f>
        <v>0</v>
      </c>
      <c r="F61" s="284">
        <v>14000</v>
      </c>
      <c r="G61" s="319">
        <f>SUM(G52:G60)</f>
        <v>0</v>
      </c>
      <c r="H61" s="320">
        <f t="shared" ref="H61:I61" si="59">SUM(H52:H60)</f>
        <v>0</v>
      </c>
      <c r="I61" s="320">
        <f t="shared" si="59"/>
        <v>0</v>
      </c>
      <c r="J61" s="343">
        <f>+G62/F62</f>
        <v>2.170212765957447E-2</v>
      </c>
      <c r="K61" s="319">
        <f>SUM(K52:K60)</f>
        <v>0</v>
      </c>
      <c r="L61" s="320">
        <f>+H61</f>
        <v>0</v>
      </c>
      <c r="M61" s="321">
        <f>+I61</f>
        <v>0</v>
      </c>
      <c r="N61" s="337" t="str">
        <f t="shared" si="49"/>
        <v>-</v>
      </c>
      <c r="O61" s="343" t="str">
        <f t="shared" si="34"/>
        <v>-</v>
      </c>
    </row>
    <row r="62" spans="1:15" ht="23.25" thickBot="1" x14ac:dyDescent="0.3">
      <c r="A62" s="274" t="s">
        <v>103</v>
      </c>
      <c r="B62" s="853" t="s">
        <v>25</v>
      </c>
      <c r="C62" s="854"/>
      <c r="D62" s="855"/>
      <c r="E62" s="324">
        <f t="shared" ref="E62:F62" si="60">+E51+E61</f>
        <v>0</v>
      </c>
      <c r="F62" s="325">
        <f t="shared" si="60"/>
        <v>94000</v>
      </c>
      <c r="G62" s="324">
        <f>+G51+G61</f>
        <v>2040</v>
      </c>
      <c r="H62" s="322">
        <f t="shared" ref="H62:I62" si="61">+H51+H61</f>
        <v>1980</v>
      </c>
      <c r="I62" s="322">
        <f t="shared" si="61"/>
        <v>60</v>
      </c>
      <c r="J62" s="347" t="str">
        <f>IFERROR(G62/#REF!,"-")</f>
        <v>-</v>
      </c>
      <c r="K62" s="324">
        <f t="shared" ref="K62" si="62">+K51+K61</f>
        <v>2040</v>
      </c>
      <c r="L62" s="322">
        <f>+L51+L61</f>
        <v>1980</v>
      </c>
      <c r="M62" s="323">
        <f t="shared" ref="M62" si="63">+M51+M61</f>
        <v>60</v>
      </c>
      <c r="N62" s="339" t="str">
        <f t="shared" si="49"/>
        <v>-</v>
      </c>
      <c r="O62" s="347">
        <f t="shared" si="34"/>
        <v>2.9411764705882353E-2</v>
      </c>
    </row>
    <row r="63" spans="1:15" ht="23.25" thickBot="1" x14ac:dyDescent="0.3">
      <c r="A63" s="274" t="s">
        <v>103</v>
      </c>
      <c r="B63" s="839" t="s">
        <v>172</v>
      </c>
      <c r="C63" s="840"/>
      <c r="D63" s="865"/>
      <c r="E63" s="328">
        <f>+E46+E62</f>
        <v>0</v>
      </c>
      <c r="F63" s="329">
        <f t="shared" ref="F63:I63" si="64">+F46+F62</f>
        <v>449000</v>
      </c>
      <c r="G63" s="328">
        <f t="shared" si="64"/>
        <v>112380</v>
      </c>
      <c r="H63" s="326">
        <f t="shared" si="64"/>
        <v>111600</v>
      </c>
      <c r="I63" s="326">
        <f t="shared" si="64"/>
        <v>780</v>
      </c>
      <c r="J63" s="348">
        <f>+G63/F63</f>
        <v>0.25028953229398665</v>
      </c>
      <c r="K63" s="328">
        <f>+K46+K62</f>
        <v>112380</v>
      </c>
      <c r="L63" s="326">
        <f t="shared" ref="L63:M63" si="65">+L46+L62</f>
        <v>111600</v>
      </c>
      <c r="M63" s="327">
        <f t="shared" si="65"/>
        <v>780</v>
      </c>
      <c r="N63" s="340" t="str">
        <f>IFERROR(K63/E63,"-")</f>
        <v>-</v>
      </c>
      <c r="O63" s="348">
        <f t="shared" si="34"/>
        <v>6.9407367859049655E-3</v>
      </c>
    </row>
    <row r="64" spans="1:15" ht="24" x14ac:dyDescent="0.25">
      <c r="A64" s="268" t="s">
        <v>101</v>
      </c>
      <c r="B64" s="849" t="s">
        <v>26</v>
      </c>
      <c r="C64" s="736" t="s">
        <v>296</v>
      </c>
      <c r="D64" s="741" t="s">
        <v>177</v>
      </c>
      <c r="E64" s="738"/>
      <c r="F64" s="271"/>
      <c r="G64" s="330">
        <f t="shared" ref="G64:G73" si="66">+H64+I64</f>
        <v>0</v>
      </c>
      <c r="H64" s="272">
        <v>0</v>
      </c>
      <c r="I64" s="272">
        <v>0</v>
      </c>
      <c r="J64" s="349" t="str">
        <f>IFERROR(G64/F64,"-")</f>
        <v>-</v>
      </c>
      <c r="K64" s="330">
        <f t="shared" ref="K64:K73" si="67">+L64+M64</f>
        <v>0</v>
      </c>
      <c r="L64" s="272">
        <f t="shared" ref="L64:L73" si="68">+H64</f>
        <v>0</v>
      </c>
      <c r="M64" s="273">
        <f t="shared" ref="M64:M73" si="69">+I64</f>
        <v>0</v>
      </c>
      <c r="N64" s="334" t="str">
        <f t="shared" ref="N64:N82" si="70">IFERROR(K64/E64,"-")</f>
        <v>-</v>
      </c>
      <c r="O64" s="344" t="str">
        <f t="shared" si="34"/>
        <v>-</v>
      </c>
    </row>
    <row r="65" spans="1:15" ht="24" x14ac:dyDescent="0.25">
      <c r="A65" s="274" t="s">
        <v>101</v>
      </c>
      <c r="B65" s="849"/>
      <c r="C65" s="253" t="s">
        <v>422</v>
      </c>
      <c r="D65" s="742" t="s">
        <v>421</v>
      </c>
      <c r="E65" s="507"/>
      <c r="F65" s="277"/>
      <c r="G65" s="331">
        <f t="shared" si="66"/>
        <v>0</v>
      </c>
      <c r="H65" s="278">
        <v>0</v>
      </c>
      <c r="I65" s="278">
        <v>0</v>
      </c>
      <c r="J65" s="349" t="str">
        <f t="shared" ref="J65:J73" si="71">IFERROR(G65/F65,"-")</f>
        <v>-</v>
      </c>
      <c r="K65" s="331">
        <f t="shared" si="67"/>
        <v>0</v>
      </c>
      <c r="L65" s="272">
        <f t="shared" si="68"/>
        <v>0</v>
      </c>
      <c r="M65" s="273">
        <f t="shared" si="69"/>
        <v>0</v>
      </c>
      <c r="N65" s="335" t="str">
        <f t="shared" si="70"/>
        <v>-</v>
      </c>
      <c r="O65" s="263" t="str">
        <f t="shared" si="34"/>
        <v>-</v>
      </c>
    </row>
    <row r="66" spans="1:15" ht="24" x14ac:dyDescent="0.25">
      <c r="A66" s="274" t="s">
        <v>101</v>
      </c>
      <c r="B66" s="849"/>
      <c r="C66" s="721" t="s">
        <v>27</v>
      </c>
      <c r="D66" s="742" t="s">
        <v>332</v>
      </c>
      <c r="E66" s="739"/>
      <c r="F66" s="281"/>
      <c r="G66" s="331">
        <f t="shared" si="66"/>
        <v>0</v>
      </c>
      <c r="H66" s="278">
        <v>0</v>
      </c>
      <c r="I66" s="278">
        <v>0</v>
      </c>
      <c r="J66" s="349" t="str">
        <f t="shared" si="71"/>
        <v>-</v>
      </c>
      <c r="K66" s="331">
        <f t="shared" si="67"/>
        <v>0</v>
      </c>
      <c r="L66" s="272">
        <f t="shared" si="68"/>
        <v>0</v>
      </c>
      <c r="M66" s="273">
        <f t="shared" si="69"/>
        <v>0</v>
      </c>
      <c r="N66" s="335" t="str">
        <f t="shared" si="70"/>
        <v>-</v>
      </c>
      <c r="O66" s="263" t="str">
        <f t="shared" si="34"/>
        <v>-</v>
      </c>
    </row>
    <row r="67" spans="1:15" ht="24" x14ac:dyDescent="0.25">
      <c r="A67" s="274" t="s">
        <v>101</v>
      </c>
      <c r="B67" s="849"/>
      <c r="C67" s="721" t="s">
        <v>27</v>
      </c>
      <c r="D67" s="743" t="s">
        <v>468</v>
      </c>
      <c r="E67" s="739"/>
      <c r="F67" s="281"/>
      <c r="G67" s="331">
        <f t="shared" si="66"/>
        <v>0</v>
      </c>
      <c r="H67" s="278">
        <v>0</v>
      </c>
      <c r="I67" s="278">
        <v>0</v>
      </c>
      <c r="J67" s="349" t="str">
        <f t="shared" si="71"/>
        <v>-</v>
      </c>
      <c r="K67" s="331">
        <f t="shared" si="67"/>
        <v>0</v>
      </c>
      <c r="L67" s="272">
        <f t="shared" si="68"/>
        <v>0</v>
      </c>
      <c r="M67" s="273">
        <f t="shared" si="69"/>
        <v>0</v>
      </c>
      <c r="N67" s="335" t="str">
        <f t="shared" si="70"/>
        <v>-</v>
      </c>
      <c r="O67" s="263" t="str">
        <f t="shared" si="34"/>
        <v>-</v>
      </c>
    </row>
    <row r="68" spans="1:15" ht="24" x14ac:dyDescent="0.25">
      <c r="A68" s="274" t="s">
        <v>101</v>
      </c>
      <c r="B68" s="849"/>
      <c r="C68" s="736" t="s">
        <v>475</v>
      </c>
      <c r="D68" s="742" t="s">
        <v>233</v>
      </c>
      <c r="E68" s="739"/>
      <c r="F68" s="281"/>
      <c r="G68" s="331">
        <f t="shared" si="66"/>
        <v>0</v>
      </c>
      <c r="H68" s="278">
        <v>0</v>
      </c>
      <c r="I68" s="278">
        <v>0</v>
      </c>
      <c r="J68" s="349" t="str">
        <f t="shared" si="71"/>
        <v>-</v>
      </c>
      <c r="K68" s="331">
        <f t="shared" si="67"/>
        <v>0</v>
      </c>
      <c r="L68" s="272">
        <f t="shared" si="68"/>
        <v>0</v>
      </c>
      <c r="M68" s="273">
        <f t="shared" si="69"/>
        <v>0</v>
      </c>
      <c r="N68" s="335" t="str">
        <f t="shared" si="70"/>
        <v>-</v>
      </c>
      <c r="O68" s="263" t="str">
        <f t="shared" si="34"/>
        <v>-</v>
      </c>
    </row>
    <row r="69" spans="1:15" ht="24" x14ac:dyDescent="0.25">
      <c r="A69" s="274"/>
      <c r="B69" s="849"/>
      <c r="C69" s="721" t="s">
        <v>485</v>
      </c>
      <c r="D69" s="742" t="s">
        <v>502</v>
      </c>
      <c r="E69" s="739"/>
      <c r="F69" s="281"/>
      <c r="G69" s="332">
        <f t="shared" si="66"/>
        <v>16572</v>
      </c>
      <c r="H69" s="278">
        <v>15912</v>
      </c>
      <c r="I69" s="278">
        <v>660</v>
      </c>
      <c r="J69" s="349" t="str">
        <f t="shared" si="71"/>
        <v>-</v>
      </c>
      <c r="K69" s="332">
        <f t="shared" si="67"/>
        <v>16572</v>
      </c>
      <c r="L69" s="272">
        <f t="shared" si="68"/>
        <v>15912</v>
      </c>
      <c r="M69" s="273">
        <f t="shared" si="69"/>
        <v>660</v>
      </c>
      <c r="N69" s="335" t="str">
        <f t="shared" si="70"/>
        <v>-</v>
      </c>
      <c r="O69" s="263">
        <f t="shared" si="34"/>
        <v>3.9826212889210719E-2</v>
      </c>
    </row>
    <row r="70" spans="1:15" ht="24" x14ac:dyDescent="0.25">
      <c r="A70" s="274"/>
      <c r="B70" s="849"/>
      <c r="C70" s="721" t="s">
        <v>331</v>
      </c>
      <c r="D70" s="742" t="s">
        <v>94</v>
      </c>
      <c r="E70" s="739"/>
      <c r="F70" s="281"/>
      <c r="G70" s="332">
        <f t="shared" si="66"/>
        <v>0</v>
      </c>
      <c r="H70" s="278">
        <v>0</v>
      </c>
      <c r="I70" s="278">
        <v>0</v>
      </c>
      <c r="J70" s="349" t="str">
        <f t="shared" si="71"/>
        <v>-</v>
      </c>
      <c r="K70" s="332">
        <f t="shared" si="67"/>
        <v>0</v>
      </c>
      <c r="L70" s="272">
        <f t="shared" si="68"/>
        <v>0</v>
      </c>
      <c r="M70" s="273">
        <f t="shared" si="69"/>
        <v>0</v>
      </c>
      <c r="N70" s="335" t="str">
        <f t="shared" si="70"/>
        <v>-</v>
      </c>
      <c r="O70" s="263" t="str">
        <f t="shared" si="34"/>
        <v>-</v>
      </c>
    </row>
    <row r="71" spans="1:15" ht="24" x14ac:dyDescent="0.25">
      <c r="A71" s="274"/>
      <c r="B71" s="849"/>
      <c r="C71" s="721" t="s">
        <v>429</v>
      </c>
      <c r="D71" s="742" t="s">
        <v>480</v>
      </c>
      <c r="E71" s="739"/>
      <c r="F71" s="281"/>
      <c r="G71" s="332">
        <f t="shared" si="66"/>
        <v>0</v>
      </c>
      <c r="H71" s="278">
        <v>0</v>
      </c>
      <c r="I71" s="278">
        <v>0</v>
      </c>
      <c r="J71" s="349" t="str">
        <f t="shared" si="71"/>
        <v>-</v>
      </c>
      <c r="K71" s="332">
        <f t="shared" si="67"/>
        <v>0</v>
      </c>
      <c r="L71" s="272">
        <f t="shared" si="68"/>
        <v>0</v>
      </c>
      <c r="M71" s="272">
        <f t="shared" si="69"/>
        <v>0</v>
      </c>
      <c r="N71" s="335" t="str">
        <f t="shared" si="70"/>
        <v>-</v>
      </c>
      <c r="O71" s="263" t="str">
        <f t="shared" si="34"/>
        <v>-</v>
      </c>
    </row>
    <row r="72" spans="1:15" ht="24" x14ac:dyDescent="0.25">
      <c r="A72" s="274"/>
      <c r="B72" s="849"/>
      <c r="C72" s="721" t="s">
        <v>380</v>
      </c>
      <c r="D72" s="742" t="s">
        <v>364</v>
      </c>
      <c r="E72" s="739"/>
      <c r="F72" s="281"/>
      <c r="G72" s="332">
        <f t="shared" si="66"/>
        <v>0</v>
      </c>
      <c r="H72" s="278">
        <v>0</v>
      </c>
      <c r="I72" s="278">
        <v>0</v>
      </c>
      <c r="J72" s="349" t="str">
        <f t="shared" si="71"/>
        <v>-</v>
      </c>
      <c r="K72" s="332">
        <f t="shared" si="67"/>
        <v>0</v>
      </c>
      <c r="L72" s="272">
        <f t="shared" si="68"/>
        <v>0</v>
      </c>
      <c r="M72" s="273">
        <f t="shared" si="69"/>
        <v>0</v>
      </c>
      <c r="N72" s="335" t="str">
        <f t="shared" si="70"/>
        <v>-</v>
      </c>
      <c r="O72" s="263" t="str">
        <f t="shared" si="34"/>
        <v>-</v>
      </c>
    </row>
    <row r="73" spans="1:15" ht="24.75" thickBot="1" x14ac:dyDescent="0.3">
      <c r="A73" s="274" t="s">
        <v>101</v>
      </c>
      <c r="B73" s="849"/>
      <c r="C73" s="737" t="s">
        <v>289</v>
      </c>
      <c r="D73" s="744" t="s">
        <v>288</v>
      </c>
      <c r="E73" s="739"/>
      <c r="F73" s="281"/>
      <c r="G73" s="332">
        <f t="shared" si="66"/>
        <v>0</v>
      </c>
      <c r="H73" s="278">
        <v>0</v>
      </c>
      <c r="I73" s="278">
        <v>0</v>
      </c>
      <c r="J73" s="349" t="str">
        <f t="shared" si="71"/>
        <v>-</v>
      </c>
      <c r="K73" s="332">
        <f t="shared" si="67"/>
        <v>0</v>
      </c>
      <c r="L73" s="272">
        <f t="shared" si="68"/>
        <v>0</v>
      </c>
      <c r="M73" s="273">
        <f t="shared" si="69"/>
        <v>0</v>
      </c>
      <c r="N73" s="335" t="str">
        <f t="shared" si="70"/>
        <v>-</v>
      </c>
      <c r="O73" s="345" t="str">
        <f t="shared" si="34"/>
        <v>-</v>
      </c>
    </row>
    <row r="74" spans="1:15" ht="23.25" thickBot="1" x14ac:dyDescent="0.3">
      <c r="A74" s="274" t="s">
        <v>101</v>
      </c>
      <c r="B74" s="866"/>
      <c r="C74" s="300"/>
      <c r="D74" s="740" t="s">
        <v>52</v>
      </c>
      <c r="E74" s="283">
        <f>SUM(E64:E73)</f>
        <v>0</v>
      </c>
      <c r="F74" s="284">
        <v>160000</v>
      </c>
      <c r="G74" s="319">
        <f>SUM(G64:G73)</f>
        <v>16572</v>
      </c>
      <c r="H74" s="320">
        <f>SUM(H64:H73)</f>
        <v>15912</v>
      </c>
      <c r="I74" s="320">
        <f>SUM(I64:I73)</f>
        <v>660</v>
      </c>
      <c r="J74" s="343">
        <f>+G74/F74</f>
        <v>0.103575</v>
      </c>
      <c r="K74" s="319">
        <f>SUM(K64:K73)</f>
        <v>16572</v>
      </c>
      <c r="L74" s="320">
        <f>SUM(L64:L73)</f>
        <v>15912</v>
      </c>
      <c r="M74" s="321">
        <f>SUM(M64:M73)</f>
        <v>660</v>
      </c>
      <c r="N74" s="337" t="str">
        <f t="shared" si="70"/>
        <v>-</v>
      </c>
      <c r="O74" s="343">
        <f t="shared" si="34"/>
        <v>3.9826212889210719E-2</v>
      </c>
    </row>
    <row r="75" spans="1:15" ht="24" x14ac:dyDescent="0.25">
      <c r="A75" s="274" t="s">
        <v>101</v>
      </c>
      <c r="B75" s="848" t="s">
        <v>28</v>
      </c>
      <c r="C75" s="298" t="s">
        <v>27</v>
      </c>
      <c r="D75" s="296" t="s">
        <v>468</v>
      </c>
      <c r="E75" s="270"/>
      <c r="F75" s="271"/>
      <c r="G75" s="330">
        <f t="shared" ref="G75:G79" si="72">+H75+I75</f>
        <v>0</v>
      </c>
      <c r="H75" s="272">
        <v>0</v>
      </c>
      <c r="I75" s="272">
        <v>0</v>
      </c>
      <c r="J75" s="349" t="str">
        <f>IFERROR(G75/F75,"-")</f>
        <v>-</v>
      </c>
      <c r="K75" s="330">
        <f t="shared" ref="K75:K81" si="73">+L75+M75</f>
        <v>0</v>
      </c>
      <c r="L75" s="272">
        <f t="shared" ref="L75:L81" si="74">+H75</f>
        <v>0</v>
      </c>
      <c r="M75" s="273">
        <f t="shared" ref="M75:M81" si="75">+I75</f>
        <v>0</v>
      </c>
      <c r="N75" s="334" t="str">
        <f t="shared" si="70"/>
        <v>-</v>
      </c>
      <c r="O75" s="344" t="str">
        <f t="shared" si="34"/>
        <v>-</v>
      </c>
    </row>
    <row r="76" spans="1:15" ht="24" x14ac:dyDescent="0.25">
      <c r="A76" s="274" t="s">
        <v>101</v>
      </c>
      <c r="B76" s="849"/>
      <c r="C76" s="298" t="s">
        <v>383</v>
      </c>
      <c r="D76" s="298" t="s">
        <v>332</v>
      </c>
      <c r="E76" s="276"/>
      <c r="F76" s="277"/>
      <c r="G76" s="331">
        <f t="shared" si="72"/>
        <v>0</v>
      </c>
      <c r="H76" s="278">
        <v>0</v>
      </c>
      <c r="I76" s="278">
        <v>0</v>
      </c>
      <c r="J76" s="349" t="str">
        <f t="shared" ref="J76:J81" si="76">IFERROR(G76/F76,"-")</f>
        <v>-</v>
      </c>
      <c r="K76" s="331">
        <f t="shared" si="73"/>
        <v>0</v>
      </c>
      <c r="L76" s="272">
        <f t="shared" si="74"/>
        <v>0</v>
      </c>
      <c r="M76" s="273">
        <f t="shared" si="75"/>
        <v>0</v>
      </c>
      <c r="N76" s="335" t="str">
        <f t="shared" si="70"/>
        <v>-</v>
      </c>
      <c r="O76" s="263" t="str">
        <f t="shared" si="34"/>
        <v>-</v>
      </c>
    </row>
    <row r="77" spans="1:15" ht="24" x14ac:dyDescent="0.25">
      <c r="A77" s="274" t="s">
        <v>101</v>
      </c>
      <c r="B77" s="849"/>
      <c r="C77" s="298" t="s">
        <v>27</v>
      </c>
      <c r="D77" s="298" t="s">
        <v>332</v>
      </c>
      <c r="E77" s="276"/>
      <c r="F77" s="277"/>
      <c r="G77" s="331">
        <f t="shared" si="72"/>
        <v>0</v>
      </c>
      <c r="H77" s="278">
        <v>0</v>
      </c>
      <c r="I77" s="278">
        <v>0</v>
      </c>
      <c r="J77" s="349" t="str">
        <f t="shared" si="76"/>
        <v>-</v>
      </c>
      <c r="K77" s="331">
        <f t="shared" si="73"/>
        <v>0</v>
      </c>
      <c r="L77" s="272">
        <f t="shared" si="74"/>
        <v>0</v>
      </c>
      <c r="M77" s="273">
        <f t="shared" si="75"/>
        <v>0</v>
      </c>
      <c r="N77" s="335" t="str">
        <f t="shared" si="70"/>
        <v>-</v>
      </c>
      <c r="O77" s="263" t="str">
        <f t="shared" si="34"/>
        <v>-</v>
      </c>
    </row>
    <row r="78" spans="1:15" ht="24" x14ac:dyDescent="0.25">
      <c r="A78" s="274"/>
      <c r="B78" s="849"/>
      <c r="C78" s="298" t="s">
        <v>454</v>
      </c>
      <c r="D78" s="298" t="s">
        <v>332</v>
      </c>
      <c r="E78" s="280"/>
      <c r="F78" s="281"/>
      <c r="G78" s="331">
        <f t="shared" si="72"/>
        <v>0</v>
      </c>
      <c r="H78" s="278">
        <v>0</v>
      </c>
      <c r="I78" s="278">
        <v>0</v>
      </c>
      <c r="J78" s="349" t="str">
        <f t="shared" si="76"/>
        <v>-</v>
      </c>
      <c r="K78" s="331">
        <f t="shared" si="73"/>
        <v>0</v>
      </c>
      <c r="L78" s="272">
        <f t="shared" si="74"/>
        <v>0</v>
      </c>
      <c r="M78" s="273">
        <f t="shared" si="75"/>
        <v>0</v>
      </c>
      <c r="N78" s="335" t="str">
        <f t="shared" si="70"/>
        <v>-</v>
      </c>
      <c r="O78" s="263" t="str">
        <f t="shared" si="34"/>
        <v>-</v>
      </c>
    </row>
    <row r="79" spans="1:15" ht="24" x14ac:dyDescent="0.25">
      <c r="A79" s="274" t="s">
        <v>101</v>
      </c>
      <c r="B79" s="849"/>
      <c r="C79" s="298" t="s">
        <v>503</v>
      </c>
      <c r="D79" s="742" t="s">
        <v>502</v>
      </c>
      <c r="E79" s="280"/>
      <c r="F79" s="281"/>
      <c r="G79" s="332">
        <f t="shared" si="72"/>
        <v>28447</v>
      </c>
      <c r="H79" s="278">
        <v>27846</v>
      </c>
      <c r="I79" s="278">
        <v>601</v>
      </c>
      <c r="J79" s="349" t="str">
        <f t="shared" si="76"/>
        <v>-</v>
      </c>
      <c r="K79" s="332">
        <f t="shared" si="73"/>
        <v>28447</v>
      </c>
      <c r="L79" s="272">
        <f t="shared" si="74"/>
        <v>27846</v>
      </c>
      <c r="M79" s="663">
        <f t="shared" si="75"/>
        <v>601</v>
      </c>
      <c r="N79" s="336" t="str">
        <f t="shared" si="70"/>
        <v>-</v>
      </c>
      <c r="O79" s="345">
        <f t="shared" si="34"/>
        <v>2.1127008120364187E-2</v>
      </c>
    </row>
    <row r="80" spans="1:15" ht="24" x14ac:dyDescent="0.25">
      <c r="A80" s="274"/>
      <c r="B80" s="849"/>
      <c r="C80" s="298" t="s">
        <v>452</v>
      </c>
      <c r="D80" s="299" t="s">
        <v>279</v>
      </c>
      <c r="E80" s="280"/>
      <c r="F80" s="281"/>
      <c r="G80" s="332"/>
      <c r="H80" s="278">
        <v>0</v>
      </c>
      <c r="I80" s="278">
        <v>0</v>
      </c>
      <c r="J80" s="349" t="str">
        <f t="shared" si="76"/>
        <v>-</v>
      </c>
      <c r="K80" s="332">
        <f t="shared" si="73"/>
        <v>0</v>
      </c>
      <c r="L80" s="272">
        <f t="shared" si="74"/>
        <v>0</v>
      </c>
      <c r="M80" s="272">
        <f t="shared" si="75"/>
        <v>0</v>
      </c>
      <c r="N80" s="336" t="str">
        <f t="shared" si="70"/>
        <v>-</v>
      </c>
      <c r="O80" s="345" t="str">
        <f t="shared" si="34"/>
        <v>-</v>
      </c>
    </row>
    <row r="81" spans="1:15" ht="24.75" thickBot="1" x14ac:dyDescent="0.3">
      <c r="A81" s="274" t="s">
        <v>101</v>
      </c>
      <c r="B81" s="849"/>
      <c r="C81" s="298" t="s">
        <v>27</v>
      </c>
      <c r="D81" s="299" t="s">
        <v>233</v>
      </c>
      <c r="E81" s="280"/>
      <c r="F81" s="281"/>
      <c r="G81" s="332">
        <f t="shared" ref="G81" si="77">+H81+I81</f>
        <v>0</v>
      </c>
      <c r="H81" s="278">
        <v>0</v>
      </c>
      <c r="I81" s="278">
        <v>0</v>
      </c>
      <c r="J81" s="349" t="str">
        <f t="shared" si="76"/>
        <v>-</v>
      </c>
      <c r="K81" s="332">
        <f t="shared" si="73"/>
        <v>0</v>
      </c>
      <c r="L81" s="272">
        <f t="shared" si="74"/>
        <v>0</v>
      </c>
      <c r="M81" s="663">
        <f t="shared" si="75"/>
        <v>0</v>
      </c>
      <c r="N81" s="336" t="str">
        <f t="shared" si="70"/>
        <v>-</v>
      </c>
      <c r="O81" s="345" t="str">
        <f t="shared" si="34"/>
        <v>-</v>
      </c>
    </row>
    <row r="82" spans="1:15" ht="23.25" thickBot="1" x14ac:dyDescent="0.3">
      <c r="A82" s="274" t="s">
        <v>101</v>
      </c>
      <c r="B82" s="849"/>
      <c r="C82" s="303"/>
      <c r="D82" s="304" t="s">
        <v>52</v>
      </c>
      <c r="E82" s="305">
        <f>SUM(E75:E81)</f>
        <v>0</v>
      </c>
      <c r="F82" s="306">
        <v>80000</v>
      </c>
      <c r="G82" s="364">
        <f>SUM(G75:G81)</f>
        <v>28447</v>
      </c>
      <c r="H82" s="363">
        <f>SUM(H75:H81)</f>
        <v>27846</v>
      </c>
      <c r="I82" s="363">
        <f>SUM(I75:I81)</f>
        <v>601</v>
      </c>
      <c r="J82" s="354">
        <f>+G82/F82</f>
        <v>0.3555875</v>
      </c>
      <c r="K82" s="364">
        <f>SUM(K75:K81)</f>
        <v>28447</v>
      </c>
      <c r="L82" s="363">
        <f>SUM(L75:L81)</f>
        <v>27846</v>
      </c>
      <c r="M82" s="365">
        <f>SUM(M75:M81)</f>
        <v>601</v>
      </c>
      <c r="N82" s="353" t="str">
        <f t="shared" si="70"/>
        <v>-</v>
      </c>
      <c r="O82" s="354">
        <f t="shared" si="34"/>
        <v>2.1127008120364187E-2</v>
      </c>
    </row>
    <row r="83" spans="1:15" ht="23.25" thickBot="1" x14ac:dyDescent="0.3">
      <c r="A83" s="759" t="s">
        <v>101</v>
      </c>
      <c r="B83" s="850" t="s">
        <v>162</v>
      </c>
      <c r="C83" s="851"/>
      <c r="D83" s="852"/>
      <c r="E83" s="307">
        <f>+E82+E74</f>
        <v>0</v>
      </c>
      <c r="F83" s="308">
        <f>+F82+F74</f>
        <v>240000</v>
      </c>
      <c r="G83" s="367">
        <f>+G74+G82</f>
        <v>45019</v>
      </c>
      <c r="H83" s="366">
        <f>+H74+H82</f>
        <v>43758</v>
      </c>
      <c r="I83" s="366">
        <f>+I74+I82</f>
        <v>1261</v>
      </c>
      <c r="J83" s="356">
        <f>+G83/F83</f>
        <v>0.18757916666666666</v>
      </c>
      <c r="K83" s="367">
        <f>+K74+K82</f>
        <v>45019</v>
      </c>
      <c r="L83" s="366">
        <f>+L74+L82</f>
        <v>43758</v>
      </c>
      <c r="M83" s="368">
        <f>+M74+M82</f>
        <v>1261</v>
      </c>
      <c r="N83" s="355" t="str">
        <f>IFERROR(K83/E83,"-")</f>
        <v>-</v>
      </c>
      <c r="O83" s="356">
        <f t="shared" si="34"/>
        <v>2.8010395610742131E-2</v>
      </c>
    </row>
    <row r="84" spans="1:15" ht="24" x14ac:dyDescent="0.25">
      <c r="A84" s="274" t="s">
        <v>101</v>
      </c>
      <c r="B84" s="849" t="s">
        <v>30</v>
      </c>
      <c r="C84" s="302" t="s">
        <v>441</v>
      </c>
      <c r="D84" s="298" t="s">
        <v>468</v>
      </c>
      <c r="E84" s="270"/>
      <c r="F84" s="271"/>
      <c r="G84" s="330">
        <f t="shared" ref="G84:G86" si="78">+H84+I84</f>
        <v>0</v>
      </c>
      <c r="H84" s="272">
        <v>0</v>
      </c>
      <c r="I84" s="272">
        <v>0</v>
      </c>
      <c r="J84" s="349" t="str">
        <f>IFERROR(G84/F84,"-")</f>
        <v>-</v>
      </c>
      <c r="K84" s="330">
        <f t="shared" ref="K84:K86" si="79">+L84+M84</f>
        <v>0</v>
      </c>
      <c r="L84" s="272">
        <f t="shared" ref="L84:L86" si="80">+H84</f>
        <v>0</v>
      </c>
      <c r="M84" s="273">
        <f t="shared" ref="M84:M86" si="81">+I84</f>
        <v>0</v>
      </c>
      <c r="N84" s="334" t="str">
        <f t="shared" ref="N84:N97" si="82">IFERROR(K84/E84,"-")</f>
        <v>-</v>
      </c>
      <c r="O84" s="344" t="str">
        <f t="shared" si="34"/>
        <v>-</v>
      </c>
    </row>
    <row r="85" spans="1:15" ht="24" x14ac:dyDescent="0.25">
      <c r="A85" s="274" t="s">
        <v>101</v>
      </c>
      <c r="B85" s="849"/>
      <c r="C85" s="299" t="s">
        <v>482</v>
      </c>
      <c r="D85" s="302" t="s">
        <v>476</v>
      </c>
      <c r="E85" s="276"/>
      <c r="F85" s="277"/>
      <c r="G85" s="331">
        <f t="shared" si="78"/>
        <v>0</v>
      </c>
      <c r="H85" s="278">
        <v>0</v>
      </c>
      <c r="I85" s="278">
        <v>0</v>
      </c>
      <c r="J85" s="349" t="str">
        <f t="shared" ref="J85:J86" si="83">IFERROR(G85/F85,"-")</f>
        <v>-</v>
      </c>
      <c r="K85" s="331">
        <f t="shared" si="79"/>
        <v>0</v>
      </c>
      <c r="L85" s="272">
        <f t="shared" si="80"/>
        <v>0</v>
      </c>
      <c r="M85" s="273">
        <f t="shared" si="81"/>
        <v>0</v>
      </c>
      <c r="N85" s="335" t="str">
        <f t="shared" si="82"/>
        <v>-</v>
      </c>
      <c r="O85" s="263" t="str">
        <f t="shared" si="34"/>
        <v>-</v>
      </c>
    </row>
    <row r="86" spans="1:15" ht="24.75" thickBot="1" x14ac:dyDescent="0.3">
      <c r="A86" s="274" t="s">
        <v>101</v>
      </c>
      <c r="B86" s="849"/>
      <c r="C86" s="299" t="s">
        <v>290</v>
      </c>
      <c r="D86" s="299" t="s">
        <v>364</v>
      </c>
      <c r="E86" s="280"/>
      <c r="F86" s="281"/>
      <c r="G86" s="332">
        <f t="shared" si="78"/>
        <v>4844</v>
      </c>
      <c r="H86" s="282">
        <v>3744</v>
      </c>
      <c r="I86" s="282">
        <v>1100</v>
      </c>
      <c r="J86" s="349" t="str">
        <f t="shared" si="83"/>
        <v>-</v>
      </c>
      <c r="K86" s="332">
        <f t="shared" si="79"/>
        <v>4844</v>
      </c>
      <c r="L86" s="272">
        <f t="shared" si="80"/>
        <v>3744</v>
      </c>
      <c r="M86" s="273">
        <f t="shared" si="81"/>
        <v>1100</v>
      </c>
      <c r="N86" s="336" t="str">
        <f t="shared" si="82"/>
        <v>-</v>
      </c>
      <c r="O86" s="345">
        <f t="shared" si="34"/>
        <v>0.22708505367464904</v>
      </c>
    </row>
    <row r="87" spans="1:15" ht="23.25" thickBot="1" x14ac:dyDescent="0.3">
      <c r="A87" s="274" t="s">
        <v>101</v>
      </c>
      <c r="B87" s="849"/>
      <c r="C87" s="300"/>
      <c r="D87" s="301" t="s">
        <v>50</v>
      </c>
      <c r="E87" s="283">
        <f>SUM(E84:E86)</f>
        <v>0</v>
      </c>
      <c r="F87" s="284">
        <v>50000</v>
      </c>
      <c r="G87" s="319">
        <f>SUM(G84:G86)</f>
        <v>4844</v>
      </c>
      <c r="H87" s="320">
        <f>SUM(H84:H86)</f>
        <v>3744</v>
      </c>
      <c r="I87" s="320">
        <f>SUM(I84:I86)</f>
        <v>1100</v>
      </c>
      <c r="J87" s="343">
        <f>+G87/F87</f>
        <v>9.6879999999999994E-2</v>
      </c>
      <c r="K87" s="319">
        <f>SUM(K84:K86)</f>
        <v>4844</v>
      </c>
      <c r="L87" s="320">
        <f>SUM(L84:L86)</f>
        <v>3744</v>
      </c>
      <c r="M87" s="321">
        <f>SUM(M84:M86)</f>
        <v>1100</v>
      </c>
      <c r="N87" s="337" t="str">
        <f t="shared" si="82"/>
        <v>-</v>
      </c>
      <c r="O87" s="343">
        <f t="shared" si="34"/>
        <v>0.22708505367464904</v>
      </c>
    </row>
    <row r="88" spans="1:15" ht="24" x14ac:dyDescent="0.25">
      <c r="A88" s="274" t="s">
        <v>101</v>
      </c>
      <c r="B88" s="849"/>
      <c r="C88" s="296" t="s">
        <v>430</v>
      </c>
      <c r="D88" s="296" t="s">
        <v>92</v>
      </c>
      <c r="E88" s="270"/>
      <c r="F88" s="271"/>
      <c r="G88" s="330">
        <f t="shared" ref="G88:G93" si="84">+H88+I88</f>
        <v>0</v>
      </c>
      <c r="H88" s="272">
        <v>0</v>
      </c>
      <c r="I88" s="272">
        <v>0</v>
      </c>
      <c r="J88" s="349" t="str">
        <f>IFERROR(G88/F88,"-")</f>
        <v>-</v>
      </c>
      <c r="K88" s="330">
        <f t="shared" ref="K88:K93" si="85">+L88+M88</f>
        <v>0</v>
      </c>
      <c r="L88" s="272">
        <f t="shared" ref="L88:L93" si="86">+H88</f>
        <v>0</v>
      </c>
      <c r="M88" s="273">
        <f t="shared" ref="M88:M93" si="87">+I88</f>
        <v>0</v>
      </c>
      <c r="N88" s="334" t="str">
        <f t="shared" si="82"/>
        <v>-</v>
      </c>
      <c r="O88" s="344" t="str">
        <f t="shared" si="34"/>
        <v>-</v>
      </c>
    </row>
    <row r="89" spans="1:15" ht="24" x14ac:dyDescent="0.25">
      <c r="A89" s="274"/>
      <c r="B89" s="849"/>
      <c r="C89" s="302" t="s">
        <v>444</v>
      </c>
      <c r="D89" s="298" t="s">
        <v>332</v>
      </c>
      <c r="E89" s="270"/>
      <c r="F89" s="271"/>
      <c r="G89" s="330">
        <f t="shared" si="84"/>
        <v>0</v>
      </c>
      <c r="H89" s="272">
        <v>0</v>
      </c>
      <c r="I89" s="272">
        <v>0</v>
      </c>
      <c r="J89" s="349" t="str">
        <f t="shared" ref="J89:J93" si="88">IFERROR(G89/F89,"-")</f>
        <v>-</v>
      </c>
      <c r="K89" s="330">
        <f t="shared" si="85"/>
        <v>0</v>
      </c>
      <c r="L89" s="272">
        <f t="shared" si="86"/>
        <v>0</v>
      </c>
      <c r="M89" s="273">
        <f t="shared" si="87"/>
        <v>0</v>
      </c>
      <c r="N89" s="335" t="str">
        <f t="shared" si="82"/>
        <v>-</v>
      </c>
      <c r="O89" s="344" t="str">
        <f t="shared" si="34"/>
        <v>-</v>
      </c>
    </row>
    <row r="90" spans="1:15" ht="24" x14ac:dyDescent="0.25">
      <c r="A90" s="274"/>
      <c r="B90" s="849"/>
      <c r="C90" s="302" t="s">
        <v>447</v>
      </c>
      <c r="D90" s="298" t="s">
        <v>332</v>
      </c>
      <c r="E90" s="270"/>
      <c r="F90" s="271"/>
      <c r="G90" s="330">
        <f t="shared" si="84"/>
        <v>0</v>
      </c>
      <c r="H90" s="272">
        <v>0</v>
      </c>
      <c r="I90" s="272">
        <v>0</v>
      </c>
      <c r="J90" s="349" t="str">
        <f t="shared" si="88"/>
        <v>-</v>
      </c>
      <c r="K90" s="330">
        <f t="shared" si="85"/>
        <v>0</v>
      </c>
      <c r="L90" s="272">
        <f t="shared" si="86"/>
        <v>0</v>
      </c>
      <c r="M90" s="273">
        <f t="shared" si="87"/>
        <v>0</v>
      </c>
      <c r="N90" s="335" t="str">
        <f t="shared" si="82"/>
        <v>-</v>
      </c>
      <c r="O90" s="344" t="str">
        <f t="shared" si="34"/>
        <v>-</v>
      </c>
    </row>
    <row r="91" spans="1:15" ht="24" x14ac:dyDescent="0.25">
      <c r="A91" s="274" t="s">
        <v>101</v>
      </c>
      <c r="B91" s="849"/>
      <c r="C91" s="302" t="s">
        <v>474</v>
      </c>
      <c r="D91" s="299" t="s">
        <v>421</v>
      </c>
      <c r="E91" s="276"/>
      <c r="F91" s="277"/>
      <c r="G91" s="331">
        <f t="shared" si="84"/>
        <v>0</v>
      </c>
      <c r="H91" s="278">
        <v>0</v>
      </c>
      <c r="I91" s="272">
        <v>0</v>
      </c>
      <c r="J91" s="349" t="str">
        <f t="shared" si="88"/>
        <v>-</v>
      </c>
      <c r="K91" s="331">
        <f t="shared" si="85"/>
        <v>0</v>
      </c>
      <c r="L91" s="272">
        <f t="shared" si="86"/>
        <v>0</v>
      </c>
      <c r="M91" s="273">
        <f t="shared" si="87"/>
        <v>0</v>
      </c>
      <c r="N91" s="335" t="str">
        <f t="shared" si="82"/>
        <v>-</v>
      </c>
      <c r="O91" s="263" t="str">
        <f t="shared" si="34"/>
        <v>-</v>
      </c>
    </row>
    <row r="92" spans="1:15" ht="24" x14ac:dyDescent="0.25">
      <c r="A92" s="274"/>
      <c r="B92" s="849"/>
      <c r="C92" s="299" t="s">
        <v>453</v>
      </c>
      <c r="D92" s="299" t="s">
        <v>364</v>
      </c>
      <c r="E92" s="280"/>
      <c r="F92" s="281"/>
      <c r="G92" s="332">
        <f t="shared" si="84"/>
        <v>0</v>
      </c>
      <c r="H92" s="282">
        <v>0</v>
      </c>
      <c r="I92" s="278">
        <v>0</v>
      </c>
      <c r="J92" s="349" t="str">
        <f t="shared" si="88"/>
        <v>-</v>
      </c>
      <c r="K92" s="331">
        <f t="shared" si="85"/>
        <v>0</v>
      </c>
      <c r="L92" s="272">
        <f t="shared" si="86"/>
        <v>0</v>
      </c>
      <c r="M92" s="272">
        <f t="shared" si="87"/>
        <v>0</v>
      </c>
      <c r="N92" s="335" t="str">
        <f t="shared" si="82"/>
        <v>-</v>
      </c>
      <c r="O92" s="263" t="str">
        <f t="shared" si="34"/>
        <v>-</v>
      </c>
    </row>
    <row r="93" spans="1:15" ht="24.75" thickBot="1" x14ac:dyDescent="0.3">
      <c r="A93" s="274" t="s">
        <v>101</v>
      </c>
      <c r="B93" s="849"/>
      <c r="C93" s="299" t="s">
        <v>431</v>
      </c>
      <c r="D93" s="299" t="s">
        <v>421</v>
      </c>
      <c r="E93" s="280"/>
      <c r="F93" s="281"/>
      <c r="G93" s="332">
        <f t="shared" si="84"/>
        <v>0</v>
      </c>
      <c r="H93" s="282">
        <v>0</v>
      </c>
      <c r="I93" s="272">
        <v>0</v>
      </c>
      <c r="J93" s="349" t="str">
        <f t="shared" si="88"/>
        <v>-</v>
      </c>
      <c r="K93" s="332">
        <f t="shared" si="85"/>
        <v>0</v>
      </c>
      <c r="L93" s="272">
        <f t="shared" si="86"/>
        <v>0</v>
      </c>
      <c r="M93" s="273">
        <f t="shared" si="87"/>
        <v>0</v>
      </c>
      <c r="N93" s="336" t="str">
        <f t="shared" si="82"/>
        <v>-</v>
      </c>
      <c r="O93" s="345" t="str">
        <f t="shared" si="34"/>
        <v>-</v>
      </c>
    </row>
    <row r="94" spans="1:15" ht="23.25" thickBot="1" x14ac:dyDescent="0.3">
      <c r="A94" s="274" t="s">
        <v>101</v>
      </c>
      <c r="B94" s="849"/>
      <c r="C94" s="303"/>
      <c r="D94" s="304" t="s">
        <v>51</v>
      </c>
      <c r="E94" s="305">
        <f>SUM(E88:E93)</f>
        <v>0</v>
      </c>
      <c r="F94" s="306">
        <v>50000</v>
      </c>
      <c r="G94" s="364">
        <f>SUM(G88:G93)</f>
        <v>0</v>
      </c>
      <c r="H94" s="363">
        <f t="shared" ref="H94:I94" si="89">SUM(H88:H93)</f>
        <v>0</v>
      </c>
      <c r="I94" s="363">
        <f t="shared" si="89"/>
        <v>0</v>
      </c>
      <c r="J94" s="354">
        <f>+G94/F94</f>
        <v>0</v>
      </c>
      <c r="K94" s="364">
        <f t="shared" ref="K94:M94" si="90">SUM(K88:K93)</f>
        <v>0</v>
      </c>
      <c r="L94" s="363">
        <f t="shared" si="90"/>
        <v>0</v>
      </c>
      <c r="M94" s="365">
        <f t="shared" si="90"/>
        <v>0</v>
      </c>
      <c r="N94" s="353" t="str">
        <f t="shared" si="82"/>
        <v>-</v>
      </c>
      <c r="O94" s="354" t="str">
        <f t="shared" si="34"/>
        <v>-</v>
      </c>
    </row>
    <row r="95" spans="1:15" ht="23.25" thickBot="1" x14ac:dyDescent="0.3">
      <c r="A95" s="274" t="s">
        <v>101</v>
      </c>
      <c r="B95" s="850" t="s">
        <v>163</v>
      </c>
      <c r="C95" s="851"/>
      <c r="D95" s="852"/>
      <c r="E95" s="307">
        <f>+E94+E87</f>
        <v>0</v>
      </c>
      <c r="F95" s="308">
        <v>50000</v>
      </c>
      <c r="G95" s="367">
        <f>+G87+G94</f>
        <v>4844</v>
      </c>
      <c r="H95" s="366">
        <f t="shared" ref="H95:I95" si="91">+H87+H94</f>
        <v>3744</v>
      </c>
      <c r="I95" s="366">
        <f t="shared" si="91"/>
        <v>1100</v>
      </c>
      <c r="J95" s="356">
        <f>+G95/F95</f>
        <v>9.6879999999999994E-2</v>
      </c>
      <c r="K95" s="367">
        <f t="shared" ref="K95:M95" si="92">+K87+K94</f>
        <v>4844</v>
      </c>
      <c r="L95" s="366">
        <f t="shared" si="92"/>
        <v>3744</v>
      </c>
      <c r="M95" s="368">
        <f t="shared" si="92"/>
        <v>1100</v>
      </c>
      <c r="N95" s="355" t="str">
        <f t="shared" si="82"/>
        <v>-</v>
      </c>
      <c r="O95" s="356">
        <f t="shared" si="34"/>
        <v>0.22708505367464904</v>
      </c>
    </row>
    <row r="96" spans="1:15" ht="24.75" thickBot="1" x14ac:dyDescent="0.3">
      <c r="A96" s="274" t="s">
        <v>101</v>
      </c>
      <c r="B96" s="591" t="s">
        <v>32</v>
      </c>
      <c r="C96" s="758"/>
      <c r="D96" s="309" t="s">
        <v>32</v>
      </c>
      <c r="E96" s="286">
        <v>0</v>
      </c>
      <c r="F96" s="287">
        <v>110000</v>
      </c>
      <c r="G96" s="333">
        <f t="shared" ref="G96" si="93">+H96+I96</f>
        <v>0</v>
      </c>
      <c r="H96" s="288">
        <v>0</v>
      </c>
      <c r="I96" s="288">
        <v>0</v>
      </c>
      <c r="J96" s="352">
        <f>IFERROR(G96/F96,"-")</f>
        <v>0</v>
      </c>
      <c r="K96" s="333">
        <f>+L96+M96</f>
        <v>0</v>
      </c>
      <c r="L96" s="288">
        <f>+H96</f>
        <v>0</v>
      </c>
      <c r="M96" s="289">
        <f>+I96</f>
        <v>0</v>
      </c>
      <c r="N96" s="338" t="str">
        <f t="shared" si="82"/>
        <v>-</v>
      </c>
      <c r="O96" s="346" t="str">
        <f t="shared" si="34"/>
        <v>-</v>
      </c>
    </row>
    <row r="97" spans="1:15" ht="23.25" thickBot="1" x14ac:dyDescent="0.3">
      <c r="A97" s="274" t="s">
        <v>101</v>
      </c>
      <c r="B97" s="853" t="s">
        <v>21</v>
      </c>
      <c r="C97" s="854"/>
      <c r="D97" s="855"/>
      <c r="E97" s="324">
        <f>+E83+E95+E96</f>
        <v>0</v>
      </c>
      <c r="F97" s="325">
        <f>+F83+F95+F96</f>
        <v>400000</v>
      </c>
      <c r="G97" s="324">
        <f>+G83+G95+G96</f>
        <v>49863</v>
      </c>
      <c r="H97" s="322">
        <f>+H83+H95+H96</f>
        <v>47502</v>
      </c>
      <c r="I97" s="322">
        <f>+I83+I95+I96</f>
        <v>2361</v>
      </c>
      <c r="J97" s="347">
        <f>+G97/F97</f>
        <v>0.1246575</v>
      </c>
      <c r="K97" s="324">
        <f>+K83+K95+K96</f>
        <v>49863</v>
      </c>
      <c r="L97" s="322">
        <f>+L83+L95+L96</f>
        <v>47502</v>
      </c>
      <c r="M97" s="323">
        <f>+M83+M95+M96</f>
        <v>2361</v>
      </c>
      <c r="N97" s="339" t="str">
        <f t="shared" si="82"/>
        <v>-</v>
      </c>
      <c r="O97" s="347">
        <f t="shared" si="34"/>
        <v>4.7349738282895133E-2</v>
      </c>
    </row>
    <row r="98" spans="1:15" ht="23.25" thickBot="1" x14ac:dyDescent="0.3">
      <c r="A98" s="274" t="s">
        <v>101</v>
      </c>
      <c r="B98" s="839" t="s">
        <v>171</v>
      </c>
      <c r="C98" s="840"/>
      <c r="D98" s="841"/>
      <c r="E98" s="328">
        <f>+E97</f>
        <v>0</v>
      </c>
      <c r="F98" s="329">
        <f t="shared" ref="F98:I98" si="94">+F97</f>
        <v>400000</v>
      </c>
      <c r="G98" s="328">
        <f t="shared" si="94"/>
        <v>49863</v>
      </c>
      <c r="H98" s="326">
        <f t="shared" si="94"/>
        <v>47502</v>
      </c>
      <c r="I98" s="326">
        <f t="shared" si="94"/>
        <v>2361</v>
      </c>
      <c r="J98" s="732">
        <f>+G98/F98</f>
        <v>0.1246575</v>
      </c>
      <c r="K98" s="328">
        <f>+K97</f>
        <v>49863</v>
      </c>
      <c r="L98" s="326">
        <f t="shared" ref="L98" si="95">+L97</f>
        <v>47502</v>
      </c>
      <c r="M98" s="327">
        <f>+M97</f>
        <v>2361</v>
      </c>
      <c r="N98" s="340" t="str">
        <f t="shared" ref="N98:O98" si="96">+N97</f>
        <v>-</v>
      </c>
      <c r="O98" s="348">
        <f t="shared" si="96"/>
        <v>4.7349738282895133E-2</v>
      </c>
    </row>
    <row r="99" spans="1:15" ht="24" x14ac:dyDescent="0.25">
      <c r="A99" s="268" t="s">
        <v>102</v>
      </c>
      <c r="B99" s="842" t="s">
        <v>399</v>
      </c>
      <c r="C99" s="310" t="s">
        <v>113</v>
      </c>
      <c r="D99" s="310"/>
      <c r="E99" s="270"/>
      <c r="F99" s="271"/>
      <c r="G99" s="330">
        <f t="shared" ref="G99:G101" si="97">+H99+I99</f>
        <v>0</v>
      </c>
      <c r="H99" s="272">
        <v>0</v>
      </c>
      <c r="I99" s="272">
        <v>0</v>
      </c>
      <c r="J99" s="349" t="str">
        <f>IFERROR(G99/F99,"-")</f>
        <v>-</v>
      </c>
      <c r="K99" s="330">
        <f t="shared" ref="K99:K101" si="98">+L99+M99</f>
        <v>0</v>
      </c>
      <c r="L99" s="272">
        <f t="shared" ref="L99:L101" si="99">+H99</f>
        <v>0</v>
      </c>
      <c r="M99" s="273">
        <f t="shared" ref="M99:M101" si="100">+I99</f>
        <v>0</v>
      </c>
      <c r="N99" s="334" t="str">
        <f t="shared" ref="N99:N106" si="101">IFERROR(K99/E99,"-")</f>
        <v>-</v>
      </c>
      <c r="O99" s="344" t="str">
        <f t="shared" ref="O99:O124" si="102">IFERROR(M99/K99,"-")</f>
        <v>-</v>
      </c>
    </row>
    <row r="100" spans="1:15" ht="24" x14ac:dyDescent="0.25">
      <c r="A100" s="274" t="s">
        <v>102</v>
      </c>
      <c r="B100" s="843"/>
      <c r="C100" s="311" t="s">
        <v>246</v>
      </c>
      <c r="D100" s="311"/>
      <c r="E100" s="276"/>
      <c r="F100" s="277"/>
      <c r="G100" s="331">
        <f t="shared" si="97"/>
        <v>0</v>
      </c>
      <c r="H100" s="278">
        <v>0</v>
      </c>
      <c r="I100" s="278">
        <v>0</v>
      </c>
      <c r="J100" s="349" t="str">
        <f t="shared" ref="J100:J101" si="103">IFERROR(G100/F100,"-")</f>
        <v>-</v>
      </c>
      <c r="K100" s="331">
        <f t="shared" si="98"/>
        <v>0</v>
      </c>
      <c r="L100" s="272">
        <f t="shared" si="99"/>
        <v>0</v>
      </c>
      <c r="M100" s="273">
        <f t="shared" si="100"/>
        <v>0</v>
      </c>
      <c r="N100" s="335" t="str">
        <f t="shared" si="101"/>
        <v>-</v>
      </c>
      <c r="O100" s="263" t="str">
        <f t="shared" si="102"/>
        <v>-</v>
      </c>
    </row>
    <row r="101" spans="1:15" ht="24.75" thickBot="1" x14ac:dyDescent="0.3">
      <c r="A101" s="274" t="s">
        <v>102</v>
      </c>
      <c r="B101" s="844"/>
      <c r="C101" s="312" t="s">
        <v>33</v>
      </c>
      <c r="D101" s="312"/>
      <c r="E101" s="280"/>
      <c r="F101" s="281"/>
      <c r="G101" s="332">
        <f t="shared" si="97"/>
        <v>0</v>
      </c>
      <c r="H101" s="282">
        <v>0</v>
      </c>
      <c r="I101" s="282">
        <v>0</v>
      </c>
      <c r="J101" s="349" t="str">
        <f t="shared" si="103"/>
        <v>-</v>
      </c>
      <c r="K101" s="332">
        <f t="shared" si="98"/>
        <v>0</v>
      </c>
      <c r="L101" s="272">
        <f t="shared" si="99"/>
        <v>0</v>
      </c>
      <c r="M101" s="273">
        <f t="shared" si="100"/>
        <v>0</v>
      </c>
      <c r="N101" s="336" t="str">
        <f t="shared" si="101"/>
        <v>-</v>
      </c>
      <c r="O101" s="345" t="str">
        <f t="shared" si="102"/>
        <v>-</v>
      </c>
    </row>
    <row r="102" spans="1:15" ht="23.25" thickBot="1" x14ac:dyDescent="0.3">
      <c r="A102" s="274" t="s">
        <v>102</v>
      </c>
      <c r="B102" s="845" t="s">
        <v>34</v>
      </c>
      <c r="C102" s="846"/>
      <c r="D102" s="847"/>
      <c r="E102" s="283">
        <f>SUM(E99:E101)</f>
        <v>0</v>
      </c>
      <c r="F102" s="284">
        <v>6500</v>
      </c>
      <c r="G102" s="319">
        <f>SUM(G99:G101)</f>
        <v>0</v>
      </c>
      <c r="H102" s="320">
        <f t="shared" ref="H102:I102" si="104">SUM(H99:H101)</f>
        <v>0</v>
      </c>
      <c r="I102" s="320">
        <f t="shared" si="104"/>
        <v>0</v>
      </c>
      <c r="J102" s="343">
        <f>IFERROR(G102/F102,"-")</f>
        <v>0</v>
      </c>
      <c r="K102" s="319">
        <f t="shared" ref="K102:M102" si="105">SUM(K99:K101)</f>
        <v>0</v>
      </c>
      <c r="L102" s="320">
        <f t="shared" si="105"/>
        <v>0</v>
      </c>
      <c r="M102" s="321">
        <f t="shared" si="105"/>
        <v>0</v>
      </c>
      <c r="N102" s="337" t="str">
        <f t="shared" si="101"/>
        <v>-</v>
      </c>
      <c r="O102" s="343" t="str">
        <f t="shared" si="102"/>
        <v>-</v>
      </c>
    </row>
    <row r="103" spans="1:15" ht="24" x14ac:dyDescent="0.25">
      <c r="A103" s="274" t="s">
        <v>102</v>
      </c>
      <c r="B103" s="842" t="s">
        <v>35</v>
      </c>
      <c r="C103" s="310" t="s">
        <v>113</v>
      </c>
      <c r="D103" s="310"/>
      <c r="E103" s="270"/>
      <c r="F103" s="271"/>
      <c r="G103" s="330">
        <f t="shared" ref="G103:G106" si="106">+H103+I103</f>
        <v>0</v>
      </c>
      <c r="H103" s="272">
        <v>0</v>
      </c>
      <c r="I103" s="272">
        <v>0</v>
      </c>
      <c r="J103" s="349" t="str">
        <f>IFERROR(G103/F103,"-")</f>
        <v>-</v>
      </c>
      <c r="K103" s="330">
        <f t="shared" ref="K103:K106" si="107">+L103+M103</f>
        <v>0</v>
      </c>
      <c r="L103" s="272">
        <f t="shared" ref="L103:L106" si="108">+H103</f>
        <v>0</v>
      </c>
      <c r="M103" s="273">
        <f t="shared" ref="M103:M106" si="109">+I103</f>
        <v>0</v>
      </c>
      <c r="N103" s="334" t="str">
        <f t="shared" si="101"/>
        <v>-</v>
      </c>
      <c r="O103" s="344" t="str">
        <f t="shared" si="102"/>
        <v>-</v>
      </c>
    </row>
    <row r="104" spans="1:15" ht="24" x14ac:dyDescent="0.25">
      <c r="A104" s="274" t="s">
        <v>102</v>
      </c>
      <c r="B104" s="843"/>
      <c r="C104" s="311" t="s">
        <v>246</v>
      </c>
      <c r="D104" s="311"/>
      <c r="E104" s="276"/>
      <c r="F104" s="277"/>
      <c r="G104" s="331">
        <f t="shared" si="106"/>
        <v>0</v>
      </c>
      <c r="H104" s="278">
        <v>0</v>
      </c>
      <c r="I104" s="278">
        <v>0</v>
      </c>
      <c r="J104" s="349" t="str">
        <f t="shared" ref="J104:J106" si="110">IFERROR(G104/F104,"-")</f>
        <v>-</v>
      </c>
      <c r="K104" s="331">
        <f t="shared" si="107"/>
        <v>0</v>
      </c>
      <c r="L104" s="272">
        <f t="shared" si="108"/>
        <v>0</v>
      </c>
      <c r="M104" s="273">
        <f t="shared" si="109"/>
        <v>0</v>
      </c>
      <c r="N104" s="335" t="str">
        <f t="shared" si="101"/>
        <v>-</v>
      </c>
      <c r="O104" s="263" t="str">
        <f t="shared" si="102"/>
        <v>-</v>
      </c>
    </row>
    <row r="105" spans="1:15" ht="24" x14ac:dyDescent="0.25">
      <c r="A105" s="274" t="s">
        <v>102</v>
      </c>
      <c r="B105" s="843"/>
      <c r="C105" s="311" t="s">
        <v>469</v>
      </c>
      <c r="D105" s="311"/>
      <c r="E105" s="276"/>
      <c r="F105" s="277"/>
      <c r="G105" s="331">
        <f t="shared" si="106"/>
        <v>0</v>
      </c>
      <c r="H105" s="278">
        <v>0</v>
      </c>
      <c r="I105" s="278">
        <v>0</v>
      </c>
      <c r="J105" s="349" t="str">
        <f t="shared" si="110"/>
        <v>-</v>
      </c>
      <c r="K105" s="331">
        <f t="shared" si="107"/>
        <v>0</v>
      </c>
      <c r="L105" s="272">
        <f t="shared" si="108"/>
        <v>0</v>
      </c>
      <c r="M105" s="273">
        <f t="shared" si="109"/>
        <v>0</v>
      </c>
      <c r="N105" s="335" t="str">
        <f t="shared" si="101"/>
        <v>-</v>
      </c>
      <c r="O105" s="263" t="str">
        <f t="shared" si="102"/>
        <v>-</v>
      </c>
    </row>
    <row r="106" spans="1:15" ht="24.75" thickBot="1" x14ac:dyDescent="0.3">
      <c r="A106" s="274" t="s">
        <v>102</v>
      </c>
      <c r="B106" s="844"/>
      <c r="C106" s="312" t="s">
        <v>36</v>
      </c>
      <c r="D106" s="312"/>
      <c r="E106" s="280"/>
      <c r="F106" s="281"/>
      <c r="G106" s="332">
        <f t="shared" si="106"/>
        <v>0</v>
      </c>
      <c r="H106" s="278">
        <v>0</v>
      </c>
      <c r="I106" s="278">
        <v>0</v>
      </c>
      <c r="J106" s="349" t="str">
        <f t="shared" si="110"/>
        <v>-</v>
      </c>
      <c r="K106" s="332">
        <f t="shared" si="107"/>
        <v>0</v>
      </c>
      <c r="L106" s="272">
        <f t="shared" si="108"/>
        <v>0</v>
      </c>
      <c r="M106" s="273">
        <f t="shared" si="109"/>
        <v>0</v>
      </c>
      <c r="N106" s="336" t="str">
        <f t="shared" si="101"/>
        <v>-</v>
      </c>
      <c r="O106" s="345" t="str">
        <f t="shared" si="102"/>
        <v>-</v>
      </c>
    </row>
    <row r="107" spans="1:15" ht="23.25" thickBot="1" x14ac:dyDescent="0.3">
      <c r="A107" s="274" t="s">
        <v>102</v>
      </c>
      <c r="B107" s="845" t="s">
        <v>37</v>
      </c>
      <c r="C107" s="846"/>
      <c r="D107" s="847"/>
      <c r="E107" s="283">
        <f>SUM(E103:E106)</f>
        <v>0</v>
      </c>
      <c r="F107" s="284">
        <v>6500</v>
      </c>
      <c r="G107" s="319">
        <f>SUM(G103:G106)</f>
        <v>0</v>
      </c>
      <c r="H107" s="320">
        <f t="shared" ref="H107:I107" si="111">SUM(H103:H106)</f>
        <v>0</v>
      </c>
      <c r="I107" s="320">
        <f t="shared" si="111"/>
        <v>0</v>
      </c>
      <c r="J107" s="343">
        <f>IFERROR(G107/F107,"-")</f>
        <v>0</v>
      </c>
      <c r="K107" s="319">
        <f t="shared" ref="K107:M107" si="112">SUM(K103:K106)</f>
        <v>0</v>
      </c>
      <c r="L107" s="320">
        <f t="shared" si="112"/>
        <v>0</v>
      </c>
      <c r="M107" s="321">
        <f t="shared" si="112"/>
        <v>0</v>
      </c>
      <c r="N107" s="337" t="str">
        <f>IFERROR(K107/E107,"-")</f>
        <v>-</v>
      </c>
      <c r="O107" s="343" t="str">
        <f t="shared" si="102"/>
        <v>-</v>
      </c>
    </row>
    <row r="108" spans="1:15" ht="24" x14ac:dyDescent="0.25">
      <c r="A108" s="274" t="s">
        <v>102</v>
      </c>
      <c r="B108" s="842" t="s">
        <v>400</v>
      </c>
      <c r="C108" s="313" t="s">
        <v>116</v>
      </c>
      <c r="D108" s="313"/>
      <c r="E108" s="270"/>
      <c r="F108" s="271"/>
      <c r="G108" s="330">
        <f t="shared" ref="G108:G109" si="113">+H108+I108</f>
        <v>0</v>
      </c>
      <c r="H108" s="272">
        <v>0</v>
      </c>
      <c r="I108" s="272">
        <v>0</v>
      </c>
      <c r="J108" s="349" t="str">
        <f>IFERROR(G108/F108,"-")</f>
        <v>-</v>
      </c>
      <c r="K108" s="330">
        <f t="shared" ref="K108:K109" si="114">+L108+M108</f>
        <v>0</v>
      </c>
      <c r="L108" s="272">
        <f t="shared" ref="L108:L109" si="115">+H108</f>
        <v>0</v>
      </c>
      <c r="M108" s="273">
        <f t="shared" ref="M108:M109" si="116">+I108</f>
        <v>0</v>
      </c>
      <c r="N108" s="334" t="str">
        <f t="shared" ref="N108:N124" si="117">IFERROR(K108/E108,"-")</f>
        <v>-</v>
      </c>
      <c r="O108" s="344" t="str">
        <f t="shared" si="102"/>
        <v>-</v>
      </c>
    </row>
    <row r="109" spans="1:15" ht="24.75" thickBot="1" x14ac:dyDescent="0.3">
      <c r="A109" s="274" t="s">
        <v>102</v>
      </c>
      <c r="B109" s="844"/>
      <c r="C109" s="285" t="s">
        <v>132</v>
      </c>
      <c r="D109" s="285"/>
      <c r="E109" s="280"/>
      <c r="F109" s="281"/>
      <c r="G109" s="332">
        <f t="shared" si="113"/>
        <v>0</v>
      </c>
      <c r="H109" s="282">
        <v>0</v>
      </c>
      <c r="I109" s="282">
        <v>0</v>
      </c>
      <c r="J109" s="349" t="str">
        <f>IFERROR(G109/F109,"-")</f>
        <v>-</v>
      </c>
      <c r="K109" s="332">
        <f t="shared" si="114"/>
        <v>0</v>
      </c>
      <c r="L109" s="272">
        <f t="shared" si="115"/>
        <v>0</v>
      </c>
      <c r="M109" s="273">
        <f t="shared" si="116"/>
        <v>0</v>
      </c>
      <c r="N109" s="336" t="str">
        <f t="shared" si="117"/>
        <v>-</v>
      </c>
      <c r="O109" s="345" t="str">
        <f t="shared" si="102"/>
        <v>-</v>
      </c>
    </row>
    <row r="110" spans="1:15" ht="23.25" thickBot="1" x14ac:dyDescent="0.3">
      <c r="A110" s="759" t="s">
        <v>102</v>
      </c>
      <c r="B110" s="845" t="s">
        <v>38</v>
      </c>
      <c r="C110" s="846"/>
      <c r="D110" s="847"/>
      <c r="E110" s="283">
        <f>SUM(E108:E109)</f>
        <v>0</v>
      </c>
      <c r="F110" s="284">
        <v>2800</v>
      </c>
      <c r="G110" s="319">
        <f>SUM(G108:G109)</f>
        <v>0</v>
      </c>
      <c r="H110" s="320">
        <f t="shared" ref="H110:I110" si="118">SUM(H108:H109)</f>
        <v>0</v>
      </c>
      <c r="I110" s="320">
        <f t="shared" si="118"/>
        <v>0</v>
      </c>
      <c r="J110" s="343" t="str">
        <f>IFERROR(G110/F100,"-")</f>
        <v>-</v>
      </c>
      <c r="K110" s="319">
        <f t="shared" ref="K110:M110" si="119">SUM(K108:K109)</f>
        <v>0</v>
      </c>
      <c r="L110" s="320">
        <f t="shared" si="119"/>
        <v>0</v>
      </c>
      <c r="M110" s="321">
        <f t="shared" si="119"/>
        <v>0</v>
      </c>
      <c r="N110" s="337" t="str">
        <f t="shared" si="117"/>
        <v>-</v>
      </c>
      <c r="O110" s="343" t="str">
        <f t="shared" si="102"/>
        <v>-</v>
      </c>
    </row>
    <row r="111" spans="1:15" ht="24" x14ac:dyDescent="0.25">
      <c r="A111" s="274" t="s">
        <v>102</v>
      </c>
      <c r="B111" s="842" t="s">
        <v>401</v>
      </c>
      <c r="C111" s="269" t="s">
        <v>305</v>
      </c>
      <c r="D111" s="269"/>
      <c r="E111" s="270"/>
      <c r="F111" s="314"/>
      <c r="G111" s="330">
        <f t="shared" ref="G111:G115" si="120">+H111+I111</f>
        <v>0</v>
      </c>
      <c r="H111" s="272">
        <v>0</v>
      </c>
      <c r="I111" s="272">
        <v>0</v>
      </c>
      <c r="J111" s="369" t="str">
        <f>IFERROR(G111/F111,"-")</f>
        <v>-</v>
      </c>
      <c r="K111" s="330">
        <f t="shared" ref="K111:K115" si="121">+L111+M111</f>
        <v>0</v>
      </c>
      <c r="L111" s="272">
        <f t="shared" ref="L111:L115" si="122">+H111</f>
        <v>0</v>
      </c>
      <c r="M111" s="272">
        <f t="shared" ref="M111:M115" si="123">+I111</f>
        <v>0</v>
      </c>
      <c r="N111" s="357" t="str">
        <f t="shared" si="117"/>
        <v>-</v>
      </c>
      <c r="O111" s="358" t="str">
        <f t="shared" si="102"/>
        <v>-</v>
      </c>
    </row>
    <row r="112" spans="1:15" ht="24" x14ac:dyDescent="0.25">
      <c r="A112" s="274" t="s">
        <v>102</v>
      </c>
      <c r="B112" s="843"/>
      <c r="C112" s="269" t="s">
        <v>306</v>
      </c>
      <c r="D112" s="275"/>
      <c r="E112" s="276"/>
      <c r="F112" s="315"/>
      <c r="G112" s="331">
        <f t="shared" si="120"/>
        <v>0</v>
      </c>
      <c r="H112" s="278">
        <v>0</v>
      </c>
      <c r="I112" s="278">
        <v>0</v>
      </c>
      <c r="J112" s="369" t="str">
        <f t="shared" ref="J112:J115" si="124">IFERROR(G112/F112,"-")</f>
        <v>-</v>
      </c>
      <c r="K112" s="331">
        <f t="shared" si="121"/>
        <v>0</v>
      </c>
      <c r="L112" s="272">
        <f t="shared" si="122"/>
        <v>0</v>
      </c>
      <c r="M112" s="273">
        <f t="shared" si="123"/>
        <v>0</v>
      </c>
      <c r="N112" s="359" t="str">
        <f t="shared" si="117"/>
        <v>-</v>
      </c>
      <c r="O112" s="360" t="str">
        <f t="shared" si="102"/>
        <v>-</v>
      </c>
    </row>
    <row r="113" spans="1:15" ht="24" x14ac:dyDescent="0.25">
      <c r="A113" s="274" t="s">
        <v>102</v>
      </c>
      <c r="B113" s="843"/>
      <c r="C113" s="275" t="s">
        <v>472</v>
      </c>
      <c r="D113" s="275"/>
      <c r="E113" s="276"/>
      <c r="F113" s="315"/>
      <c r="G113" s="331">
        <f t="shared" si="120"/>
        <v>23670</v>
      </c>
      <c r="H113" s="278">
        <v>23388</v>
      </c>
      <c r="I113" s="278">
        <v>282</v>
      </c>
      <c r="J113" s="369" t="str">
        <f t="shared" si="124"/>
        <v>-</v>
      </c>
      <c r="K113" s="331">
        <f t="shared" si="121"/>
        <v>23670</v>
      </c>
      <c r="L113" s="272">
        <f t="shared" si="122"/>
        <v>23388</v>
      </c>
      <c r="M113" s="273">
        <f t="shared" si="123"/>
        <v>282</v>
      </c>
      <c r="N113" s="359" t="str">
        <f t="shared" si="117"/>
        <v>-</v>
      </c>
      <c r="O113" s="360">
        <f t="shared" si="102"/>
        <v>1.1913814955640051E-2</v>
      </c>
    </row>
    <row r="114" spans="1:15" ht="24" x14ac:dyDescent="0.25">
      <c r="A114" s="274" t="s">
        <v>102</v>
      </c>
      <c r="B114" s="843"/>
      <c r="C114" s="275" t="s">
        <v>157</v>
      </c>
      <c r="D114" s="275"/>
      <c r="E114" s="276"/>
      <c r="F114" s="315"/>
      <c r="G114" s="331">
        <f t="shared" si="120"/>
        <v>0</v>
      </c>
      <c r="H114" s="278">
        <v>0</v>
      </c>
      <c r="I114" s="278">
        <v>0</v>
      </c>
      <c r="J114" s="369" t="str">
        <f t="shared" si="124"/>
        <v>-</v>
      </c>
      <c r="K114" s="331">
        <f t="shared" si="121"/>
        <v>0</v>
      </c>
      <c r="L114" s="272">
        <f t="shared" si="122"/>
        <v>0</v>
      </c>
      <c r="M114" s="273">
        <f t="shared" si="123"/>
        <v>0</v>
      </c>
      <c r="N114" s="359" t="str">
        <f t="shared" si="117"/>
        <v>-</v>
      </c>
      <c r="O114" s="360" t="str">
        <f t="shared" si="102"/>
        <v>-</v>
      </c>
    </row>
    <row r="115" spans="1:15" ht="24.75" thickBot="1" x14ac:dyDescent="0.3">
      <c r="A115" s="274" t="s">
        <v>102</v>
      </c>
      <c r="B115" s="844"/>
      <c r="C115" s="279" t="s">
        <v>158</v>
      </c>
      <c r="D115" s="279"/>
      <c r="E115" s="280"/>
      <c r="F115" s="316"/>
      <c r="G115" s="332">
        <f t="shared" si="120"/>
        <v>0</v>
      </c>
      <c r="H115" s="278">
        <v>0</v>
      </c>
      <c r="I115" s="278">
        <v>0</v>
      </c>
      <c r="J115" s="369" t="str">
        <f t="shared" si="124"/>
        <v>-</v>
      </c>
      <c r="K115" s="332">
        <f t="shared" si="121"/>
        <v>0</v>
      </c>
      <c r="L115" s="272">
        <f t="shared" si="122"/>
        <v>0</v>
      </c>
      <c r="M115" s="273">
        <f t="shared" si="123"/>
        <v>0</v>
      </c>
      <c r="N115" s="361" t="str">
        <f t="shared" si="117"/>
        <v>-</v>
      </c>
      <c r="O115" s="362" t="str">
        <f t="shared" si="102"/>
        <v>-</v>
      </c>
    </row>
    <row r="116" spans="1:15" ht="23.25" thickBot="1" x14ac:dyDescent="0.3">
      <c r="A116" s="274" t="s">
        <v>102</v>
      </c>
      <c r="B116" s="845" t="s">
        <v>39</v>
      </c>
      <c r="C116" s="846"/>
      <c r="D116" s="847"/>
      <c r="E116" s="319">
        <f>SUM(E111:E115)</f>
        <v>0</v>
      </c>
      <c r="F116" s="284">
        <v>25000</v>
      </c>
      <c r="G116" s="319">
        <f>SUM(G111:G115)</f>
        <v>23670</v>
      </c>
      <c r="H116" s="320">
        <f>SUM(H111:H115)</f>
        <v>23388</v>
      </c>
      <c r="I116" s="320">
        <f>SUM(I111:I115)</f>
        <v>282</v>
      </c>
      <c r="J116" s="343">
        <f>IFERROR(G116/F116,"-")</f>
        <v>0.94679999999999997</v>
      </c>
      <c r="K116" s="319">
        <f>SUM(K111:K115)</f>
        <v>23670</v>
      </c>
      <c r="L116" s="320">
        <f>SUM(L111:L115)</f>
        <v>23388</v>
      </c>
      <c r="M116" s="321">
        <f>SUM(M111:M115)</f>
        <v>282</v>
      </c>
      <c r="N116" s="337" t="str">
        <f t="shared" si="117"/>
        <v>-</v>
      </c>
      <c r="O116" s="343">
        <f t="shared" si="102"/>
        <v>1.1913814955640051E-2</v>
      </c>
    </row>
    <row r="117" spans="1:15" ht="24" x14ac:dyDescent="0.25">
      <c r="A117" s="274" t="s">
        <v>102</v>
      </c>
      <c r="B117" s="842" t="s">
        <v>402</v>
      </c>
      <c r="C117" s="269" t="s">
        <v>186</v>
      </c>
      <c r="D117" s="269"/>
      <c r="E117" s="270"/>
      <c r="F117" s="271"/>
      <c r="G117" s="330">
        <f t="shared" ref="G117:G119" si="125">+H117+I117</f>
        <v>0</v>
      </c>
      <c r="H117" s="272">
        <v>0</v>
      </c>
      <c r="I117" s="272">
        <v>0</v>
      </c>
      <c r="J117" s="349" t="str">
        <f>IFERROR(G117/F117,"-")</f>
        <v>-</v>
      </c>
      <c r="K117" s="330">
        <f t="shared" ref="K117:K119" si="126">+L117+M117</f>
        <v>0</v>
      </c>
      <c r="L117" s="272">
        <f t="shared" ref="L117:L119" si="127">+H117</f>
        <v>0</v>
      </c>
      <c r="M117" s="273">
        <f t="shared" ref="M117:M119" si="128">+I117</f>
        <v>0</v>
      </c>
      <c r="N117" s="334" t="str">
        <f t="shared" si="117"/>
        <v>-</v>
      </c>
      <c r="O117" s="344" t="str">
        <f t="shared" si="102"/>
        <v>-</v>
      </c>
    </row>
    <row r="118" spans="1:15" ht="24" x14ac:dyDescent="0.25">
      <c r="A118" s="274" t="s">
        <v>102</v>
      </c>
      <c r="B118" s="843"/>
      <c r="C118" s="275" t="s">
        <v>470</v>
      </c>
      <c r="D118" s="275"/>
      <c r="E118" s="276"/>
      <c r="F118" s="277"/>
      <c r="G118" s="331">
        <f t="shared" si="125"/>
        <v>0</v>
      </c>
      <c r="H118" s="278">
        <v>0</v>
      </c>
      <c r="I118" s="278">
        <v>0</v>
      </c>
      <c r="J118" s="349" t="str">
        <f t="shared" ref="J118:J119" si="129">IFERROR(G118/F118,"-")</f>
        <v>-</v>
      </c>
      <c r="K118" s="331">
        <f t="shared" si="126"/>
        <v>0</v>
      </c>
      <c r="L118" s="674">
        <f t="shared" si="127"/>
        <v>0</v>
      </c>
      <c r="M118" s="273">
        <f t="shared" si="128"/>
        <v>0</v>
      </c>
      <c r="N118" s="359" t="str">
        <f t="shared" si="117"/>
        <v>-</v>
      </c>
      <c r="O118" s="360" t="str">
        <f t="shared" si="102"/>
        <v>-</v>
      </c>
    </row>
    <row r="119" spans="1:15" ht="24.75" thickBot="1" x14ac:dyDescent="0.3">
      <c r="A119" s="274" t="s">
        <v>102</v>
      </c>
      <c r="B119" s="844"/>
      <c r="C119" s="279" t="s">
        <v>471</v>
      </c>
      <c r="D119" s="279"/>
      <c r="E119" s="280"/>
      <c r="F119" s="281"/>
      <c r="G119" s="332">
        <f t="shared" si="125"/>
        <v>0</v>
      </c>
      <c r="H119" s="278">
        <v>0</v>
      </c>
      <c r="I119" s="278">
        <v>0</v>
      </c>
      <c r="J119" s="349" t="str">
        <f t="shared" si="129"/>
        <v>-</v>
      </c>
      <c r="K119" s="332">
        <f t="shared" si="126"/>
        <v>0</v>
      </c>
      <c r="L119" s="272">
        <f t="shared" si="127"/>
        <v>0</v>
      </c>
      <c r="M119" s="273">
        <f t="shared" si="128"/>
        <v>0</v>
      </c>
      <c r="N119" s="361" t="str">
        <f t="shared" si="117"/>
        <v>-</v>
      </c>
      <c r="O119" s="362" t="str">
        <f t="shared" si="102"/>
        <v>-</v>
      </c>
    </row>
    <row r="120" spans="1:15" ht="23.25" thickBot="1" x14ac:dyDescent="0.3">
      <c r="A120" s="274" t="s">
        <v>102</v>
      </c>
      <c r="B120" s="862" t="s">
        <v>41</v>
      </c>
      <c r="C120" s="863"/>
      <c r="D120" s="864"/>
      <c r="E120" s="319">
        <f>SUM(E117:E119)</f>
        <v>0</v>
      </c>
      <c r="F120" s="284"/>
      <c r="G120" s="319">
        <f>SUM(G117:G119)</f>
        <v>0</v>
      </c>
      <c r="H120" s="320">
        <f t="shared" ref="H120:I120" si="130">SUM(H117:H119)</f>
        <v>0</v>
      </c>
      <c r="I120" s="320">
        <f t="shared" si="130"/>
        <v>0</v>
      </c>
      <c r="J120" s="343" t="str">
        <f>IFERROR(G120/F120,"-")</f>
        <v>-</v>
      </c>
      <c r="K120" s="319">
        <f t="shared" ref="K120:M120" si="131">SUM(K117:K119)</f>
        <v>0</v>
      </c>
      <c r="L120" s="363">
        <f t="shared" si="131"/>
        <v>0</v>
      </c>
      <c r="M120" s="365">
        <f t="shared" si="131"/>
        <v>0</v>
      </c>
      <c r="N120" s="337" t="str">
        <f t="shared" si="117"/>
        <v>-</v>
      </c>
      <c r="O120" s="343" t="str">
        <f t="shared" si="102"/>
        <v>-</v>
      </c>
    </row>
    <row r="121" spans="1:15" ht="24.75" thickBot="1" x14ac:dyDescent="0.3">
      <c r="A121" s="274" t="s">
        <v>102</v>
      </c>
      <c r="B121" s="842" t="s">
        <v>42</v>
      </c>
      <c r="C121" s="269" t="s">
        <v>160</v>
      </c>
      <c r="D121" s="269"/>
      <c r="E121" s="270"/>
      <c r="F121" s="271"/>
      <c r="G121" s="330">
        <f t="shared" ref="G121:G122" si="132">+H121+I121</f>
        <v>14500</v>
      </c>
      <c r="H121" s="272">
        <v>14400</v>
      </c>
      <c r="I121" s="272">
        <v>100</v>
      </c>
      <c r="J121" s="369" t="str">
        <f>IFERROR(G121/F121,"-")</f>
        <v>-</v>
      </c>
      <c r="K121" s="656">
        <f t="shared" ref="K121:K122" si="133">+L121+M121</f>
        <v>14500</v>
      </c>
      <c r="L121" s="649">
        <f t="shared" ref="L121:L122" si="134">+H121</f>
        <v>14400</v>
      </c>
      <c r="M121" s="649">
        <f t="shared" ref="M121:M122" si="135">+I121</f>
        <v>100</v>
      </c>
      <c r="N121" s="357" t="str">
        <f t="shared" si="117"/>
        <v>-</v>
      </c>
      <c r="O121" s="358">
        <f t="shared" si="102"/>
        <v>6.8965517241379309E-3</v>
      </c>
    </row>
    <row r="122" spans="1:15" ht="24.75" thickBot="1" x14ac:dyDescent="0.3">
      <c r="A122" s="274" t="s">
        <v>102</v>
      </c>
      <c r="B122" s="844"/>
      <c r="C122" s="279" t="s">
        <v>161</v>
      </c>
      <c r="D122" s="279"/>
      <c r="E122" s="280"/>
      <c r="F122" s="281"/>
      <c r="G122" s="332">
        <f t="shared" si="132"/>
        <v>0</v>
      </c>
      <c r="H122" s="282">
        <v>0</v>
      </c>
      <c r="I122" s="282">
        <v>0</v>
      </c>
      <c r="J122" s="371" t="str">
        <f>IFERROR(G122/F122,"-")</f>
        <v>-</v>
      </c>
      <c r="K122" s="657">
        <f t="shared" si="133"/>
        <v>0</v>
      </c>
      <c r="L122" s="649">
        <f t="shared" si="134"/>
        <v>0</v>
      </c>
      <c r="M122" s="649">
        <f t="shared" si="135"/>
        <v>0</v>
      </c>
      <c r="N122" s="361" t="str">
        <f t="shared" si="117"/>
        <v>-</v>
      </c>
      <c r="O122" s="362" t="str">
        <f t="shared" si="102"/>
        <v>-</v>
      </c>
    </row>
    <row r="123" spans="1:15" ht="23.25" thickBot="1" x14ac:dyDescent="0.3">
      <c r="A123" s="274" t="s">
        <v>102</v>
      </c>
      <c r="B123" s="862" t="s">
        <v>43</v>
      </c>
      <c r="C123" s="863"/>
      <c r="D123" s="864"/>
      <c r="E123" s="283">
        <f>SUM(E121:E122)</f>
        <v>0</v>
      </c>
      <c r="F123" s="284">
        <v>25000</v>
      </c>
      <c r="G123" s="319">
        <f>SUM(G121:G122)</f>
        <v>14500</v>
      </c>
      <c r="H123" s="320">
        <f t="shared" ref="H123:I123" si="136">SUM(H121:H122)</f>
        <v>14400</v>
      </c>
      <c r="I123" s="320">
        <f t="shared" si="136"/>
        <v>100</v>
      </c>
      <c r="J123" s="343">
        <f>IFERROR(G123/F123,"-")</f>
        <v>0.57999999999999996</v>
      </c>
      <c r="K123" s="719">
        <f t="shared" ref="K123:M123" si="137">SUM(K121:K122)</f>
        <v>14500</v>
      </c>
      <c r="L123" s="720">
        <f t="shared" si="137"/>
        <v>14400</v>
      </c>
      <c r="M123" s="720">
        <f t="shared" si="137"/>
        <v>100</v>
      </c>
      <c r="N123" s="337" t="str">
        <f t="shared" si="117"/>
        <v>-</v>
      </c>
      <c r="O123" s="343">
        <f t="shared" si="102"/>
        <v>6.8965517241379309E-3</v>
      </c>
    </row>
    <row r="124" spans="1:15" ht="23.25" thickBot="1" x14ac:dyDescent="0.3">
      <c r="A124" s="274" t="s">
        <v>102</v>
      </c>
      <c r="B124" s="856" t="s">
        <v>25</v>
      </c>
      <c r="C124" s="857"/>
      <c r="D124" s="858"/>
      <c r="E124" s="324">
        <f t="shared" ref="E124:F124" si="138">+E102+E107+E110+E116+E120+E123</f>
        <v>0</v>
      </c>
      <c r="F124" s="325">
        <f t="shared" si="138"/>
        <v>65800</v>
      </c>
      <c r="G124" s="324">
        <f>+G102+G107+G110+G116+G120+G123</f>
        <v>38170</v>
      </c>
      <c r="H124" s="322">
        <f>+H102+H107+H110+H116+H120+H123</f>
        <v>37788</v>
      </c>
      <c r="I124" s="322">
        <f t="shared" ref="I124" si="139">+I102+I107+I110+I116+I120+I123</f>
        <v>382</v>
      </c>
      <c r="J124" s="347">
        <f>IFERROR(G124/F124,"-")</f>
        <v>0.58009118541033433</v>
      </c>
      <c r="K124" s="324">
        <f>+K102+K107+K110+K116+K120+K123</f>
        <v>38170</v>
      </c>
      <c r="L124" s="718">
        <f t="shared" ref="L124:M124" si="140">+L102+L107+L110+L116+L120+L123</f>
        <v>37788</v>
      </c>
      <c r="M124" s="323">
        <f t="shared" si="140"/>
        <v>382</v>
      </c>
      <c r="N124" s="339" t="str">
        <f t="shared" si="117"/>
        <v>-</v>
      </c>
      <c r="O124" s="347">
        <f t="shared" si="102"/>
        <v>1.0007859575582919E-2</v>
      </c>
    </row>
    <row r="125" spans="1:15" ht="23.25" thickBot="1" x14ac:dyDescent="0.3">
      <c r="A125" s="317" t="s">
        <v>102</v>
      </c>
      <c r="B125" s="840" t="s">
        <v>173</v>
      </c>
      <c r="C125" s="840"/>
      <c r="D125" s="841"/>
      <c r="E125" s="328">
        <f>+E124</f>
        <v>0</v>
      </c>
      <c r="F125" s="329">
        <f t="shared" ref="F125:I125" si="141">+F124</f>
        <v>65800</v>
      </c>
      <c r="G125" s="328">
        <f t="shared" si="141"/>
        <v>38170</v>
      </c>
      <c r="H125" s="326">
        <f t="shared" si="141"/>
        <v>37788</v>
      </c>
      <c r="I125" s="326">
        <f t="shared" si="141"/>
        <v>382</v>
      </c>
      <c r="J125" s="348">
        <f>+G125/F125</f>
        <v>0.58009118541033433</v>
      </c>
      <c r="K125" s="328">
        <f t="shared" ref="K125:O125" si="142">+K124</f>
        <v>38170</v>
      </c>
      <c r="L125" s="326">
        <f t="shared" si="142"/>
        <v>37788</v>
      </c>
      <c r="M125" s="327">
        <f t="shared" si="142"/>
        <v>382</v>
      </c>
      <c r="N125" s="340" t="str">
        <f t="shared" si="142"/>
        <v>-</v>
      </c>
      <c r="O125" s="348">
        <f t="shared" si="142"/>
        <v>1.0007859575582919E-2</v>
      </c>
    </row>
    <row r="126" spans="1:15" ht="26.25" thickBot="1" x14ac:dyDescent="0.3">
      <c r="A126" s="318"/>
      <c r="B126" s="859" t="s">
        <v>174</v>
      </c>
      <c r="C126" s="860"/>
      <c r="D126" s="861"/>
      <c r="E126" s="372">
        <f>+E63+E98+E125</f>
        <v>0</v>
      </c>
      <c r="F126" s="372">
        <f>+F63+F98+F125</f>
        <v>914800</v>
      </c>
      <c r="G126" s="372">
        <f>+G63+G98+G125</f>
        <v>200413</v>
      </c>
      <c r="H126" s="372">
        <f>+H63+H98+H125</f>
        <v>196890</v>
      </c>
      <c r="I126" s="372">
        <f>+I63+I98+I125</f>
        <v>3523</v>
      </c>
      <c r="J126" s="373">
        <f>IFERROR(G126/F126,"-")</f>
        <v>0.21907848710100569</v>
      </c>
      <c r="K126" s="372">
        <f>+K63+K98+K125</f>
        <v>200413</v>
      </c>
      <c r="L126" s="372">
        <f>+L63+L98+L125</f>
        <v>196890</v>
      </c>
      <c r="M126" s="372">
        <f>+M63+M98+M125</f>
        <v>3523</v>
      </c>
      <c r="N126" s="373" t="str">
        <f>IFERROR(K126/E126,"-")</f>
        <v>-</v>
      </c>
      <c r="O126" s="373">
        <f>IFERROR(M126/K126,"-")</f>
        <v>1.7578699984531942E-2</v>
      </c>
    </row>
    <row r="127" spans="1:15" ht="24.6" customHeight="1" thickBot="1" x14ac:dyDescent="0.3">
      <c r="A127" s="230"/>
      <c r="B127" s="230"/>
      <c r="C127" s="230"/>
      <c r="D127" s="230"/>
      <c r="E127" s="232"/>
      <c r="F127" s="232"/>
      <c r="G127" s="451"/>
      <c r="H127" s="452"/>
      <c r="I127" s="452"/>
      <c r="J127" s="452"/>
      <c r="K127" s="232"/>
      <c r="L127" s="232"/>
      <c r="M127" s="232"/>
      <c r="N127" s="234"/>
      <c r="O127" s="234"/>
    </row>
    <row r="128" spans="1:15" ht="22.5" x14ac:dyDescent="0.25">
      <c r="A128" s="881" t="s">
        <v>1</v>
      </c>
      <c r="B128" s="884" t="s">
        <v>2</v>
      </c>
      <c r="C128" s="887" t="s">
        <v>394</v>
      </c>
      <c r="D128" s="887" t="s">
        <v>395</v>
      </c>
      <c r="E128" s="890" t="s">
        <v>4</v>
      </c>
      <c r="F128" s="891"/>
      <c r="G128" s="891"/>
      <c r="H128" s="891"/>
      <c r="I128" s="891"/>
      <c r="J128" s="891"/>
      <c r="K128" s="891"/>
      <c r="L128" s="891"/>
      <c r="M128" s="891"/>
      <c r="N128" s="891"/>
      <c r="O128" s="892"/>
    </row>
    <row r="129" spans="1:15" ht="22.5" x14ac:dyDescent="0.25">
      <c r="A129" s="882"/>
      <c r="B129" s="885"/>
      <c r="C129" s="888"/>
      <c r="D129" s="888"/>
      <c r="E129" s="893" t="s">
        <v>7</v>
      </c>
      <c r="F129" s="895" t="s">
        <v>108</v>
      </c>
      <c r="G129" s="897" t="s">
        <v>499</v>
      </c>
      <c r="H129" s="898"/>
      <c r="I129" s="898"/>
      <c r="J129" s="899"/>
      <c r="K129" s="900" t="s">
        <v>396</v>
      </c>
      <c r="L129" s="901"/>
      <c r="M129" s="902"/>
      <c r="N129" s="903" t="s">
        <v>397</v>
      </c>
      <c r="O129" s="905" t="s">
        <v>164</v>
      </c>
    </row>
    <row r="130" spans="1:15" ht="41.25" thickBot="1" x14ac:dyDescent="0.3">
      <c r="A130" s="883"/>
      <c r="B130" s="886"/>
      <c r="C130" s="889"/>
      <c r="D130" s="889"/>
      <c r="E130" s="894"/>
      <c r="F130" s="896"/>
      <c r="G130" s="448" t="s">
        <v>13</v>
      </c>
      <c r="H130" s="449" t="s">
        <v>14</v>
      </c>
      <c r="I130" s="449" t="s">
        <v>15</v>
      </c>
      <c r="J130" s="450" t="s">
        <v>166</v>
      </c>
      <c r="K130" s="641" t="s">
        <v>13</v>
      </c>
      <c r="L130" s="639" t="s">
        <v>14</v>
      </c>
      <c r="M130" s="640" t="s">
        <v>15</v>
      </c>
      <c r="N130" s="904"/>
      <c r="O130" s="906"/>
    </row>
    <row r="131" spans="1:15" ht="24" x14ac:dyDescent="0.25">
      <c r="A131" s="268" t="s">
        <v>103</v>
      </c>
      <c r="B131" s="867" t="s">
        <v>16</v>
      </c>
      <c r="C131" s="269" t="s">
        <v>483</v>
      </c>
      <c r="D131" s="269" t="s">
        <v>367</v>
      </c>
      <c r="E131" s="270"/>
      <c r="F131" s="271"/>
      <c r="G131" s="330">
        <f>+H131+I131</f>
        <v>0</v>
      </c>
      <c r="H131" s="272">
        <v>0</v>
      </c>
      <c r="I131" s="272">
        <v>0</v>
      </c>
      <c r="J131" s="350" t="str">
        <f>IFERROR(G131/F131,"-")</f>
        <v>-</v>
      </c>
      <c r="K131" s="655">
        <f>+L131+M131</f>
        <v>0</v>
      </c>
      <c r="L131" s="522">
        <f>+H131+L13</f>
        <v>0</v>
      </c>
      <c r="M131" s="455">
        <f>+I131+M13</f>
        <v>0</v>
      </c>
      <c r="N131" s="334" t="str">
        <f>IFERROR(K131/E131,"-")</f>
        <v>-</v>
      </c>
      <c r="O131" s="341" t="str">
        <f t="shared" ref="O131:O132" si="143">IFERROR(M131/K131,"-")</f>
        <v>-</v>
      </c>
    </row>
    <row r="132" spans="1:15" ht="24" x14ac:dyDescent="0.25">
      <c r="A132" s="274" t="s">
        <v>103</v>
      </c>
      <c r="B132" s="868"/>
      <c r="C132" s="275" t="s">
        <v>374</v>
      </c>
      <c r="D132" s="275" t="s">
        <v>373</v>
      </c>
      <c r="E132" s="276"/>
      <c r="F132" s="277"/>
      <c r="G132" s="331">
        <f t="shared" ref="G132:G134" si="144">+H132+I132</f>
        <v>0</v>
      </c>
      <c r="H132" s="278"/>
      <c r="I132" s="278"/>
      <c r="J132" s="350" t="str">
        <f t="shared" ref="J132:J134" si="145">IFERROR(G132/F132,"-")</f>
        <v>-</v>
      </c>
      <c r="K132" s="651">
        <f t="shared" ref="K132:K134" si="146">+L132+M132</f>
        <v>0</v>
      </c>
      <c r="L132" s="276">
        <f t="shared" ref="L132:M132" si="147">+H132+L14</f>
        <v>0</v>
      </c>
      <c r="M132" s="432">
        <f t="shared" si="147"/>
        <v>0</v>
      </c>
      <c r="N132" s="335" t="str">
        <f t="shared" ref="N132:N134" si="148">IFERROR(K132/E132,"-")</f>
        <v>-</v>
      </c>
      <c r="O132" s="265" t="str">
        <f t="shared" si="143"/>
        <v>-</v>
      </c>
    </row>
    <row r="133" spans="1:15" ht="24" x14ac:dyDescent="0.25">
      <c r="A133" s="274" t="s">
        <v>103</v>
      </c>
      <c r="B133" s="868"/>
      <c r="C133" s="566" t="s">
        <v>428</v>
      </c>
      <c r="D133" s="566" t="s">
        <v>364</v>
      </c>
      <c r="E133" s="680"/>
      <c r="F133" s="681"/>
      <c r="G133" s="331">
        <f t="shared" si="144"/>
        <v>0</v>
      </c>
      <c r="H133" s="682"/>
      <c r="I133" s="682"/>
      <c r="J133" s="350" t="str">
        <f t="shared" si="145"/>
        <v>-</v>
      </c>
      <c r="K133" s="651">
        <f t="shared" si="146"/>
        <v>4308</v>
      </c>
      <c r="L133" s="276">
        <f t="shared" ref="L133:M133" si="149">+H133+L15</f>
        <v>4160</v>
      </c>
      <c r="M133" s="432">
        <f t="shared" si="149"/>
        <v>148</v>
      </c>
      <c r="N133" s="335" t="str">
        <f t="shared" si="148"/>
        <v>-</v>
      </c>
      <c r="O133" s="265">
        <f>IFERROR(M133/K133,"-")</f>
        <v>3.4354688950789226E-2</v>
      </c>
    </row>
    <row r="134" spans="1:15" ht="24.75" thickBot="1" x14ac:dyDescent="0.3">
      <c r="A134" s="274" t="s">
        <v>103</v>
      </c>
      <c r="B134" s="869"/>
      <c r="C134" s="279" t="s">
        <v>426</v>
      </c>
      <c r="D134" s="279" t="s">
        <v>372</v>
      </c>
      <c r="E134" s="280"/>
      <c r="F134" s="281"/>
      <c r="G134" s="332">
        <f t="shared" si="144"/>
        <v>0</v>
      </c>
      <c r="H134" s="272"/>
      <c r="I134" s="272"/>
      <c r="J134" s="350" t="str">
        <f t="shared" si="145"/>
        <v>-</v>
      </c>
      <c r="K134" s="652">
        <f t="shared" si="146"/>
        <v>0</v>
      </c>
      <c r="L134" s="525">
        <f t="shared" ref="L134:M134" si="150">+H134+L16</f>
        <v>0</v>
      </c>
      <c r="M134" s="458">
        <f t="shared" si="150"/>
        <v>0</v>
      </c>
      <c r="N134" s="336" t="str">
        <f t="shared" si="148"/>
        <v>-</v>
      </c>
      <c r="O134" s="342" t="str">
        <f t="shared" ref="O134:O152" si="151">IFERROR(M134/K134,"-")</f>
        <v>-</v>
      </c>
    </row>
    <row r="135" spans="1:15" ht="23.25" thickBot="1" x14ac:dyDescent="0.3">
      <c r="A135" s="274" t="s">
        <v>103</v>
      </c>
      <c r="B135" s="845" t="s">
        <v>44</v>
      </c>
      <c r="C135" s="846"/>
      <c r="D135" s="847"/>
      <c r="E135" s="319">
        <f>SUM(E131:E134)</f>
        <v>0</v>
      </c>
      <c r="F135" s="284">
        <v>15000</v>
      </c>
      <c r="G135" s="319">
        <f>SUM(G131:G134)</f>
        <v>0</v>
      </c>
      <c r="H135" s="320">
        <f t="shared" ref="H135:I135" si="152">SUM(H131:H134)</f>
        <v>0</v>
      </c>
      <c r="I135" s="320">
        <f t="shared" si="152"/>
        <v>0</v>
      </c>
      <c r="J135" s="343">
        <f>+G135/F135</f>
        <v>0</v>
      </c>
      <c r="K135" s="319">
        <f t="shared" ref="K135" si="153">SUM(K131:K134)</f>
        <v>4308</v>
      </c>
      <c r="L135" s="653">
        <f>SUM(L131:L134)</f>
        <v>4160</v>
      </c>
      <c r="M135" s="654">
        <f>SUM(M131:M134)</f>
        <v>148</v>
      </c>
      <c r="N135" s="337" t="str">
        <f>IFERROR(K135/E135,"-")</f>
        <v>-</v>
      </c>
      <c r="O135" s="343">
        <f t="shared" si="151"/>
        <v>3.4354688950789226E-2</v>
      </c>
    </row>
    <row r="136" spans="1:15" ht="24" x14ac:dyDescent="0.25">
      <c r="A136" s="274" t="s">
        <v>103</v>
      </c>
      <c r="B136" s="867" t="s">
        <v>17</v>
      </c>
      <c r="C136" s="269" t="s">
        <v>293</v>
      </c>
      <c r="D136" s="269"/>
      <c r="E136" s="270"/>
      <c r="F136" s="271"/>
      <c r="G136" s="330">
        <f t="shared" ref="G136:G142" si="154">+H136+I136</f>
        <v>0</v>
      </c>
      <c r="H136" s="272">
        <v>0</v>
      </c>
      <c r="I136" s="272">
        <v>0</v>
      </c>
      <c r="J136" s="349" t="str">
        <f>IFERROR(G136/F136,"-")</f>
        <v>-</v>
      </c>
      <c r="K136" s="655">
        <f t="shared" ref="K136:K142" si="155">+L136+M136</f>
        <v>0</v>
      </c>
      <c r="L136" s="522">
        <f t="shared" ref="L136:M136" si="156">+H136+L18</f>
        <v>0</v>
      </c>
      <c r="M136" s="455">
        <f t="shared" si="156"/>
        <v>0</v>
      </c>
      <c r="N136" s="334" t="str">
        <f t="shared" ref="N136:N142" si="157">IFERROR(K136/E136,"-")</f>
        <v>-</v>
      </c>
      <c r="O136" s="344" t="str">
        <f t="shared" si="151"/>
        <v>-</v>
      </c>
    </row>
    <row r="137" spans="1:15" ht="24" x14ac:dyDescent="0.25">
      <c r="A137" s="274" t="s">
        <v>103</v>
      </c>
      <c r="B137" s="868"/>
      <c r="C137" s="275" t="s">
        <v>342</v>
      </c>
      <c r="D137" s="275" t="s">
        <v>231</v>
      </c>
      <c r="E137" s="276"/>
      <c r="F137" s="277"/>
      <c r="G137" s="331">
        <f t="shared" si="154"/>
        <v>0</v>
      </c>
      <c r="H137" s="278">
        <v>0</v>
      </c>
      <c r="I137" s="278">
        <v>0</v>
      </c>
      <c r="J137" s="349" t="str">
        <f t="shared" ref="J137:J142" si="158">IFERROR(G137/F137,"-")</f>
        <v>-</v>
      </c>
      <c r="K137" s="651">
        <f t="shared" si="155"/>
        <v>0</v>
      </c>
      <c r="L137" s="276">
        <f t="shared" ref="L137:M137" si="159">+H137+L19</f>
        <v>0</v>
      </c>
      <c r="M137" s="432">
        <f t="shared" si="159"/>
        <v>0</v>
      </c>
      <c r="N137" s="335" t="str">
        <f t="shared" si="157"/>
        <v>-</v>
      </c>
      <c r="O137" s="263" t="str">
        <f t="shared" si="151"/>
        <v>-</v>
      </c>
    </row>
    <row r="138" spans="1:15" ht="24" x14ac:dyDescent="0.25">
      <c r="A138" s="274" t="s">
        <v>103</v>
      </c>
      <c r="B138" s="868"/>
      <c r="C138" s="275" t="s">
        <v>365</v>
      </c>
      <c r="D138" s="275" t="s">
        <v>187</v>
      </c>
      <c r="E138" s="276"/>
      <c r="F138" s="277"/>
      <c r="G138" s="331">
        <f t="shared" si="154"/>
        <v>37505</v>
      </c>
      <c r="H138" s="278">
        <v>37340</v>
      </c>
      <c r="I138" s="278">
        <v>165</v>
      </c>
      <c r="J138" s="349" t="str">
        <f t="shared" si="158"/>
        <v>-</v>
      </c>
      <c r="K138" s="651">
        <f t="shared" si="155"/>
        <v>61600</v>
      </c>
      <c r="L138" s="276">
        <f t="shared" ref="L138:M138" si="160">+H138+L20</f>
        <v>61200</v>
      </c>
      <c r="M138" s="432">
        <f t="shared" si="160"/>
        <v>400</v>
      </c>
      <c r="N138" s="335" t="str">
        <f t="shared" si="157"/>
        <v>-</v>
      </c>
      <c r="O138" s="263">
        <f t="shared" si="151"/>
        <v>6.4935064935064939E-3</v>
      </c>
    </row>
    <row r="139" spans="1:15" ht="24" x14ac:dyDescent="0.25">
      <c r="A139" s="274" t="s">
        <v>103</v>
      </c>
      <c r="B139" s="868"/>
      <c r="C139" s="275" t="s">
        <v>479</v>
      </c>
      <c r="D139" s="275" t="s">
        <v>478</v>
      </c>
      <c r="E139" s="276"/>
      <c r="F139" s="277"/>
      <c r="G139" s="331">
        <f t="shared" si="154"/>
        <v>0</v>
      </c>
      <c r="H139" s="278">
        <v>0</v>
      </c>
      <c r="I139" s="278">
        <v>0</v>
      </c>
      <c r="J139" s="349" t="str">
        <f t="shared" si="158"/>
        <v>-</v>
      </c>
      <c r="K139" s="651">
        <f t="shared" si="155"/>
        <v>0</v>
      </c>
      <c r="L139" s="276">
        <f t="shared" ref="L139:M139" si="161">+H139+L21</f>
        <v>0</v>
      </c>
      <c r="M139" s="432">
        <f t="shared" si="161"/>
        <v>0</v>
      </c>
      <c r="N139" s="335" t="str">
        <f t="shared" si="157"/>
        <v>-</v>
      </c>
      <c r="O139" s="263" t="str">
        <f t="shared" si="151"/>
        <v>-</v>
      </c>
    </row>
    <row r="140" spans="1:15" ht="24" x14ac:dyDescent="0.25">
      <c r="A140" s="274" t="s">
        <v>103</v>
      </c>
      <c r="B140" s="868"/>
      <c r="C140" s="275" t="s">
        <v>321</v>
      </c>
      <c r="D140" s="275" t="s">
        <v>316</v>
      </c>
      <c r="E140" s="276"/>
      <c r="F140" s="277"/>
      <c r="G140" s="331">
        <f t="shared" si="154"/>
        <v>0</v>
      </c>
      <c r="H140" s="278">
        <v>0</v>
      </c>
      <c r="I140" s="278">
        <v>0</v>
      </c>
      <c r="J140" s="349" t="str">
        <f t="shared" si="158"/>
        <v>-</v>
      </c>
      <c r="K140" s="651">
        <f t="shared" si="155"/>
        <v>0</v>
      </c>
      <c r="L140" s="276">
        <f t="shared" ref="L140:M140" si="162">+H140+L22</f>
        <v>0</v>
      </c>
      <c r="M140" s="432">
        <f t="shared" si="162"/>
        <v>0</v>
      </c>
      <c r="N140" s="335" t="str">
        <f t="shared" si="157"/>
        <v>-</v>
      </c>
      <c r="O140" s="263" t="str">
        <f t="shared" si="151"/>
        <v>-</v>
      </c>
    </row>
    <row r="141" spans="1:15" ht="24" x14ac:dyDescent="0.25">
      <c r="A141" s="274" t="s">
        <v>103</v>
      </c>
      <c r="B141" s="868"/>
      <c r="C141" s="275" t="s">
        <v>477</v>
      </c>
      <c r="D141" s="275" t="s">
        <v>189</v>
      </c>
      <c r="E141" s="276"/>
      <c r="F141" s="277"/>
      <c r="G141" s="331">
        <f t="shared" si="154"/>
        <v>0</v>
      </c>
      <c r="H141" s="278">
        <v>0</v>
      </c>
      <c r="I141" s="278">
        <v>0</v>
      </c>
      <c r="J141" s="349" t="str">
        <f t="shared" si="158"/>
        <v>-</v>
      </c>
      <c r="K141" s="651">
        <f t="shared" si="155"/>
        <v>0</v>
      </c>
      <c r="L141" s="276">
        <f t="shared" ref="L141:M141" si="163">+H141+L23</f>
        <v>0</v>
      </c>
      <c r="M141" s="432">
        <f t="shared" si="163"/>
        <v>0</v>
      </c>
      <c r="N141" s="335" t="str">
        <f t="shared" si="157"/>
        <v>-</v>
      </c>
      <c r="O141" s="263" t="str">
        <f t="shared" si="151"/>
        <v>-</v>
      </c>
    </row>
    <row r="142" spans="1:15" ht="24.75" thickBot="1" x14ac:dyDescent="0.3">
      <c r="A142" s="274" t="s">
        <v>103</v>
      </c>
      <c r="B142" s="869"/>
      <c r="C142" s="279" t="s">
        <v>339</v>
      </c>
      <c r="D142" s="279" t="s">
        <v>231</v>
      </c>
      <c r="E142" s="280"/>
      <c r="F142" s="281"/>
      <c r="G142" s="332">
        <f t="shared" si="154"/>
        <v>0</v>
      </c>
      <c r="H142" s="278">
        <v>0</v>
      </c>
      <c r="I142" s="278">
        <v>0</v>
      </c>
      <c r="J142" s="349" t="str">
        <f t="shared" si="158"/>
        <v>-</v>
      </c>
      <c r="K142" s="652">
        <f t="shared" si="155"/>
        <v>0</v>
      </c>
      <c r="L142" s="525">
        <f t="shared" ref="L142:M142" si="164">+H142+L24</f>
        <v>0</v>
      </c>
      <c r="M142" s="458">
        <f t="shared" si="164"/>
        <v>0</v>
      </c>
      <c r="N142" s="336" t="str">
        <f t="shared" si="157"/>
        <v>-</v>
      </c>
      <c r="O142" s="345" t="str">
        <f t="shared" si="151"/>
        <v>-</v>
      </c>
    </row>
    <row r="143" spans="1:15" ht="23.25" thickBot="1" x14ac:dyDescent="0.3">
      <c r="A143" s="274" t="s">
        <v>103</v>
      </c>
      <c r="B143" s="845" t="s">
        <v>45</v>
      </c>
      <c r="C143" s="846"/>
      <c r="D143" s="847"/>
      <c r="E143" s="319">
        <f>SUM(E136:E142)</f>
        <v>0</v>
      </c>
      <c r="F143" s="284">
        <v>100000</v>
      </c>
      <c r="G143" s="319">
        <f>SUM(G136:G142)</f>
        <v>37505</v>
      </c>
      <c r="H143" s="320">
        <f t="shared" ref="H143:I143" si="165">SUM(H136:H142)</f>
        <v>37340</v>
      </c>
      <c r="I143" s="320">
        <f t="shared" si="165"/>
        <v>165</v>
      </c>
      <c r="J143" s="343">
        <f>+G143/F143</f>
        <v>0.37504999999999999</v>
      </c>
      <c r="K143" s="319">
        <f>SUM(K136:K142)</f>
        <v>61600</v>
      </c>
      <c r="L143" s="515">
        <f>SUM(L136:L142)</f>
        <v>61200</v>
      </c>
      <c r="M143" s="650">
        <f t="shared" ref="M143" si="166">SUM(M136:M142)</f>
        <v>400</v>
      </c>
      <c r="N143" s="337" t="str">
        <f>IFERROR(K143/E143,"-")</f>
        <v>-</v>
      </c>
      <c r="O143" s="343">
        <f t="shared" si="151"/>
        <v>6.4935064935064939E-3</v>
      </c>
    </row>
    <row r="144" spans="1:15" ht="24" x14ac:dyDescent="0.25">
      <c r="A144" s="274" t="s">
        <v>103</v>
      </c>
      <c r="B144" s="867" t="s">
        <v>18</v>
      </c>
      <c r="C144" s="269" t="s">
        <v>311</v>
      </c>
      <c r="D144" s="269" t="s">
        <v>92</v>
      </c>
      <c r="E144" s="270"/>
      <c r="F144" s="271"/>
      <c r="G144" s="330">
        <f t="shared" ref="G144:G150" si="167">+H144+I144</f>
        <v>0</v>
      </c>
      <c r="H144" s="272">
        <v>0</v>
      </c>
      <c r="I144" s="272">
        <v>0</v>
      </c>
      <c r="J144" s="349" t="str">
        <f>IFERROR(G144/F144,"-")</f>
        <v>-</v>
      </c>
      <c r="K144" s="330">
        <f t="shared" ref="K144:K150" si="168">+L144+M144</f>
        <v>0</v>
      </c>
      <c r="L144" s="272">
        <f t="shared" ref="L144:M144" si="169">+H144+L26</f>
        <v>0</v>
      </c>
      <c r="M144" s="273">
        <f t="shared" si="169"/>
        <v>0</v>
      </c>
      <c r="N144" s="334" t="str">
        <f t="shared" ref="N144:N151" si="170">IFERROR(K144/E144,"-")</f>
        <v>-</v>
      </c>
      <c r="O144" s="344" t="str">
        <f t="shared" si="151"/>
        <v>-</v>
      </c>
    </row>
    <row r="145" spans="1:15" ht="24" x14ac:dyDescent="0.25">
      <c r="A145" s="274" t="s">
        <v>103</v>
      </c>
      <c r="B145" s="868"/>
      <c r="C145" s="275" t="s">
        <v>232</v>
      </c>
      <c r="D145" s="275" t="s">
        <v>233</v>
      </c>
      <c r="E145" s="276"/>
      <c r="F145" s="277"/>
      <c r="G145" s="331">
        <f t="shared" si="167"/>
        <v>0</v>
      </c>
      <c r="H145" s="278">
        <v>0</v>
      </c>
      <c r="I145" s="278">
        <v>0</v>
      </c>
      <c r="J145" s="349" t="str">
        <f t="shared" ref="J145:J150" si="171">IFERROR(G145/F145,"-")</f>
        <v>-</v>
      </c>
      <c r="K145" s="331">
        <f t="shared" si="168"/>
        <v>0</v>
      </c>
      <c r="L145" s="272">
        <f t="shared" ref="L145:M145" si="172">+H145+L27</f>
        <v>0</v>
      </c>
      <c r="M145" s="273">
        <f t="shared" si="172"/>
        <v>0</v>
      </c>
      <c r="N145" s="335" t="str">
        <f t="shared" si="170"/>
        <v>-</v>
      </c>
      <c r="O145" s="263" t="str">
        <f t="shared" si="151"/>
        <v>-</v>
      </c>
    </row>
    <row r="146" spans="1:15" ht="24" x14ac:dyDescent="0.25">
      <c r="A146" s="274" t="s">
        <v>103</v>
      </c>
      <c r="B146" s="868"/>
      <c r="C146" s="275" t="s">
        <v>115</v>
      </c>
      <c r="D146" s="275"/>
      <c r="E146" s="276"/>
      <c r="F146" s="277"/>
      <c r="G146" s="331">
        <f t="shared" si="167"/>
        <v>0</v>
      </c>
      <c r="H146" s="278">
        <v>0</v>
      </c>
      <c r="I146" s="278">
        <v>0</v>
      </c>
      <c r="J146" s="349" t="str">
        <f t="shared" si="171"/>
        <v>-</v>
      </c>
      <c r="K146" s="331">
        <f t="shared" si="168"/>
        <v>0</v>
      </c>
      <c r="L146" s="272">
        <f t="shared" ref="L146:M146" si="173">+H146+L28</f>
        <v>0</v>
      </c>
      <c r="M146" s="273">
        <f t="shared" si="173"/>
        <v>0</v>
      </c>
      <c r="N146" s="335" t="str">
        <f t="shared" si="170"/>
        <v>-</v>
      </c>
      <c r="O146" s="263" t="str">
        <f t="shared" si="151"/>
        <v>-</v>
      </c>
    </row>
    <row r="147" spans="1:15" ht="24" x14ac:dyDescent="0.25">
      <c r="A147" s="274" t="s">
        <v>103</v>
      </c>
      <c r="B147" s="868"/>
      <c r="C147" s="275" t="s">
        <v>122</v>
      </c>
      <c r="D147" s="275"/>
      <c r="E147" s="276"/>
      <c r="F147" s="277"/>
      <c r="G147" s="331">
        <f t="shared" si="167"/>
        <v>0</v>
      </c>
      <c r="H147" s="278">
        <v>0</v>
      </c>
      <c r="I147" s="278">
        <v>0</v>
      </c>
      <c r="J147" s="349" t="str">
        <f t="shared" si="171"/>
        <v>-</v>
      </c>
      <c r="K147" s="331">
        <f t="shared" si="168"/>
        <v>0</v>
      </c>
      <c r="L147" s="272">
        <f t="shared" ref="L147:M147" si="174">+H147+L29</f>
        <v>0</v>
      </c>
      <c r="M147" s="273">
        <f t="shared" si="174"/>
        <v>0</v>
      </c>
      <c r="N147" s="335" t="str">
        <f t="shared" si="170"/>
        <v>-</v>
      </c>
      <c r="O147" s="263" t="str">
        <f t="shared" si="151"/>
        <v>-</v>
      </c>
    </row>
    <row r="148" spans="1:15" ht="24" x14ac:dyDescent="0.25">
      <c r="A148" s="274" t="s">
        <v>103</v>
      </c>
      <c r="B148" s="868"/>
      <c r="C148" s="275" t="s">
        <v>176</v>
      </c>
      <c r="D148" s="275" t="s">
        <v>177</v>
      </c>
      <c r="E148" s="276"/>
      <c r="F148" s="277"/>
      <c r="G148" s="331">
        <f t="shared" si="167"/>
        <v>0</v>
      </c>
      <c r="H148" s="278">
        <v>0</v>
      </c>
      <c r="I148" s="278">
        <v>0</v>
      </c>
      <c r="J148" s="349" t="str">
        <f t="shared" si="171"/>
        <v>-</v>
      </c>
      <c r="K148" s="331">
        <f t="shared" si="168"/>
        <v>0</v>
      </c>
      <c r="L148" s="272">
        <f t="shared" ref="L148:M148" si="175">+H148+L30</f>
        <v>0</v>
      </c>
      <c r="M148" s="273">
        <f t="shared" si="175"/>
        <v>0</v>
      </c>
      <c r="N148" s="335" t="str">
        <f t="shared" si="170"/>
        <v>-</v>
      </c>
      <c r="O148" s="263" t="str">
        <f t="shared" si="151"/>
        <v>-</v>
      </c>
    </row>
    <row r="149" spans="1:15" ht="24" x14ac:dyDescent="0.25">
      <c r="A149" s="274" t="s">
        <v>103</v>
      </c>
      <c r="B149" s="868"/>
      <c r="C149" s="275" t="s">
        <v>179</v>
      </c>
      <c r="D149" s="275" t="s">
        <v>178</v>
      </c>
      <c r="E149" s="276"/>
      <c r="F149" s="277"/>
      <c r="G149" s="331">
        <f t="shared" si="167"/>
        <v>0</v>
      </c>
      <c r="H149" s="278">
        <v>0</v>
      </c>
      <c r="I149" s="278">
        <v>0</v>
      </c>
      <c r="J149" s="349" t="str">
        <f t="shared" si="171"/>
        <v>-</v>
      </c>
      <c r="K149" s="331">
        <f t="shared" si="168"/>
        <v>0</v>
      </c>
      <c r="L149" s="272">
        <f t="shared" ref="L149:M149" si="176">+H149+L31</f>
        <v>0</v>
      </c>
      <c r="M149" s="273">
        <f t="shared" si="176"/>
        <v>0</v>
      </c>
      <c r="N149" s="335" t="str">
        <f t="shared" si="170"/>
        <v>-</v>
      </c>
      <c r="O149" s="263" t="str">
        <f t="shared" si="151"/>
        <v>-</v>
      </c>
    </row>
    <row r="150" spans="1:15" ht="24.75" thickBot="1" x14ac:dyDescent="0.3">
      <c r="A150" s="274" t="s">
        <v>103</v>
      </c>
      <c r="B150" s="869"/>
      <c r="C150" s="285" t="s">
        <v>180</v>
      </c>
      <c r="D150" s="285" t="s">
        <v>107</v>
      </c>
      <c r="E150" s="280"/>
      <c r="F150" s="281"/>
      <c r="G150" s="332">
        <f t="shared" si="167"/>
        <v>0</v>
      </c>
      <c r="H150" s="282">
        <v>0</v>
      </c>
      <c r="I150" s="282">
        <v>0</v>
      </c>
      <c r="J150" s="349" t="str">
        <f t="shared" si="171"/>
        <v>-</v>
      </c>
      <c r="K150" s="332">
        <f t="shared" si="168"/>
        <v>0</v>
      </c>
      <c r="L150" s="272">
        <f t="shared" ref="L150:M150" si="177">+H150+L32</f>
        <v>0</v>
      </c>
      <c r="M150" s="273">
        <f t="shared" si="177"/>
        <v>0</v>
      </c>
      <c r="N150" s="336" t="str">
        <f t="shared" si="170"/>
        <v>-</v>
      </c>
      <c r="O150" s="345" t="str">
        <f t="shared" si="151"/>
        <v>-</v>
      </c>
    </row>
    <row r="151" spans="1:15" ht="23.25" thickBot="1" x14ac:dyDescent="0.3">
      <c r="A151" s="274" t="s">
        <v>103</v>
      </c>
      <c r="B151" s="845" t="s">
        <v>29</v>
      </c>
      <c r="C151" s="870"/>
      <c r="D151" s="871"/>
      <c r="E151" s="364">
        <f t="shared" ref="E151" si="178">SUM(E144:E150)</f>
        <v>0</v>
      </c>
      <c r="F151" s="306">
        <v>80000</v>
      </c>
      <c r="G151" s="364">
        <f>SUM(G144:G150)</f>
        <v>0</v>
      </c>
      <c r="H151" s="363">
        <f t="shared" ref="H151:I151" si="179">SUM(H144:H150)</f>
        <v>0</v>
      </c>
      <c r="I151" s="363">
        <f t="shared" si="179"/>
        <v>0</v>
      </c>
      <c r="J151" s="354">
        <f>+G151/F151</f>
        <v>0</v>
      </c>
      <c r="K151" s="364">
        <f t="shared" ref="K151" si="180">SUM(K144:K150)</f>
        <v>0</v>
      </c>
      <c r="L151" s="363">
        <f>SUM(L144:L150)</f>
        <v>0</v>
      </c>
      <c r="M151" s="365">
        <f t="shared" ref="M151" si="181">SUM(M144:M150)</f>
        <v>0</v>
      </c>
      <c r="N151" s="353" t="str">
        <f t="shared" si="170"/>
        <v>-</v>
      </c>
      <c r="O151" s="354" t="str">
        <f t="shared" si="151"/>
        <v>-</v>
      </c>
    </row>
    <row r="152" spans="1:15" ht="24" x14ac:dyDescent="0.25">
      <c r="A152" s="252" t="s">
        <v>103</v>
      </c>
      <c r="B152" s="872" t="s">
        <v>19</v>
      </c>
      <c r="C152" s="634" t="s">
        <v>234</v>
      </c>
      <c r="D152" s="734" t="s">
        <v>177</v>
      </c>
      <c r="E152" s="745"/>
      <c r="F152" s="725">
        <v>110000</v>
      </c>
      <c r="G152" s="453">
        <f t="shared" ref="G152:G158" si="182">+H152+I152</f>
        <v>17118</v>
      </c>
      <c r="H152" s="454">
        <v>16896</v>
      </c>
      <c r="I152" s="454">
        <v>222</v>
      </c>
      <c r="J152" s="526">
        <f>IFERROR(G152/F152,"-")</f>
        <v>0.15561818181818182</v>
      </c>
      <c r="K152" s="729">
        <f>+L152+M152</f>
        <v>76414</v>
      </c>
      <c r="L152" s="522">
        <f t="shared" ref="L152:M152" si="183">+H152+L34</f>
        <v>76032</v>
      </c>
      <c r="M152" s="725">
        <f t="shared" si="183"/>
        <v>382</v>
      </c>
      <c r="N152" s="626" t="str">
        <f>IFERROR(K152/E152,"-")</f>
        <v>-</v>
      </c>
      <c r="O152" s="627">
        <f t="shared" si="151"/>
        <v>4.9990839374983642E-3</v>
      </c>
    </row>
    <row r="153" spans="1:15" ht="24" x14ac:dyDescent="0.25">
      <c r="A153" s="252"/>
      <c r="B153" s="873"/>
      <c r="C153" s="727" t="s">
        <v>375</v>
      </c>
      <c r="D153" s="733" t="s">
        <v>421</v>
      </c>
      <c r="E153" s="507"/>
      <c r="F153" s="277"/>
      <c r="G153" s="331">
        <f t="shared" si="182"/>
        <v>0</v>
      </c>
      <c r="H153" s="278">
        <v>0</v>
      </c>
      <c r="I153" s="278">
        <v>0</v>
      </c>
      <c r="J153" s="350" t="str">
        <f t="shared" ref="J153:J158" si="184">IFERROR(G153/F153,"-")</f>
        <v>-</v>
      </c>
      <c r="K153" s="730">
        <f>+L153+M153</f>
        <v>0</v>
      </c>
      <c r="L153" s="276">
        <f t="shared" ref="L153:M153" si="185">+H153+L35</f>
        <v>0</v>
      </c>
      <c r="M153" s="277">
        <f t="shared" si="185"/>
        <v>0</v>
      </c>
      <c r="N153" s="723" t="str">
        <f t="shared" ref="N153:N158" si="186">IFERROR(K153/E153,"-")</f>
        <v>-</v>
      </c>
      <c r="O153" s="263" t="str">
        <f>IFERROR(M153/K153,"-")</f>
        <v>-</v>
      </c>
    </row>
    <row r="154" spans="1:15" ht="24" x14ac:dyDescent="0.25">
      <c r="A154" s="252"/>
      <c r="B154" s="873"/>
      <c r="C154" s="727" t="s">
        <v>234</v>
      </c>
      <c r="D154" s="733" t="s">
        <v>476</v>
      </c>
      <c r="E154" s="507"/>
      <c r="F154" s="277"/>
      <c r="G154" s="331">
        <f t="shared" si="182"/>
        <v>0</v>
      </c>
      <c r="H154" s="278">
        <v>0</v>
      </c>
      <c r="I154" s="278">
        <v>0</v>
      </c>
      <c r="J154" s="350" t="str">
        <f t="shared" si="184"/>
        <v>-</v>
      </c>
      <c r="K154" s="730">
        <f t="shared" ref="K154:K157" si="187">+L154+M154</f>
        <v>0</v>
      </c>
      <c r="L154" s="276">
        <f t="shared" ref="L154:M154" si="188">+H154+L36</f>
        <v>0</v>
      </c>
      <c r="M154" s="277">
        <f t="shared" si="188"/>
        <v>0</v>
      </c>
      <c r="N154" s="723" t="str">
        <f t="shared" si="186"/>
        <v>-</v>
      </c>
      <c r="O154" s="263" t="str">
        <f t="shared" ref="O154:O215" si="189">IFERROR(M154/K154,"-")</f>
        <v>-</v>
      </c>
    </row>
    <row r="155" spans="1:15" ht="24" x14ac:dyDescent="0.25">
      <c r="A155" s="252"/>
      <c r="B155" s="873"/>
      <c r="C155" s="727" t="s">
        <v>375</v>
      </c>
      <c r="D155" s="733" t="s">
        <v>476</v>
      </c>
      <c r="E155" s="507"/>
      <c r="F155" s="277"/>
      <c r="G155" s="331">
        <f t="shared" si="182"/>
        <v>0</v>
      </c>
      <c r="H155" s="278">
        <v>0</v>
      </c>
      <c r="I155" s="278">
        <v>0</v>
      </c>
      <c r="J155" s="350" t="str">
        <f t="shared" si="184"/>
        <v>-</v>
      </c>
      <c r="K155" s="730">
        <f t="shared" si="187"/>
        <v>0</v>
      </c>
      <c r="L155" s="276">
        <f t="shared" ref="L155:M155" si="190">+H155+L37</f>
        <v>0</v>
      </c>
      <c r="M155" s="277">
        <f t="shared" si="190"/>
        <v>0</v>
      </c>
      <c r="N155" s="723" t="str">
        <f t="shared" si="186"/>
        <v>-</v>
      </c>
      <c r="O155" s="263" t="str">
        <f t="shared" si="189"/>
        <v>-</v>
      </c>
    </row>
    <row r="156" spans="1:15" ht="24" x14ac:dyDescent="0.25">
      <c r="A156" s="252"/>
      <c r="B156" s="873"/>
      <c r="C156" s="727" t="s">
        <v>484</v>
      </c>
      <c r="D156" s="733" t="s">
        <v>476</v>
      </c>
      <c r="E156" s="507"/>
      <c r="F156" s="277"/>
      <c r="G156" s="331">
        <f t="shared" si="182"/>
        <v>0</v>
      </c>
      <c r="H156" s="278">
        <v>0</v>
      </c>
      <c r="I156" s="278">
        <v>0</v>
      </c>
      <c r="J156" s="350" t="str">
        <f t="shared" si="184"/>
        <v>-</v>
      </c>
      <c r="K156" s="730">
        <f t="shared" si="187"/>
        <v>0</v>
      </c>
      <c r="L156" s="276">
        <f t="shared" ref="L156:M156" si="191">+H156+L38</f>
        <v>0</v>
      </c>
      <c r="M156" s="277">
        <f t="shared" si="191"/>
        <v>0</v>
      </c>
      <c r="N156" s="723" t="str">
        <f t="shared" si="186"/>
        <v>-</v>
      </c>
      <c r="O156" s="263" t="str">
        <f t="shared" si="189"/>
        <v>-</v>
      </c>
    </row>
    <row r="157" spans="1:15" ht="24" x14ac:dyDescent="0.25">
      <c r="A157" s="252"/>
      <c r="B157" s="873"/>
      <c r="C157" s="727"/>
      <c r="D157" s="733"/>
      <c r="E157" s="507"/>
      <c r="F157" s="277"/>
      <c r="G157" s="331">
        <f t="shared" si="182"/>
        <v>0</v>
      </c>
      <c r="H157" s="278">
        <v>0</v>
      </c>
      <c r="I157" s="278">
        <v>0</v>
      </c>
      <c r="J157" s="350" t="str">
        <f t="shared" si="184"/>
        <v>-</v>
      </c>
      <c r="K157" s="730">
        <f t="shared" si="187"/>
        <v>0</v>
      </c>
      <c r="L157" s="276">
        <f t="shared" ref="L157:M157" si="192">+H157+L39</f>
        <v>0</v>
      </c>
      <c r="M157" s="277">
        <f t="shared" si="192"/>
        <v>0</v>
      </c>
      <c r="N157" s="723" t="str">
        <f t="shared" si="186"/>
        <v>-</v>
      </c>
      <c r="O157" s="263" t="str">
        <f t="shared" si="189"/>
        <v>-</v>
      </c>
    </row>
    <row r="158" spans="1:15" ht="24.75" thickBot="1" x14ac:dyDescent="0.3">
      <c r="A158" s="252"/>
      <c r="B158" s="874"/>
      <c r="C158" s="635" t="s">
        <v>340</v>
      </c>
      <c r="D158" s="735"/>
      <c r="E158" s="746"/>
      <c r="F158" s="726"/>
      <c r="G158" s="456">
        <f t="shared" si="182"/>
        <v>0</v>
      </c>
      <c r="H158" s="457">
        <v>0</v>
      </c>
      <c r="I158" s="457">
        <v>0</v>
      </c>
      <c r="J158" s="527" t="str">
        <f t="shared" si="184"/>
        <v>-</v>
      </c>
      <c r="K158" s="731">
        <f>+L158+M158</f>
        <v>0</v>
      </c>
      <c r="L158" s="525">
        <f t="shared" ref="L158:M158" si="193">+H158+L40</f>
        <v>0</v>
      </c>
      <c r="M158" s="726">
        <f t="shared" si="193"/>
        <v>0</v>
      </c>
      <c r="N158" s="724" t="str">
        <f t="shared" si="186"/>
        <v>-</v>
      </c>
      <c r="O158" s="264" t="str">
        <f t="shared" si="189"/>
        <v>-</v>
      </c>
    </row>
    <row r="159" spans="1:15" ht="23.25" thickBot="1" x14ac:dyDescent="0.3">
      <c r="A159" s="274" t="s">
        <v>103</v>
      </c>
      <c r="B159" s="875" t="s">
        <v>46</v>
      </c>
      <c r="C159" s="876"/>
      <c r="D159" s="877"/>
      <c r="E159" s="509">
        <f>SUM(E152:E158)</f>
        <v>0</v>
      </c>
      <c r="F159" s="728">
        <f t="shared" ref="F159" si="194">SUM(F152)</f>
        <v>110000</v>
      </c>
      <c r="G159" s="509">
        <f>SUM(G152:G158)</f>
        <v>17118</v>
      </c>
      <c r="H159" s="515">
        <f>SUM(H152:H158)</f>
        <v>16896</v>
      </c>
      <c r="I159" s="515">
        <f>SUM(I152:I158)</f>
        <v>222</v>
      </c>
      <c r="J159" s="516">
        <f>+G159/F159</f>
        <v>0.15561818181818182</v>
      </c>
      <c r="K159" s="722">
        <f>SUM(K152:K158)</f>
        <v>76414</v>
      </c>
      <c r="L159" s="515">
        <f>SUM(L152:L158)</f>
        <v>76032</v>
      </c>
      <c r="M159" s="650">
        <f>SUM(M152:M158)</f>
        <v>382</v>
      </c>
      <c r="N159" s="517" t="str">
        <f>IFERROR(K159/E159,"-")</f>
        <v>-</v>
      </c>
      <c r="O159" s="516">
        <f t="shared" si="189"/>
        <v>4.9990839374983642E-3</v>
      </c>
    </row>
    <row r="160" spans="1:15" ht="24" x14ac:dyDescent="0.25">
      <c r="A160" s="274" t="s">
        <v>103</v>
      </c>
      <c r="B160" s="867" t="s">
        <v>20</v>
      </c>
      <c r="C160" s="290" t="s">
        <v>486</v>
      </c>
      <c r="D160" s="757" t="s">
        <v>288</v>
      </c>
      <c r="E160" s="270"/>
      <c r="F160" s="271"/>
      <c r="G160" s="330">
        <f t="shared" ref="G160:G162" si="195">+H160+I160</f>
        <v>0</v>
      </c>
      <c r="H160" s="272"/>
      <c r="I160" s="272"/>
      <c r="J160" s="349" t="str">
        <f>IFERROR(G160/F160,"-")</f>
        <v>-</v>
      </c>
      <c r="K160" s="330">
        <f t="shared" ref="K160:K162" si="196">+L160+M160</f>
        <v>22641</v>
      </c>
      <c r="L160" s="272">
        <f t="shared" ref="L160:M160" si="197">+H160+L42</f>
        <v>22464</v>
      </c>
      <c r="M160" s="273">
        <f t="shared" si="197"/>
        <v>177</v>
      </c>
      <c r="N160" s="334" t="str">
        <f t="shared" ref="N160:N163" si="198">IFERROR(K160/E160,"-")</f>
        <v>-</v>
      </c>
      <c r="O160" s="344">
        <f t="shared" si="189"/>
        <v>7.8176758977076977E-3</v>
      </c>
    </row>
    <row r="161" spans="1:15" ht="24" x14ac:dyDescent="0.25">
      <c r="A161" s="274" t="s">
        <v>103</v>
      </c>
      <c r="B161" s="868"/>
      <c r="C161" s="291" t="s">
        <v>114</v>
      </c>
      <c r="D161" s="291"/>
      <c r="E161" s="276"/>
      <c r="F161" s="277"/>
      <c r="G161" s="331">
        <f t="shared" si="195"/>
        <v>0</v>
      </c>
      <c r="H161" s="278">
        <v>0</v>
      </c>
      <c r="I161" s="278">
        <v>0</v>
      </c>
      <c r="J161" s="349" t="str">
        <f t="shared" ref="J161:J162" si="199">IFERROR(G161/F161,"-")</f>
        <v>-</v>
      </c>
      <c r="K161" s="331">
        <f t="shared" si="196"/>
        <v>0</v>
      </c>
      <c r="L161" s="272">
        <f t="shared" ref="L161:M161" si="200">+H161+L43</f>
        <v>0</v>
      </c>
      <c r="M161" s="273">
        <f t="shared" si="200"/>
        <v>0</v>
      </c>
      <c r="N161" s="335" t="str">
        <f t="shared" si="198"/>
        <v>-</v>
      </c>
      <c r="O161" s="263" t="str">
        <f t="shared" si="189"/>
        <v>-</v>
      </c>
    </row>
    <row r="162" spans="1:15" ht="24.75" thickBot="1" x14ac:dyDescent="0.3">
      <c r="A162" s="274" t="s">
        <v>103</v>
      </c>
      <c r="B162" s="869"/>
      <c r="C162" s="292" t="s">
        <v>120</v>
      </c>
      <c r="D162" s="292"/>
      <c r="E162" s="280"/>
      <c r="F162" s="281"/>
      <c r="G162" s="332">
        <f t="shared" si="195"/>
        <v>0</v>
      </c>
      <c r="H162" s="282">
        <v>0</v>
      </c>
      <c r="I162" s="282">
        <v>0</v>
      </c>
      <c r="J162" s="349" t="str">
        <f t="shared" si="199"/>
        <v>-</v>
      </c>
      <c r="K162" s="332">
        <f t="shared" si="196"/>
        <v>0</v>
      </c>
      <c r="L162" s="272">
        <f t="shared" ref="L162:M162" si="201">+H162+L44</f>
        <v>0</v>
      </c>
      <c r="M162" s="273">
        <f t="shared" si="201"/>
        <v>0</v>
      </c>
      <c r="N162" s="336" t="str">
        <f t="shared" si="198"/>
        <v>-</v>
      </c>
      <c r="O162" s="345" t="str">
        <f t="shared" si="189"/>
        <v>-</v>
      </c>
    </row>
    <row r="163" spans="1:15" ht="23.25" thickBot="1" x14ac:dyDescent="0.3">
      <c r="A163" s="274" t="s">
        <v>103</v>
      </c>
      <c r="B163" s="846" t="s">
        <v>47</v>
      </c>
      <c r="C163" s="846"/>
      <c r="D163" s="878"/>
      <c r="E163" s="319">
        <f t="shared" ref="E163" si="202">SUM(E160:E162)</f>
        <v>0</v>
      </c>
      <c r="F163" s="284">
        <v>50000</v>
      </c>
      <c r="G163" s="319">
        <f>SUM(G160:G162)</f>
        <v>0</v>
      </c>
      <c r="H163" s="320">
        <f t="shared" ref="H163:I163" si="203">SUM(H160:H162)</f>
        <v>0</v>
      </c>
      <c r="I163" s="320">
        <f t="shared" si="203"/>
        <v>0</v>
      </c>
      <c r="J163" s="343">
        <f>+G163/F163</f>
        <v>0</v>
      </c>
      <c r="K163" s="319">
        <f t="shared" ref="K163:M163" si="204">SUM(K160:K162)</f>
        <v>22641</v>
      </c>
      <c r="L163" s="320">
        <f t="shared" si="204"/>
        <v>22464</v>
      </c>
      <c r="M163" s="321">
        <f t="shared" si="204"/>
        <v>177</v>
      </c>
      <c r="N163" s="337" t="str">
        <f t="shared" si="198"/>
        <v>-</v>
      </c>
      <c r="O163" s="343">
        <f t="shared" si="189"/>
        <v>7.8176758977076977E-3</v>
      </c>
    </row>
    <row r="164" spans="1:15" ht="23.25" thickBot="1" x14ac:dyDescent="0.3">
      <c r="A164" s="274" t="s">
        <v>103</v>
      </c>
      <c r="B164" s="853" t="s">
        <v>21</v>
      </c>
      <c r="C164" s="854"/>
      <c r="D164" s="855"/>
      <c r="E164" s="324">
        <f>+E135+E143+E151+E159+E163</f>
        <v>0</v>
      </c>
      <c r="F164" s="325">
        <f>+F135+F143+F151+F159+F163</f>
        <v>355000</v>
      </c>
      <c r="G164" s="324">
        <f>+G135+G143+G151+G159+G163</f>
        <v>54623</v>
      </c>
      <c r="H164" s="322">
        <f>+H135+H143+H151+H159+H163</f>
        <v>54236</v>
      </c>
      <c r="I164" s="322">
        <f>+I135+I143+I151+I159+I163</f>
        <v>387</v>
      </c>
      <c r="J164" s="347">
        <f>+G164/F164</f>
        <v>0.15386760563380281</v>
      </c>
      <c r="K164" s="324">
        <f>+K135+K143+K151+K159+K163</f>
        <v>164963</v>
      </c>
      <c r="L164" s="322">
        <f>+L135+L143+L151+L159+L163</f>
        <v>163856</v>
      </c>
      <c r="M164" s="323">
        <f>+M135+M143+M151+M159+M163</f>
        <v>1107</v>
      </c>
      <c r="N164" s="339" t="str">
        <f>IFERROR(K164/E164,"-")</f>
        <v>-</v>
      </c>
      <c r="O164" s="347">
        <f t="shared" si="189"/>
        <v>6.7105957093408827E-3</v>
      </c>
    </row>
    <row r="165" spans="1:15" ht="24" x14ac:dyDescent="0.25">
      <c r="A165" s="274" t="s">
        <v>103</v>
      </c>
      <c r="B165" s="867" t="s">
        <v>398</v>
      </c>
      <c r="C165" s="269" t="s">
        <v>125</v>
      </c>
      <c r="D165" s="269"/>
      <c r="E165" s="270"/>
      <c r="F165" s="271"/>
      <c r="G165" s="330">
        <f t="shared" ref="G165:G168" si="205">+H165+I165</f>
        <v>0</v>
      </c>
      <c r="H165" s="272">
        <v>0</v>
      </c>
      <c r="I165" s="272">
        <v>0</v>
      </c>
      <c r="J165" s="349" t="str">
        <f>IFERROR(G165/F165,"-")</f>
        <v>-</v>
      </c>
      <c r="K165" s="330">
        <f t="shared" ref="K165:K168" si="206">+L165+M165</f>
        <v>0</v>
      </c>
      <c r="L165" s="272">
        <f t="shared" ref="L165:M165" si="207">+H165+L47</f>
        <v>0</v>
      </c>
      <c r="M165" s="273">
        <f t="shared" si="207"/>
        <v>0</v>
      </c>
      <c r="N165" s="334" t="str">
        <f t="shared" ref="N165:N180" si="208">IFERROR(K165/E165,"-")</f>
        <v>-</v>
      </c>
      <c r="O165" s="344" t="str">
        <f t="shared" si="189"/>
        <v>-</v>
      </c>
    </row>
    <row r="166" spans="1:15" ht="24" x14ac:dyDescent="0.25">
      <c r="A166" s="274" t="s">
        <v>103</v>
      </c>
      <c r="B166" s="868"/>
      <c r="C166" s="294" t="s">
        <v>262</v>
      </c>
      <c r="D166" s="294" t="s">
        <v>181</v>
      </c>
      <c r="E166" s="276"/>
      <c r="F166" s="277"/>
      <c r="G166" s="331">
        <f t="shared" si="205"/>
        <v>0</v>
      </c>
      <c r="H166" s="278">
        <v>0</v>
      </c>
      <c r="I166" s="278">
        <v>0</v>
      </c>
      <c r="J166" s="349" t="str">
        <f t="shared" ref="J166:J168" si="209">IFERROR(G166/F166,"-")</f>
        <v>-</v>
      </c>
      <c r="K166" s="331">
        <f t="shared" si="206"/>
        <v>0</v>
      </c>
      <c r="L166" s="272">
        <f t="shared" ref="L166:M166" si="210">+H166+L48</f>
        <v>0</v>
      </c>
      <c r="M166" s="273">
        <f t="shared" si="210"/>
        <v>0</v>
      </c>
      <c r="N166" s="335" t="str">
        <f t="shared" si="208"/>
        <v>-</v>
      </c>
      <c r="O166" s="263" t="str">
        <f t="shared" si="189"/>
        <v>-</v>
      </c>
    </row>
    <row r="167" spans="1:15" ht="24" x14ac:dyDescent="0.25">
      <c r="A167" s="274" t="s">
        <v>103</v>
      </c>
      <c r="B167" s="868"/>
      <c r="C167" s="294" t="s">
        <v>360</v>
      </c>
      <c r="D167" s="294" t="s">
        <v>181</v>
      </c>
      <c r="E167" s="276"/>
      <c r="F167" s="277"/>
      <c r="G167" s="331">
        <f t="shared" si="205"/>
        <v>0</v>
      </c>
      <c r="H167" s="278">
        <v>0</v>
      </c>
      <c r="I167" s="278">
        <v>0</v>
      </c>
      <c r="J167" s="349" t="str">
        <f t="shared" si="209"/>
        <v>-</v>
      </c>
      <c r="K167" s="331">
        <f t="shared" si="206"/>
        <v>0</v>
      </c>
      <c r="L167" s="272">
        <f t="shared" ref="L167:M167" si="211">+H167+L49</f>
        <v>0</v>
      </c>
      <c r="M167" s="273">
        <f t="shared" si="211"/>
        <v>0</v>
      </c>
      <c r="N167" s="335" t="str">
        <f t="shared" si="208"/>
        <v>-</v>
      </c>
      <c r="O167" s="263" t="str">
        <f t="shared" si="189"/>
        <v>-</v>
      </c>
    </row>
    <row r="168" spans="1:15" ht="24.75" thickBot="1" x14ac:dyDescent="0.3">
      <c r="A168" s="274" t="s">
        <v>103</v>
      </c>
      <c r="B168" s="869"/>
      <c r="C168" s="279" t="s">
        <v>182</v>
      </c>
      <c r="D168" s="279" t="s">
        <v>93</v>
      </c>
      <c r="E168" s="280"/>
      <c r="F168" s="281"/>
      <c r="G168" s="332">
        <f t="shared" si="205"/>
        <v>4080</v>
      </c>
      <c r="H168" s="278">
        <v>3960</v>
      </c>
      <c r="I168" s="278">
        <v>120</v>
      </c>
      <c r="J168" s="349" t="str">
        <f t="shared" si="209"/>
        <v>-</v>
      </c>
      <c r="K168" s="332">
        <f t="shared" si="206"/>
        <v>6120</v>
      </c>
      <c r="L168" s="272">
        <f t="shared" ref="L168:M168" si="212">+H168+L50</f>
        <v>5940</v>
      </c>
      <c r="M168" s="273">
        <f t="shared" si="212"/>
        <v>180</v>
      </c>
      <c r="N168" s="336" t="str">
        <f t="shared" si="208"/>
        <v>-</v>
      </c>
      <c r="O168" s="345">
        <f t="shared" si="189"/>
        <v>2.9411764705882353E-2</v>
      </c>
    </row>
    <row r="169" spans="1:15" ht="23.25" thickBot="1" x14ac:dyDescent="0.3">
      <c r="A169" s="274" t="s">
        <v>103</v>
      </c>
      <c r="B169" s="845" t="s">
        <v>48</v>
      </c>
      <c r="C169" s="846"/>
      <c r="D169" s="847"/>
      <c r="E169" s="283">
        <f>SUM(E165:E168)</f>
        <v>0</v>
      </c>
      <c r="F169" s="284">
        <v>80000</v>
      </c>
      <c r="G169" s="319">
        <f>SUM(G165:G168)</f>
        <v>4080</v>
      </c>
      <c r="H169" s="320">
        <f t="shared" ref="H169:I169" si="213">SUM(H165:H168)</f>
        <v>3960</v>
      </c>
      <c r="I169" s="320">
        <f t="shared" si="213"/>
        <v>120</v>
      </c>
      <c r="J169" s="343">
        <f>+G169/F169</f>
        <v>5.0999999999999997E-2</v>
      </c>
      <c r="K169" s="319">
        <f t="shared" ref="K169" si="214">SUM(K165:K168)</f>
        <v>6120</v>
      </c>
      <c r="L169" s="320">
        <f>SUM(L165:L168)</f>
        <v>5940</v>
      </c>
      <c r="M169" s="321">
        <f t="shared" ref="M169" si="215">SUM(M165:M168)</f>
        <v>180</v>
      </c>
      <c r="N169" s="337" t="str">
        <f t="shared" si="208"/>
        <v>-</v>
      </c>
      <c r="O169" s="343">
        <f t="shared" si="189"/>
        <v>2.9411764705882353E-2</v>
      </c>
    </row>
    <row r="170" spans="1:15" ht="24" x14ac:dyDescent="0.25">
      <c r="A170" s="274" t="s">
        <v>103</v>
      </c>
      <c r="B170" s="867" t="s">
        <v>23</v>
      </c>
      <c r="C170" s="275" t="s">
        <v>473</v>
      </c>
      <c r="D170" s="295" t="s">
        <v>237</v>
      </c>
      <c r="E170" s="270"/>
      <c r="F170" s="271"/>
      <c r="G170" s="330">
        <f t="shared" ref="G170:G178" si="216">+H170+I170</f>
        <v>0</v>
      </c>
      <c r="H170" s="272">
        <v>0</v>
      </c>
      <c r="I170" s="272">
        <v>0</v>
      </c>
      <c r="J170" s="349" t="str">
        <f>IFERROR(G170/F170,"-")</f>
        <v>-</v>
      </c>
      <c r="K170" s="330">
        <f t="shared" ref="K170:K178" si="217">+L170+M170</f>
        <v>0</v>
      </c>
      <c r="L170" s="272">
        <f t="shared" ref="L170:M170" si="218">+H170+L52</f>
        <v>0</v>
      </c>
      <c r="M170" s="273">
        <f t="shared" si="218"/>
        <v>0</v>
      </c>
      <c r="N170" s="334" t="str">
        <f t="shared" si="208"/>
        <v>-</v>
      </c>
      <c r="O170" s="344" t="str">
        <f t="shared" si="189"/>
        <v>-</v>
      </c>
    </row>
    <row r="171" spans="1:15" ht="24" x14ac:dyDescent="0.25">
      <c r="A171" s="274" t="s">
        <v>103</v>
      </c>
      <c r="B171" s="868"/>
      <c r="C171" s="275" t="s">
        <v>24</v>
      </c>
      <c r="D171" s="275" t="s">
        <v>237</v>
      </c>
      <c r="E171" s="276"/>
      <c r="F171" s="277"/>
      <c r="G171" s="331">
        <f t="shared" si="216"/>
        <v>4397</v>
      </c>
      <c r="H171" s="278">
        <v>4375</v>
      </c>
      <c r="I171" s="278">
        <v>22</v>
      </c>
      <c r="J171" s="349" t="str">
        <f t="shared" ref="J171:J178" si="219">IFERROR(G171/F171,"-")</f>
        <v>-</v>
      </c>
      <c r="K171" s="331">
        <f t="shared" si="217"/>
        <v>4397</v>
      </c>
      <c r="L171" s="272">
        <f t="shared" ref="L171:M171" si="220">+H171+L53</f>
        <v>4375</v>
      </c>
      <c r="M171" s="273">
        <f t="shared" si="220"/>
        <v>22</v>
      </c>
      <c r="N171" s="335" t="str">
        <f t="shared" si="208"/>
        <v>-</v>
      </c>
      <c r="O171" s="263">
        <f t="shared" si="189"/>
        <v>5.0034114168751422E-3</v>
      </c>
    </row>
    <row r="172" spans="1:15" ht="24" x14ac:dyDescent="0.25">
      <c r="A172" s="274" t="s">
        <v>103</v>
      </c>
      <c r="B172" s="868"/>
      <c r="C172" s="275" t="s">
        <v>235</v>
      </c>
      <c r="D172" s="275" t="s">
        <v>237</v>
      </c>
      <c r="E172" s="276"/>
      <c r="F172" s="277"/>
      <c r="G172" s="331">
        <f t="shared" si="216"/>
        <v>0</v>
      </c>
      <c r="H172" s="278">
        <v>0</v>
      </c>
      <c r="I172" s="278">
        <v>0</v>
      </c>
      <c r="J172" s="349" t="str">
        <f t="shared" si="219"/>
        <v>-</v>
      </c>
      <c r="K172" s="331">
        <f t="shared" si="217"/>
        <v>0</v>
      </c>
      <c r="L172" s="272">
        <f t="shared" ref="L172:M172" si="221">+H172+L54</f>
        <v>0</v>
      </c>
      <c r="M172" s="273">
        <f t="shared" si="221"/>
        <v>0</v>
      </c>
      <c r="N172" s="335" t="str">
        <f t="shared" si="208"/>
        <v>-</v>
      </c>
      <c r="O172" s="263" t="str">
        <f t="shared" si="189"/>
        <v>-</v>
      </c>
    </row>
    <row r="173" spans="1:15" ht="24" x14ac:dyDescent="0.25">
      <c r="A173" s="274" t="s">
        <v>103</v>
      </c>
      <c r="B173" s="868"/>
      <c r="C173" s="275" t="s">
        <v>238</v>
      </c>
      <c r="D173" s="275" t="s">
        <v>237</v>
      </c>
      <c r="E173" s="276"/>
      <c r="F173" s="277"/>
      <c r="G173" s="331">
        <f t="shared" si="216"/>
        <v>0</v>
      </c>
      <c r="H173" s="278">
        <v>0</v>
      </c>
      <c r="I173" s="278">
        <v>0</v>
      </c>
      <c r="J173" s="349" t="str">
        <f t="shared" si="219"/>
        <v>-</v>
      </c>
      <c r="K173" s="331">
        <f t="shared" si="217"/>
        <v>0</v>
      </c>
      <c r="L173" s="272">
        <f t="shared" ref="L173:M173" si="222">+H173+L55</f>
        <v>0</v>
      </c>
      <c r="M173" s="273">
        <f t="shared" si="222"/>
        <v>0</v>
      </c>
      <c r="N173" s="335" t="str">
        <f t="shared" si="208"/>
        <v>-</v>
      </c>
      <c r="O173" s="263" t="str">
        <f t="shared" si="189"/>
        <v>-</v>
      </c>
    </row>
    <row r="174" spans="1:15" ht="24" x14ac:dyDescent="0.25">
      <c r="A174" s="274" t="s">
        <v>103</v>
      </c>
      <c r="B174" s="868"/>
      <c r="C174" s="294" t="s">
        <v>392</v>
      </c>
      <c r="D174" s="275" t="s">
        <v>237</v>
      </c>
      <c r="E174" s="276"/>
      <c r="F174" s="277"/>
      <c r="G174" s="331">
        <f t="shared" si="216"/>
        <v>0</v>
      </c>
      <c r="H174" s="278">
        <v>0</v>
      </c>
      <c r="I174" s="278">
        <v>0</v>
      </c>
      <c r="J174" s="349" t="str">
        <f t="shared" si="219"/>
        <v>-</v>
      </c>
      <c r="K174" s="331">
        <f t="shared" si="217"/>
        <v>0</v>
      </c>
      <c r="L174" s="272">
        <f t="shared" ref="L174:M174" si="223">+H174+L56</f>
        <v>0</v>
      </c>
      <c r="M174" s="273">
        <f t="shared" si="223"/>
        <v>0</v>
      </c>
      <c r="N174" s="335" t="str">
        <f t="shared" si="208"/>
        <v>-</v>
      </c>
      <c r="O174" s="263" t="str">
        <f t="shared" si="189"/>
        <v>-</v>
      </c>
    </row>
    <row r="175" spans="1:15" ht="24" x14ac:dyDescent="0.25">
      <c r="A175" s="274" t="s">
        <v>103</v>
      </c>
      <c r="B175" s="868"/>
      <c r="C175" s="294" t="s">
        <v>420</v>
      </c>
      <c r="D175" s="275" t="s">
        <v>237</v>
      </c>
      <c r="E175" s="276"/>
      <c r="F175" s="277"/>
      <c r="G175" s="331">
        <f t="shared" si="216"/>
        <v>0</v>
      </c>
      <c r="H175" s="278">
        <v>0</v>
      </c>
      <c r="I175" s="278">
        <v>0</v>
      </c>
      <c r="J175" s="349" t="str">
        <f t="shared" si="219"/>
        <v>-</v>
      </c>
      <c r="K175" s="331">
        <f t="shared" si="217"/>
        <v>0</v>
      </c>
      <c r="L175" s="272">
        <f t="shared" ref="L175:M175" si="224">+H175+L57</f>
        <v>0</v>
      </c>
      <c r="M175" s="273">
        <f t="shared" si="224"/>
        <v>0</v>
      </c>
      <c r="N175" s="335" t="str">
        <f t="shared" si="208"/>
        <v>-</v>
      </c>
      <c r="O175" s="263" t="str">
        <f t="shared" si="189"/>
        <v>-</v>
      </c>
    </row>
    <row r="176" spans="1:15" ht="24" x14ac:dyDescent="0.25">
      <c r="A176" s="274" t="s">
        <v>103</v>
      </c>
      <c r="B176" s="868"/>
      <c r="C176" s="294" t="s">
        <v>240</v>
      </c>
      <c r="D176" s="275" t="s">
        <v>242</v>
      </c>
      <c r="E176" s="276"/>
      <c r="F176" s="277"/>
      <c r="G176" s="331">
        <f t="shared" si="216"/>
        <v>0</v>
      </c>
      <c r="H176" s="278">
        <v>0</v>
      </c>
      <c r="I176" s="278">
        <v>0</v>
      </c>
      <c r="J176" s="349" t="str">
        <f t="shared" si="219"/>
        <v>-</v>
      </c>
      <c r="K176" s="331">
        <f t="shared" si="217"/>
        <v>0</v>
      </c>
      <c r="L176" s="272">
        <f t="shared" ref="L176:M176" si="225">+H176+L58</f>
        <v>0</v>
      </c>
      <c r="M176" s="273">
        <f t="shared" si="225"/>
        <v>0</v>
      </c>
      <c r="N176" s="335" t="str">
        <f t="shared" si="208"/>
        <v>-</v>
      </c>
      <c r="O176" s="263" t="str">
        <f t="shared" si="189"/>
        <v>-</v>
      </c>
    </row>
    <row r="177" spans="1:15" ht="24" x14ac:dyDescent="0.25">
      <c r="A177" s="274"/>
      <c r="B177" s="869"/>
      <c r="C177" s="294" t="s">
        <v>481</v>
      </c>
      <c r="D177" s="275" t="s">
        <v>237</v>
      </c>
      <c r="E177" s="280"/>
      <c r="F177" s="281"/>
      <c r="G177" s="331">
        <f t="shared" si="216"/>
        <v>0</v>
      </c>
      <c r="H177" s="278">
        <v>0</v>
      </c>
      <c r="I177" s="278">
        <v>0</v>
      </c>
      <c r="J177" s="349" t="str">
        <f t="shared" si="219"/>
        <v>-</v>
      </c>
      <c r="K177" s="331">
        <f t="shared" si="217"/>
        <v>0</v>
      </c>
      <c r="L177" s="272">
        <f t="shared" ref="L177:M177" si="226">+H177+L59</f>
        <v>0</v>
      </c>
      <c r="M177" s="273">
        <f t="shared" si="226"/>
        <v>0</v>
      </c>
      <c r="N177" s="335" t="str">
        <f t="shared" si="208"/>
        <v>-</v>
      </c>
      <c r="O177" s="263" t="str">
        <f t="shared" si="189"/>
        <v>-</v>
      </c>
    </row>
    <row r="178" spans="1:15" ht="24.75" thickBot="1" x14ac:dyDescent="0.3">
      <c r="A178" s="274" t="s">
        <v>103</v>
      </c>
      <c r="B178" s="869"/>
      <c r="C178" s="294" t="s">
        <v>241</v>
      </c>
      <c r="D178" s="275" t="s">
        <v>237</v>
      </c>
      <c r="E178" s="280"/>
      <c r="F178" s="281"/>
      <c r="G178" s="332">
        <f t="shared" si="216"/>
        <v>0</v>
      </c>
      <c r="H178" s="278">
        <v>0</v>
      </c>
      <c r="I178" s="278">
        <v>0</v>
      </c>
      <c r="J178" s="349" t="str">
        <f t="shared" si="219"/>
        <v>-</v>
      </c>
      <c r="K178" s="332">
        <f t="shared" si="217"/>
        <v>0</v>
      </c>
      <c r="L178" s="272">
        <f t="shared" ref="L178:M178" si="227">+H178+L60</f>
        <v>0</v>
      </c>
      <c r="M178" s="273">
        <f t="shared" si="227"/>
        <v>0</v>
      </c>
      <c r="N178" s="336" t="str">
        <f t="shared" si="208"/>
        <v>-</v>
      </c>
      <c r="O178" s="345" t="str">
        <f t="shared" si="189"/>
        <v>-</v>
      </c>
    </row>
    <row r="179" spans="1:15" ht="23.25" thickBot="1" x14ac:dyDescent="0.3">
      <c r="A179" s="274" t="s">
        <v>103</v>
      </c>
      <c r="B179" s="845" t="s">
        <v>49</v>
      </c>
      <c r="C179" s="846"/>
      <c r="D179" s="847"/>
      <c r="E179" s="283">
        <f>SUM(E170:E178)</f>
        <v>0</v>
      </c>
      <c r="F179" s="284">
        <v>14000</v>
      </c>
      <c r="G179" s="319">
        <f>SUM(G170:G178)</f>
        <v>4397</v>
      </c>
      <c r="H179" s="320">
        <f t="shared" ref="H179:I179" si="228">SUM(H170:H178)</f>
        <v>4375</v>
      </c>
      <c r="I179" s="320">
        <f t="shared" si="228"/>
        <v>22</v>
      </c>
      <c r="J179" s="343">
        <f>+G180/F180</f>
        <v>9.0180851063829781E-2</v>
      </c>
      <c r="K179" s="319">
        <f>SUM(K170:K178)</f>
        <v>4397</v>
      </c>
      <c r="L179" s="320">
        <f>+H179</f>
        <v>4375</v>
      </c>
      <c r="M179" s="321">
        <f>+I179</f>
        <v>22</v>
      </c>
      <c r="N179" s="337" t="str">
        <f t="shared" si="208"/>
        <v>-</v>
      </c>
      <c r="O179" s="343">
        <f t="shared" si="189"/>
        <v>5.0034114168751422E-3</v>
      </c>
    </row>
    <row r="180" spans="1:15" ht="23.25" thickBot="1" x14ac:dyDescent="0.3">
      <c r="A180" s="274" t="s">
        <v>103</v>
      </c>
      <c r="B180" s="853" t="s">
        <v>25</v>
      </c>
      <c r="C180" s="854"/>
      <c r="D180" s="855"/>
      <c r="E180" s="324">
        <f t="shared" ref="E180:F180" si="229">+E169+E179</f>
        <v>0</v>
      </c>
      <c r="F180" s="325">
        <f t="shared" si="229"/>
        <v>94000</v>
      </c>
      <c r="G180" s="324">
        <f>+G169+G179</f>
        <v>8477</v>
      </c>
      <c r="H180" s="322">
        <f t="shared" ref="H180:I180" si="230">+H169+H179</f>
        <v>8335</v>
      </c>
      <c r="I180" s="322">
        <f t="shared" si="230"/>
        <v>142</v>
      </c>
      <c r="J180" s="347" t="str">
        <f>IFERROR(G180/#REF!,"-")</f>
        <v>-</v>
      </c>
      <c r="K180" s="324">
        <f t="shared" ref="K180" si="231">+K169+K179</f>
        <v>10517</v>
      </c>
      <c r="L180" s="322">
        <f>+L169+L179</f>
        <v>10315</v>
      </c>
      <c r="M180" s="323">
        <f t="shared" ref="M180" si="232">+M169+M179</f>
        <v>202</v>
      </c>
      <c r="N180" s="339" t="str">
        <f t="shared" si="208"/>
        <v>-</v>
      </c>
      <c r="O180" s="347">
        <f t="shared" si="189"/>
        <v>1.9206998193401159E-2</v>
      </c>
    </row>
    <row r="181" spans="1:15" ht="23.25" thickBot="1" x14ac:dyDescent="0.3">
      <c r="A181" s="274" t="s">
        <v>103</v>
      </c>
      <c r="B181" s="839" t="s">
        <v>172</v>
      </c>
      <c r="C181" s="840"/>
      <c r="D181" s="865"/>
      <c r="E181" s="328">
        <f>+E164+E180</f>
        <v>0</v>
      </c>
      <c r="F181" s="329">
        <f t="shared" ref="F181:I181" si="233">+F164+F180</f>
        <v>449000</v>
      </c>
      <c r="G181" s="328">
        <f t="shared" si="233"/>
        <v>63100</v>
      </c>
      <c r="H181" s="326">
        <f t="shared" si="233"/>
        <v>62571</v>
      </c>
      <c r="I181" s="326">
        <f t="shared" si="233"/>
        <v>529</v>
      </c>
      <c r="J181" s="348">
        <f>+G181/F181</f>
        <v>0.14053452115812917</v>
      </c>
      <c r="K181" s="328">
        <f>+K164+K180</f>
        <v>175480</v>
      </c>
      <c r="L181" s="326">
        <f t="shared" ref="L181:M181" si="234">+L164+L180</f>
        <v>174171</v>
      </c>
      <c r="M181" s="327">
        <f t="shared" si="234"/>
        <v>1309</v>
      </c>
      <c r="N181" s="340" t="str">
        <f>IFERROR(K181/E181,"-")</f>
        <v>-</v>
      </c>
      <c r="O181" s="348">
        <f t="shared" si="189"/>
        <v>7.4595395486665144E-3</v>
      </c>
    </row>
    <row r="182" spans="1:15" ht="24" x14ac:dyDescent="0.25">
      <c r="A182" s="268" t="s">
        <v>101</v>
      </c>
      <c r="B182" s="849" t="s">
        <v>26</v>
      </c>
      <c r="C182" s="736" t="s">
        <v>296</v>
      </c>
      <c r="D182" s="741" t="s">
        <v>177</v>
      </c>
      <c r="E182" s="738"/>
      <c r="F182" s="271"/>
      <c r="G182" s="330">
        <f t="shared" ref="G182:G191" si="235">+H182+I182</f>
        <v>0</v>
      </c>
      <c r="H182" s="272">
        <v>0</v>
      </c>
      <c r="I182" s="272">
        <v>0</v>
      </c>
      <c r="J182" s="349" t="str">
        <f>IFERROR(G182/F182,"-")</f>
        <v>-</v>
      </c>
      <c r="K182" s="330">
        <f t="shared" ref="K182:K191" si="236">+L182+M182</f>
        <v>0</v>
      </c>
      <c r="L182" s="272">
        <f t="shared" ref="L182:M182" si="237">+H182+L64</f>
        <v>0</v>
      </c>
      <c r="M182" s="273">
        <f t="shared" si="237"/>
        <v>0</v>
      </c>
      <c r="N182" s="334" t="str">
        <f t="shared" ref="N182:N200" si="238">IFERROR(K182/E182,"-")</f>
        <v>-</v>
      </c>
      <c r="O182" s="344" t="str">
        <f t="shared" si="189"/>
        <v>-</v>
      </c>
    </row>
    <row r="183" spans="1:15" ht="24" x14ac:dyDescent="0.25">
      <c r="A183" s="274" t="s">
        <v>101</v>
      </c>
      <c r="B183" s="849"/>
      <c r="C183" s="253" t="s">
        <v>422</v>
      </c>
      <c r="D183" s="742" t="s">
        <v>421</v>
      </c>
      <c r="E183" s="507"/>
      <c r="F183" s="277"/>
      <c r="G183" s="331">
        <f t="shared" si="235"/>
        <v>0</v>
      </c>
      <c r="H183" s="278">
        <v>0</v>
      </c>
      <c r="I183" s="278">
        <v>0</v>
      </c>
      <c r="J183" s="349" t="str">
        <f t="shared" ref="J183:J191" si="239">IFERROR(G183/F183,"-")</f>
        <v>-</v>
      </c>
      <c r="K183" s="331">
        <f t="shared" si="236"/>
        <v>0</v>
      </c>
      <c r="L183" s="272">
        <f t="shared" ref="L183:M183" si="240">+H183+L65</f>
        <v>0</v>
      </c>
      <c r="M183" s="273">
        <f t="shared" si="240"/>
        <v>0</v>
      </c>
      <c r="N183" s="335" t="str">
        <f t="shared" si="238"/>
        <v>-</v>
      </c>
      <c r="O183" s="263" t="str">
        <f t="shared" si="189"/>
        <v>-</v>
      </c>
    </row>
    <row r="184" spans="1:15" ht="24" x14ac:dyDescent="0.25">
      <c r="A184" s="274" t="s">
        <v>101</v>
      </c>
      <c r="B184" s="849"/>
      <c r="C184" s="721" t="s">
        <v>27</v>
      </c>
      <c r="D184" s="742" t="s">
        <v>332</v>
      </c>
      <c r="E184" s="739"/>
      <c r="F184" s="281"/>
      <c r="G184" s="331">
        <f t="shared" si="235"/>
        <v>0</v>
      </c>
      <c r="H184" s="278">
        <v>0</v>
      </c>
      <c r="I184" s="278">
        <v>0</v>
      </c>
      <c r="J184" s="349" t="str">
        <f t="shared" si="239"/>
        <v>-</v>
      </c>
      <c r="K184" s="331">
        <f t="shared" si="236"/>
        <v>0</v>
      </c>
      <c r="L184" s="272">
        <f t="shared" ref="L184:M184" si="241">+H184+L66</f>
        <v>0</v>
      </c>
      <c r="M184" s="273">
        <f t="shared" si="241"/>
        <v>0</v>
      </c>
      <c r="N184" s="335" t="str">
        <f t="shared" si="238"/>
        <v>-</v>
      </c>
      <c r="O184" s="263" t="str">
        <f t="shared" si="189"/>
        <v>-</v>
      </c>
    </row>
    <row r="185" spans="1:15" ht="24" x14ac:dyDescent="0.25">
      <c r="A185" s="274" t="s">
        <v>101</v>
      </c>
      <c r="B185" s="849"/>
      <c r="C185" s="721" t="s">
        <v>27</v>
      </c>
      <c r="D185" s="743" t="s">
        <v>468</v>
      </c>
      <c r="E185" s="739"/>
      <c r="F185" s="281"/>
      <c r="G185" s="331">
        <f t="shared" si="235"/>
        <v>0</v>
      </c>
      <c r="H185" s="278">
        <v>0</v>
      </c>
      <c r="I185" s="278">
        <v>0</v>
      </c>
      <c r="J185" s="349" t="str">
        <f t="shared" si="239"/>
        <v>-</v>
      </c>
      <c r="K185" s="331">
        <f t="shared" si="236"/>
        <v>0</v>
      </c>
      <c r="L185" s="272">
        <f t="shared" ref="L185:M185" si="242">+H185+L67</f>
        <v>0</v>
      </c>
      <c r="M185" s="273">
        <f t="shared" si="242"/>
        <v>0</v>
      </c>
      <c r="N185" s="335" t="str">
        <f t="shared" si="238"/>
        <v>-</v>
      </c>
      <c r="O185" s="263" t="str">
        <f t="shared" si="189"/>
        <v>-</v>
      </c>
    </row>
    <row r="186" spans="1:15" ht="24" x14ac:dyDescent="0.25">
      <c r="A186" s="274" t="s">
        <v>101</v>
      </c>
      <c r="B186" s="849"/>
      <c r="C186" s="736" t="s">
        <v>475</v>
      </c>
      <c r="D186" s="742" t="s">
        <v>233</v>
      </c>
      <c r="E186" s="739"/>
      <c r="F186" s="281"/>
      <c r="G186" s="331">
        <f t="shared" si="235"/>
        <v>0</v>
      </c>
      <c r="H186" s="278">
        <v>0</v>
      </c>
      <c r="I186" s="278">
        <v>0</v>
      </c>
      <c r="J186" s="349" t="str">
        <f t="shared" si="239"/>
        <v>-</v>
      </c>
      <c r="K186" s="331">
        <f t="shared" si="236"/>
        <v>0</v>
      </c>
      <c r="L186" s="272">
        <f t="shared" ref="L186:M186" si="243">+H186+L68</f>
        <v>0</v>
      </c>
      <c r="M186" s="273">
        <f t="shared" si="243"/>
        <v>0</v>
      </c>
      <c r="N186" s="335" t="str">
        <f t="shared" si="238"/>
        <v>-</v>
      </c>
      <c r="O186" s="263" t="str">
        <f t="shared" si="189"/>
        <v>-</v>
      </c>
    </row>
    <row r="187" spans="1:15" ht="24" x14ac:dyDescent="0.25">
      <c r="A187" s="274"/>
      <c r="B187" s="849"/>
      <c r="C187" s="721" t="s">
        <v>485</v>
      </c>
      <c r="D187" s="742" t="s">
        <v>502</v>
      </c>
      <c r="E187" s="739"/>
      <c r="F187" s="281"/>
      <c r="G187" s="332">
        <f t="shared" si="235"/>
        <v>8467</v>
      </c>
      <c r="H187" s="278">
        <v>7956</v>
      </c>
      <c r="I187" s="278">
        <v>511</v>
      </c>
      <c r="J187" s="349" t="str">
        <f t="shared" si="239"/>
        <v>-</v>
      </c>
      <c r="K187" s="332">
        <f t="shared" si="236"/>
        <v>25039</v>
      </c>
      <c r="L187" s="272">
        <f t="shared" ref="L187:M187" si="244">+H187+L69</f>
        <v>23868</v>
      </c>
      <c r="M187" s="273">
        <f t="shared" si="244"/>
        <v>1171</v>
      </c>
      <c r="N187" s="335" t="str">
        <f t="shared" si="238"/>
        <v>-</v>
      </c>
      <c r="O187" s="263">
        <f t="shared" si="189"/>
        <v>4.6767043412276846E-2</v>
      </c>
    </row>
    <row r="188" spans="1:15" ht="24" x14ac:dyDescent="0.25">
      <c r="A188" s="274"/>
      <c r="B188" s="849"/>
      <c r="C188" s="721" t="s">
        <v>331</v>
      </c>
      <c r="D188" s="742" t="s">
        <v>94</v>
      </c>
      <c r="E188" s="739"/>
      <c r="F188" s="281"/>
      <c r="G188" s="332">
        <f t="shared" si="235"/>
        <v>0</v>
      </c>
      <c r="H188" s="278">
        <v>0</v>
      </c>
      <c r="I188" s="278">
        <v>0</v>
      </c>
      <c r="J188" s="349" t="str">
        <f t="shared" si="239"/>
        <v>-</v>
      </c>
      <c r="K188" s="332">
        <f t="shared" si="236"/>
        <v>0</v>
      </c>
      <c r="L188" s="272">
        <f t="shared" ref="L188:M188" si="245">+H188+L70</f>
        <v>0</v>
      </c>
      <c r="M188" s="273">
        <f t="shared" si="245"/>
        <v>0</v>
      </c>
      <c r="N188" s="335" t="str">
        <f t="shared" si="238"/>
        <v>-</v>
      </c>
      <c r="O188" s="263" t="str">
        <f t="shared" si="189"/>
        <v>-</v>
      </c>
    </row>
    <row r="189" spans="1:15" ht="24" x14ac:dyDescent="0.25">
      <c r="A189" s="274"/>
      <c r="B189" s="849"/>
      <c r="C189" s="721" t="s">
        <v>429</v>
      </c>
      <c r="D189" s="742" t="s">
        <v>480</v>
      </c>
      <c r="E189" s="739"/>
      <c r="F189" s="281"/>
      <c r="G189" s="332">
        <f t="shared" si="235"/>
        <v>0</v>
      </c>
      <c r="H189" s="278">
        <v>0</v>
      </c>
      <c r="I189" s="278">
        <v>0</v>
      </c>
      <c r="J189" s="349" t="str">
        <f t="shared" si="239"/>
        <v>-</v>
      </c>
      <c r="K189" s="332">
        <f t="shared" si="236"/>
        <v>0</v>
      </c>
      <c r="L189" s="272">
        <f t="shared" ref="L189:M189" si="246">+H189+L71</f>
        <v>0</v>
      </c>
      <c r="M189" s="272">
        <f t="shared" si="246"/>
        <v>0</v>
      </c>
      <c r="N189" s="335" t="str">
        <f t="shared" si="238"/>
        <v>-</v>
      </c>
      <c r="O189" s="263" t="str">
        <f t="shared" si="189"/>
        <v>-</v>
      </c>
    </row>
    <row r="190" spans="1:15" ht="24" x14ac:dyDescent="0.25">
      <c r="A190" s="274"/>
      <c r="B190" s="849"/>
      <c r="C190" s="721" t="s">
        <v>380</v>
      </c>
      <c r="D190" s="742" t="s">
        <v>364</v>
      </c>
      <c r="E190" s="739"/>
      <c r="F190" s="281"/>
      <c r="G190" s="332">
        <f t="shared" si="235"/>
        <v>0</v>
      </c>
      <c r="H190" s="278">
        <v>0</v>
      </c>
      <c r="I190" s="278">
        <v>0</v>
      </c>
      <c r="J190" s="349" t="str">
        <f t="shared" si="239"/>
        <v>-</v>
      </c>
      <c r="K190" s="332">
        <f t="shared" si="236"/>
        <v>0</v>
      </c>
      <c r="L190" s="272">
        <f t="shared" ref="L190:M190" si="247">+H190+L72</f>
        <v>0</v>
      </c>
      <c r="M190" s="273">
        <f t="shared" si="247"/>
        <v>0</v>
      </c>
      <c r="N190" s="335" t="str">
        <f t="shared" si="238"/>
        <v>-</v>
      </c>
      <c r="O190" s="263" t="str">
        <f t="shared" si="189"/>
        <v>-</v>
      </c>
    </row>
    <row r="191" spans="1:15" ht="24.75" thickBot="1" x14ac:dyDescent="0.3">
      <c r="A191" s="274" t="s">
        <v>101</v>
      </c>
      <c r="B191" s="849"/>
      <c r="C191" s="737" t="s">
        <v>504</v>
      </c>
      <c r="D191" s="744" t="s">
        <v>288</v>
      </c>
      <c r="E191" s="739"/>
      <c r="F191" s="281"/>
      <c r="G191" s="332">
        <f t="shared" si="235"/>
        <v>24468</v>
      </c>
      <c r="H191" s="278">
        <v>23868</v>
      </c>
      <c r="I191" s="278">
        <v>600</v>
      </c>
      <c r="J191" s="349" t="str">
        <f t="shared" si="239"/>
        <v>-</v>
      </c>
      <c r="K191" s="332">
        <f t="shared" si="236"/>
        <v>24468</v>
      </c>
      <c r="L191" s="272">
        <f t="shared" ref="L191:M191" si="248">+H191+L73</f>
        <v>23868</v>
      </c>
      <c r="M191" s="273">
        <f t="shared" si="248"/>
        <v>600</v>
      </c>
      <c r="N191" s="335" t="str">
        <f t="shared" si="238"/>
        <v>-</v>
      </c>
      <c r="O191" s="345">
        <f t="shared" si="189"/>
        <v>2.4521824423737126E-2</v>
      </c>
    </row>
    <row r="192" spans="1:15" ht="23.25" thickBot="1" x14ac:dyDescent="0.3">
      <c r="A192" s="274" t="s">
        <v>101</v>
      </c>
      <c r="B192" s="866"/>
      <c r="C192" s="300"/>
      <c r="D192" s="740" t="s">
        <v>52</v>
      </c>
      <c r="E192" s="283">
        <f>SUM(E182:E191)</f>
        <v>0</v>
      </c>
      <c r="F192" s="284">
        <v>160000</v>
      </c>
      <c r="G192" s="319">
        <f>SUM(G182:G191)</f>
        <v>32935</v>
      </c>
      <c r="H192" s="320">
        <f>SUM(H182:H191)</f>
        <v>31824</v>
      </c>
      <c r="I192" s="320">
        <f>SUM(I182:I191)</f>
        <v>1111</v>
      </c>
      <c r="J192" s="343">
        <f>+G192/F192</f>
        <v>0.20584374999999999</v>
      </c>
      <c r="K192" s="319">
        <f>SUM(K182:K191)</f>
        <v>49507</v>
      </c>
      <c r="L192" s="320">
        <f>SUM(L182:L191)</f>
        <v>47736</v>
      </c>
      <c r="M192" s="321">
        <f>SUM(M182:M191)</f>
        <v>1771</v>
      </c>
      <c r="N192" s="337" t="str">
        <f t="shared" si="238"/>
        <v>-</v>
      </c>
      <c r="O192" s="343">
        <f t="shared" si="189"/>
        <v>3.5772719009433011E-2</v>
      </c>
    </row>
    <row r="193" spans="1:15" ht="24" x14ac:dyDescent="0.25">
      <c r="A193" s="274" t="s">
        <v>101</v>
      </c>
      <c r="B193" s="848" t="s">
        <v>28</v>
      </c>
      <c r="C193" s="298" t="s">
        <v>27</v>
      </c>
      <c r="D193" s="296" t="s">
        <v>468</v>
      </c>
      <c r="E193" s="270"/>
      <c r="F193" s="271"/>
      <c r="G193" s="330">
        <f t="shared" ref="G193:G197" si="249">+H193+I193</f>
        <v>0</v>
      </c>
      <c r="H193" s="272">
        <v>0</v>
      </c>
      <c r="I193" s="272">
        <v>0</v>
      </c>
      <c r="J193" s="349" t="str">
        <f>IFERROR(G193/F193,"-")</f>
        <v>-</v>
      </c>
      <c r="K193" s="330">
        <f t="shared" ref="K193:K199" si="250">+L193+M193</f>
        <v>0</v>
      </c>
      <c r="L193" s="272">
        <f t="shared" ref="L193:M193" si="251">+H193+L75</f>
        <v>0</v>
      </c>
      <c r="M193" s="273">
        <f t="shared" si="251"/>
        <v>0</v>
      </c>
      <c r="N193" s="334" t="str">
        <f t="shared" si="238"/>
        <v>-</v>
      </c>
      <c r="O193" s="344" t="str">
        <f t="shared" si="189"/>
        <v>-</v>
      </c>
    </row>
    <row r="194" spans="1:15" ht="24" x14ac:dyDescent="0.25">
      <c r="A194" s="274" t="s">
        <v>101</v>
      </c>
      <c r="B194" s="849"/>
      <c r="C194" s="298" t="s">
        <v>383</v>
      </c>
      <c r="D194" s="298" t="s">
        <v>332</v>
      </c>
      <c r="E194" s="276"/>
      <c r="F194" s="277"/>
      <c r="G194" s="331">
        <f t="shared" si="249"/>
        <v>0</v>
      </c>
      <c r="H194" s="278">
        <v>0</v>
      </c>
      <c r="I194" s="278">
        <v>0</v>
      </c>
      <c r="J194" s="349" t="str">
        <f t="shared" ref="J194:J199" si="252">IFERROR(G194/F194,"-")</f>
        <v>-</v>
      </c>
      <c r="K194" s="331">
        <f t="shared" si="250"/>
        <v>0</v>
      </c>
      <c r="L194" s="272">
        <f t="shared" ref="L194:M194" si="253">+H194+L76</f>
        <v>0</v>
      </c>
      <c r="M194" s="273">
        <f t="shared" si="253"/>
        <v>0</v>
      </c>
      <c r="N194" s="335" t="str">
        <f t="shared" si="238"/>
        <v>-</v>
      </c>
      <c r="O194" s="263" t="str">
        <f t="shared" si="189"/>
        <v>-</v>
      </c>
    </row>
    <row r="195" spans="1:15" ht="24" x14ac:dyDescent="0.25">
      <c r="A195" s="274" t="s">
        <v>101</v>
      </c>
      <c r="B195" s="849"/>
      <c r="C195" s="298" t="s">
        <v>27</v>
      </c>
      <c r="D195" s="298" t="s">
        <v>332</v>
      </c>
      <c r="E195" s="276"/>
      <c r="F195" s="277"/>
      <c r="G195" s="331">
        <f t="shared" si="249"/>
        <v>0</v>
      </c>
      <c r="H195" s="278">
        <v>0</v>
      </c>
      <c r="I195" s="278">
        <v>0</v>
      </c>
      <c r="J195" s="349" t="str">
        <f t="shared" si="252"/>
        <v>-</v>
      </c>
      <c r="K195" s="331">
        <f t="shared" si="250"/>
        <v>0</v>
      </c>
      <c r="L195" s="272">
        <f t="shared" ref="L195:M195" si="254">+H195+L77</f>
        <v>0</v>
      </c>
      <c r="M195" s="273">
        <f t="shared" si="254"/>
        <v>0</v>
      </c>
      <c r="N195" s="335" t="str">
        <f t="shared" si="238"/>
        <v>-</v>
      </c>
      <c r="O195" s="263" t="str">
        <f t="shared" si="189"/>
        <v>-</v>
      </c>
    </row>
    <row r="196" spans="1:15" ht="24" x14ac:dyDescent="0.25">
      <c r="A196" s="274"/>
      <c r="B196" s="849"/>
      <c r="C196" s="298" t="s">
        <v>454</v>
      </c>
      <c r="D196" s="298" t="s">
        <v>332</v>
      </c>
      <c r="E196" s="280"/>
      <c r="F196" s="281"/>
      <c r="G196" s="331">
        <f t="shared" si="249"/>
        <v>0</v>
      </c>
      <c r="H196" s="278">
        <v>0</v>
      </c>
      <c r="I196" s="278">
        <v>0</v>
      </c>
      <c r="J196" s="349" t="str">
        <f t="shared" si="252"/>
        <v>-</v>
      </c>
      <c r="K196" s="331">
        <f t="shared" si="250"/>
        <v>0</v>
      </c>
      <c r="L196" s="272">
        <f t="shared" ref="L196:M196" si="255">+H196+L78</f>
        <v>0</v>
      </c>
      <c r="M196" s="273">
        <f t="shared" si="255"/>
        <v>0</v>
      </c>
      <c r="N196" s="335" t="str">
        <f t="shared" si="238"/>
        <v>-</v>
      </c>
      <c r="O196" s="263" t="str">
        <f t="shared" si="189"/>
        <v>-</v>
      </c>
    </row>
    <row r="197" spans="1:15" ht="24" x14ac:dyDescent="0.25">
      <c r="A197" s="274" t="s">
        <v>101</v>
      </c>
      <c r="B197" s="849"/>
      <c r="C197" s="298" t="s">
        <v>503</v>
      </c>
      <c r="D197" s="742" t="s">
        <v>502</v>
      </c>
      <c r="E197" s="280"/>
      <c r="F197" s="281"/>
      <c r="G197" s="332">
        <f t="shared" si="249"/>
        <v>16498</v>
      </c>
      <c r="H197" s="278">
        <v>15912</v>
      </c>
      <c r="I197" s="278">
        <v>586</v>
      </c>
      <c r="J197" s="349" t="str">
        <f t="shared" si="252"/>
        <v>-</v>
      </c>
      <c r="K197" s="332">
        <f t="shared" si="250"/>
        <v>44945</v>
      </c>
      <c r="L197" s="272">
        <f t="shared" ref="L197:M197" si="256">+H197+L79</f>
        <v>43758</v>
      </c>
      <c r="M197" s="806">
        <f t="shared" si="256"/>
        <v>1187</v>
      </c>
      <c r="N197" s="336" t="str">
        <f t="shared" si="238"/>
        <v>-</v>
      </c>
      <c r="O197" s="345">
        <f t="shared" si="189"/>
        <v>2.6410056736010681E-2</v>
      </c>
    </row>
    <row r="198" spans="1:15" ht="24" x14ac:dyDescent="0.25">
      <c r="A198" s="274"/>
      <c r="B198" s="849"/>
      <c r="C198" s="298" t="s">
        <v>452</v>
      </c>
      <c r="D198" s="299" t="s">
        <v>279</v>
      </c>
      <c r="E198" s="280"/>
      <c r="F198" s="281"/>
      <c r="G198" s="332"/>
      <c r="H198" s="278">
        <v>0</v>
      </c>
      <c r="I198" s="278">
        <v>0</v>
      </c>
      <c r="J198" s="349" t="str">
        <f t="shared" si="252"/>
        <v>-</v>
      </c>
      <c r="K198" s="332">
        <f t="shared" si="250"/>
        <v>0</v>
      </c>
      <c r="L198" s="272">
        <f t="shared" ref="L198:M198" si="257">+H198+L80</f>
        <v>0</v>
      </c>
      <c r="M198" s="674">
        <f t="shared" si="257"/>
        <v>0</v>
      </c>
      <c r="N198" s="336" t="str">
        <f t="shared" si="238"/>
        <v>-</v>
      </c>
      <c r="O198" s="345" t="str">
        <f t="shared" si="189"/>
        <v>-</v>
      </c>
    </row>
    <row r="199" spans="1:15" ht="24.75" thickBot="1" x14ac:dyDescent="0.3">
      <c r="A199" s="274" t="s">
        <v>101</v>
      </c>
      <c r="B199" s="849"/>
      <c r="C199" s="737" t="s">
        <v>504</v>
      </c>
      <c r="D199" s="299" t="s">
        <v>178</v>
      </c>
      <c r="E199" s="280"/>
      <c r="F199" s="281"/>
      <c r="G199" s="332">
        <f t="shared" ref="G199" si="258">+H199+I199</f>
        <v>44418</v>
      </c>
      <c r="H199" s="278">
        <v>43758</v>
      </c>
      <c r="I199" s="278">
        <v>660</v>
      </c>
      <c r="J199" s="349" t="str">
        <f t="shared" si="252"/>
        <v>-</v>
      </c>
      <c r="K199" s="332">
        <f t="shared" si="250"/>
        <v>44418</v>
      </c>
      <c r="L199" s="272">
        <f t="shared" ref="L199:M199" si="259">+H199+L81</f>
        <v>43758</v>
      </c>
      <c r="M199" s="806">
        <f t="shared" si="259"/>
        <v>660</v>
      </c>
      <c r="N199" s="336" t="str">
        <f t="shared" si="238"/>
        <v>-</v>
      </c>
      <c r="O199" s="345">
        <f t="shared" si="189"/>
        <v>1.4858841010401188E-2</v>
      </c>
    </row>
    <row r="200" spans="1:15" ht="23.25" thickBot="1" x14ac:dyDescent="0.3">
      <c r="A200" s="274" t="s">
        <v>101</v>
      </c>
      <c r="B200" s="849"/>
      <c r="C200" s="303"/>
      <c r="D200" s="304" t="s">
        <v>52</v>
      </c>
      <c r="E200" s="305">
        <f>SUM(E193:E199)</f>
        <v>0</v>
      </c>
      <c r="F200" s="306">
        <v>80000</v>
      </c>
      <c r="G200" s="364">
        <f>SUM(G193:G199)</f>
        <v>60916</v>
      </c>
      <c r="H200" s="363">
        <f>SUM(H193:H199)</f>
        <v>59670</v>
      </c>
      <c r="I200" s="363">
        <f>SUM(I193:I199)</f>
        <v>1246</v>
      </c>
      <c r="J200" s="354">
        <f>+G200/F200</f>
        <v>0.76144999999999996</v>
      </c>
      <c r="K200" s="364">
        <f>SUM(K193:K199)</f>
        <v>89363</v>
      </c>
      <c r="L200" s="363">
        <f>SUM(L193:L199)</f>
        <v>87516</v>
      </c>
      <c r="M200" s="365">
        <f>SUM(M193:M199)</f>
        <v>1847</v>
      </c>
      <c r="N200" s="353" t="str">
        <f t="shared" si="238"/>
        <v>-</v>
      </c>
      <c r="O200" s="354">
        <f t="shared" si="189"/>
        <v>2.0668509338316755E-2</v>
      </c>
    </row>
    <row r="201" spans="1:15" ht="23.25" thickBot="1" x14ac:dyDescent="0.3">
      <c r="A201" s="790" t="s">
        <v>101</v>
      </c>
      <c r="B201" s="850" t="s">
        <v>162</v>
      </c>
      <c r="C201" s="851"/>
      <c r="D201" s="852"/>
      <c r="E201" s="307">
        <f>+E200+E192</f>
        <v>0</v>
      </c>
      <c r="F201" s="308">
        <f>+F200+F192</f>
        <v>240000</v>
      </c>
      <c r="G201" s="367">
        <f>+G192+G200</f>
        <v>93851</v>
      </c>
      <c r="H201" s="366">
        <f>+H192+H200</f>
        <v>91494</v>
      </c>
      <c r="I201" s="366">
        <f>+I192+I200</f>
        <v>2357</v>
      </c>
      <c r="J201" s="356">
        <f>+G201/F201</f>
        <v>0.39104583333333331</v>
      </c>
      <c r="K201" s="367">
        <f>+K192+K200</f>
        <v>138870</v>
      </c>
      <c r="L201" s="366">
        <f>+L192+L200</f>
        <v>135252</v>
      </c>
      <c r="M201" s="368">
        <f>+M192+M200</f>
        <v>3618</v>
      </c>
      <c r="N201" s="355" t="str">
        <f>IFERROR(K201/E201,"-")</f>
        <v>-</v>
      </c>
      <c r="O201" s="356">
        <f t="shared" si="189"/>
        <v>2.6053143227478936E-2</v>
      </c>
    </row>
    <row r="202" spans="1:15" ht="24" x14ac:dyDescent="0.25">
      <c r="A202" s="274" t="s">
        <v>101</v>
      </c>
      <c r="B202" s="849" t="s">
        <v>30</v>
      </c>
      <c r="C202" s="302" t="s">
        <v>441</v>
      </c>
      <c r="D202" s="298" t="s">
        <v>468</v>
      </c>
      <c r="E202" s="270"/>
      <c r="F202" s="271"/>
      <c r="G202" s="330">
        <f t="shared" ref="G202:G204" si="260">+H202+I202</f>
        <v>0</v>
      </c>
      <c r="H202" s="272">
        <v>0</v>
      </c>
      <c r="I202" s="272">
        <v>0</v>
      </c>
      <c r="J202" s="349" t="str">
        <f>IFERROR(G202/F202,"-")</f>
        <v>-</v>
      </c>
      <c r="K202" s="330">
        <f t="shared" ref="K202:K204" si="261">+L202+M202</f>
        <v>0</v>
      </c>
      <c r="L202" s="272">
        <f t="shared" ref="L202:M202" si="262">+H202+L84</f>
        <v>0</v>
      </c>
      <c r="M202" s="273">
        <f t="shared" si="262"/>
        <v>0</v>
      </c>
      <c r="N202" s="334" t="str">
        <f t="shared" ref="N202:N215" si="263">IFERROR(K202/E202,"-")</f>
        <v>-</v>
      </c>
      <c r="O202" s="344" t="str">
        <f t="shared" si="189"/>
        <v>-</v>
      </c>
    </row>
    <row r="203" spans="1:15" ht="24" x14ac:dyDescent="0.25">
      <c r="A203" s="274" t="s">
        <v>101</v>
      </c>
      <c r="B203" s="849"/>
      <c r="C203" s="299" t="s">
        <v>482</v>
      </c>
      <c r="D203" s="302" t="s">
        <v>476</v>
      </c>
      <c r="E203" s="276"/>
      <c r="F203" s="277"/>
      <c r="G203" s="331">
        <f t="shared" si="260"/>
        <v>0</v>
      </c>
      <c r="H203" s="278">
        <v>0</v>
      </c>
      <c r="I203" s="278">
        <v>0</v>
      </c>
      <c r="J203" s="349" t="str">
        <f t="shared" ref="J203:J204" si="264">IFERROR(G203/F203,"-")</f>
        <v>-</v>
      </c>
      <c r="K203" s="331">
        <f t="shared" si="261"/>
        <v>0</v>
      </c>
      <c r="L203" s="272">
        <f t="shared" ref="L203:M203" si="265">+H203+L85</f>
        <v>0</v>
      </c>
      <c r="M203" s="273">
        <f t="shared" si="265"/>
        <v>0</v>
      </c>
      <c r="N203" s="335" t="str">
        <f t="shared" si="263"/>
        <v>-</v>
      </c>
      <c r="O203" s="263" t="str">
        <f t="shared" si="189"/>
        <v>-</v>
      </c>
    </row>
    <row r="204" spans="1:15" ht="24.75" thickBot="1" x14ac:dyDescent="0.3">
      <c r="A204" s="274" t="s">
        <v>101</v>
      </c>
      <c r="B204" s="849"/>
      <c r="C204" s="299" t="s">
        <v>290</v>
      </c>
      <c r="D204" s="299" t="s">
        <v>364</v>
      </c>
      <c r="E204" s="280"/>
      <c r="F204" s="281"/>
      <c r="G204" s="332">
        <f t="shared" si="260"/>
        <v>0</v>
      </c>
      <c r="H204" s="282">
        <v>0</v>
      </c>
      <c r="I204" s="282">
        <v>0</v>
      </c>
      <c r="J204" s="349" t="str">
        <f t="shared" si="264"/>
        <v>-</v>
      </c>
      <c r="K204" s="332">
        <f t="shared" si="261"/>
        <v>4844</v>
      </c>
      <c r="L204" s="272">
        <f t="shared" ref="L204:M204" si="266">+H204+L86</f>
        <v>3744</v>
      </c>
      <c r="M204" s="273">
        <f t="shared" si="266"/>
        <v>1100</v>
      </c>
      <c r="N204" s="336" t="str">
        <f t="shared" si="263"/>
        <v>-</v>
      </c>
      <c r="O204" s="345">
        <f t="shared" si="189"/>
        <v>0.22708505367464904</v>
      </c>
    </row>
    <row r="205" spans="1:15" ht="23.25" thickBot="1" x14ac:dyDescent="0.3">
      <c r="A205" s="274" t="s">
        <v>101</v>
      </c>
      <c r="B205" s="849"/>
      <c r="C205" s="300"/>
      <c r="D205" s="301" t="s">
        <v>50</v>
      </c>
      <c r="E205" s="283">
        <f>SUM(E202:E204)</f>
        <v>0</v>
      </c>
      <c r="F205" s="284">
        <v>50000</v>
      </c>
      <c r="G205" s="319">
        <f>SUM(G202:G204)</f>
        <v>0</v>
      </c>
      <c r="H205" s="320">
        <f>SUM(H202:H204)</f>
        <v>0</v>
      </c>
      <c r="I205" s="320">
        <f>SUM(I202:I204)</f>
        <v>0</v>
      </c>
      <c r="J205" s="343">
        <f>+G205/F205</f>
        <v>0</v>
      </c>
      <c r="K205" s="319">
        <f>SUM(K202:K204)</f>
        <v>4844</v>
      </c>
      <c r="L205" s="320">
        <f>SUM(L202:L204)</f>
        <v>3744</v>
      </c>
      <c r="M205" s="321">
        <f>SUM(M202:M204)</f>
        <v>1100</v>
      </c>
      <c r="N205" s="337" t="str">
        <f t="shared" si="263"/>
        <v>-</v>
      </c>
      <c r="O205" s="343">
        <f t="shared" si="189"/>
        <v>0.22708505367464904</v>
      </c>
    </row>
    <row r="206" spans="1:15" ht="24" x14ac:dyDescent="0.25">
      <c r="A206" s="274" t="s">
        <v>101</v>
      </c>
      <c r="B206" s="849"/>
      <c r="C206" s="296" t="s">
        <v>430</v>
      </c>
      <c r="D206" s="296" t="s">
        <v>92</v>
      </c>
      <c r="E206" s="270"/>
      <c r="F206" s="271"/>
      <c r="G206" s="330">
        <f t="shared" ref="G206:G211" si="267">+H206+I206</f>
        <v>0</v>
      </c>
      <c r="H206" s="272">
        <v>0</v>
      </c>
      <c r="I206" s="272">
        <v>0</v>
      </c>
      <c r="J206" s="349" t="str">
        <f>IFERROR(G206/F206,"-")</f>
        <v>-</v>
      </c>
      <c r="K206" s="330">
        <f t="shared" ref="K206:K211" si="268">+L206+M206</f>
        <v>0</v>
      </c>
      <c r="L206" s="272">
        <f t="shared" ref="L206:M206" si="269">+H206+L88</f>
        <v>0</v>
      </c>
      <c r="M206" s="273">
        <f t="shared" si="269"/>
        <v>0</v>
      </c>
      <c r="N206" s="334" t="str">
        <f t="shared" si="263"/>
        <v>-</v>
      </c>
      <c r="O206" s="344" t="str">
        <f t="shared" si="189"/>
        <v>-</v>
      </c>
    </row>
    <row r="207" spans="1:15" ht="24" x14ac:dyDescent="0.25">
      <c r="A207" s="274"/>
      <c r="B207" s="849"/>
      <c r="C207" s="302" t="s">
        <v>444</v>
      </c>
      <c r="D207" s="298" t="s">
        <v>332</v>
      </c>
      <c r="E207" s="270"/>
      <c r="F207" s="271"/>
      <c r="G207" s="330">
        <f t="shared" si="267"/>
        <v>0</v>
      </c>
      <c r="H207" s="272">
        <v>0</v>
      </c>
      <c r="I207" s="272">
        <v>0</v>
      </c>
      <c r="J207" s="349" t="str">
        <f t="shared" ref="J207:J211" si="270">IFERROR(G207/F207,"-")</f>
        <v>-</v>
      </c>
      <c r="K207" s="330">
        <f t="shared" si="268"/>
        <v>0</v>
      </c>
      <c r="L207" s="272">
        <f t="shared" ref="L207:M207" si="271">+H207+L89</f>
        <v>0</v>
      </c>
      <c r="M207" s="273">
        <f t="shared" si="271"/>
        <v>0</v>
      </c>
      <c r="N207" s="335" t="str">
        <f t="shared" si="263"/>
        <v>-</v>
      </c>
      <c r="O207" s="344" t="str">
        <f t="shared" si="189"/>
        <v>-</v>
      </c>
    </row>
    <row r="208" spans="1:15" ht="24" x14ac:dyDescent="0.25">
      <c r="A208" s="274"/>
      <c r="B208" s="849"/>
      <c r="C208" s="302" t="s">
        <v>447</v>
      </c>
      <c r="D208" s="298" t="s">
        <v>332</v>
      </c>
      <c r="E208" s="270"/>
      <c r="F208" s="271"/>
      <c r="G208" s="330">
        <f t="shared" si="267"/>
        <v>0</v>
      </c>
      <c r="H208" s="272">
        <v>0</v>
      </c>
      <c r="I208" s="272">
        <v>0</v>
      </c>
      <c r="J208" s="349" t="str">
        <f t="shared" si="270"/>
        <v>-</v>
      </c>
      <c r="K208" s="330">
        <f t="shared" si="268"/>
        <v>0</v>
      </c>
      <c r="L208" s="272">
        <f t="shared" ref="L208:M208" si="272">+H208+L90</f>
        <v>0</v>
      </c>
      <c r="M208" s="273">
        <f t="shared" si="272"/>
        <v>0</v>
      </c>
      <c r="N208" s="335" t="str">
        <f t="shared" si="263"/>
        <v>-</v>
      </c>
      <c r="O208" s="344" t="str">
        <f t="shared" si="189"/>
        <v>-</v>
      </c>
    </row>
    <row r="209" spans="1:15" ht="24" x14ac:dyDescent="0.25">
      <c r="A209" s="274" t="s">
        <v>101</v>
      </c>
      <c r="B209" s="849"/>
      <c r="C209" s="302" t="s">
        <v>474</v>
      </c>
      <c r="D209" s="299" t="s">
        <v>421</v>
      </c>
      <c r="E209" s="276"/>
      <c r="F209" s="277"/>
      <c r="G209" s="331">
        <f t="shared" si="267"/>
        <v>0</v>
      </c>
      <c r="H209" s="278">
        <v>0</v>
      </c>
      <c r="I209" s="272">
        <v>0</v>
      </c>
      <c r="J209" s="349" t="str">
        <f t="shared" si="270"/>
        <v>-</v>
      </c>
      <c r="K209" s="331">
        <f t="shared" si="268"/>
        <v>0</v>
      </c>
      <c r="L209" s="272">
        <f t="shared" ref="L209:M209" si="273">+H209+L91</f>
        <v>0</v>
      </c>
      <c r="M209" s="273">
        <f t="shared" si="273"/>
        <v>0</v>
      </c>
      <c r="N209" s="335" t="str">
        <f t="shared" si="263"/>
        <v>-</v>
      </c>
      <c r="O209" s="263" t="str">
        <f t="shared" si="189"/>
        <v>-</v>
      </c>
    </row>
    <row r="210" spans="1:15" ht="24" x14ac:dyDescent="0.25">
      <c r="A210" s="274"/>
      <c r="B210" s="849"/>
      <c r="C210" s="299" t="s">
        <v>453</v>
      </c>
      <c r="D210" s="299" t="s">
        <v>364</v>
      </c>
      <c r="E210" s="280"/>
      <c r="F210" s="281"/>
      <c r="G210" s="332">
        <f t="shared" si="267"/>
        <v>0</v>
      </c>
      <c r="H210" s="282">
        <v>0</v>
      </c>
      <c r="I210" s="278">
        <v>0</v>
      </c>
      <c r="J210" s="349" t="str">
        <f t="shared" si="270"/>
        <v>-</v>
      </c>
      <c r="K210" s="331">
        <f t="shared" si="268"/>
        <v>0</v>
      </c>
      <c r="L210" s="272">
        <f t="shared" ref="L210:M210" si="274">+H210+L92</f>
        <v>0</v>
      </c>
      <c r="M210" s="272">
        <f t="shared" si="274"/>
        <v>0</v>
      </c>
      <c r="N210" s="335" t="str">
        <f t="shared" si="263"/>
        <v>-</v>
      </c>
      <c r="O210" s="263" t="str">
        <f t="shared" si="189"/>
        <v>-</v>
      </c>
    </row>
    <row r="211" spans="1:15" ht="24.75" thickBot="1" x14ac:dyDescent="0.3">
      <c r="A211" s="274" t="s">
        <v>101</v>
      </c>
      <c r="B211" s="849"/>
      <c r="C211" s="299" t="s">
        <v>431</v>
      </c>
      <c r="D211" s="299" t="s">
        <v>421</v>
      </c>
      <c r="E211" s="280"/>
      <c r="F211" s="281"/>
      <c r="G211" s="332">
        <f t="shared" si="267"/>
        <v>0</v>
      </c>
      <c r="H211" s="282">
        <v>0</v>
      </c>
      <c r="I211" s="272">
        <v>0</v>
      </c>
      <c r="J211" s="349" t="str">
        <f t="shared" si="270"/>
        <v>-</v>
      </c>
      <c r="K211" s="332">
        <f t="shared" si="268"/>
        <v>0</v>
      </c>
      <c r="L211" s="272">
        <f t="shared" ref="L211:M211" si="275">+H211+L93</f>
        <v>0</v>
      </c>
      <c r="M211" s="273">
        <f t="shared" si="275"/>
        <v>0</v>
      </c>
      <c r="N211" s="336" t="str">
        <f t="shared" si="263"/>
        <v>-</v>
      </c>
      <c r="O211" s="345" t="str">
        <f t="shared" si="189"/>
        <v>-</v>
      </c>
    </row>
    <row r="212" spans="1:15" ht="23.25" thickBot="1" x14ac:dyDescent="0.3">
      <c r="A212" s="274" t="s">
        <v>101</v>
      </c>
      <c r="B212" s="849"/>
      <c r="C212" s="303"/>
      <c r="D212" s="304" t="s">
        <v>51</v>
      </c>
      <c r="E212" s="305">
        <f>SUM(E206:E211)</f>
        <v>0</v>
      </c>
      <c r="F212" s="306">
        <v>50000</v>
      </c>
      <c r="G212" s="364">
        <f>SUM(G206:G211)</f>
        <v>0</v>
      </c>
      <c r="H212" s="363">
        <f t="shared" ref="H212:I212" si="276">SUM(H206:H211)</f>
        <v>0</v>
      </c>
      <c r="I212" s="363">
        <f t="shared" si="276"/>
        <v>0</v>
      </c>
      <c r="J212" s="354">
        <f>+G212/F212</f>
        <v>0</v>
      </c>
      <c r="K212" s="364">
        <f t="shared" ref="K212:M212" si="277">SUM(K206:K211)</f>
        <v>0</v>
      </c>
      <c r="L212" s="363">
        <f t="shared" si="277"/>
        <v>0</v>
      </c>
      <c r="M212" s="365">
        <f t="shared" si="277"/>
        <v>0</v>
      </c>
      <c r="N212" s="353" t="str">
        <f t="shared" si="263"/>
        <v>-</v>
      </c>
      <c r="O212" s="354" t="str">
        <f t="shared" si="189"/>
        <v>-</v>
      </c>
    </row>
    <row r="213" spans="1:15" ht="23.25" thickBot="1" x14ac:dyDescent="0.3">
      <c r="A213" s="274" t="s">
        <v>101</v>
      </c>
      <c r="B213" s="850" t="s">
        <v>163</v>
      </c>
      <c r="C213" s="851"/>
      <c r="D213" s="852"/>
      <c r="E213" s="307">
        <f>+E212+E205</f>
        <v>0</v>
      </c>
      <c r="F213" s="308">
        <v>50000</v>
      </c>
      <c r="G213" s="367">
        <f>+G205+G212</f>
        <v>0</v>
      </c>
      <c r="H213" s="366">
        <f t="shared" ref="H213:I213" si="278">+H205+H212</f>
        <v>0</v>
      </c>
      <c r="I213" s="366">
        <f t="shared" si="278"/>
        <v>0</v>
      </c>
      <c r="J213" s="356">
        <f>+G213/F213</f>
        <v>0</v>
      </c>
      <c r="K213" s="367">
        <f t="shared" ref="K213:M213" si="279">+K205+K212</f>
        <v>4844</v>
      </c>
      <c r="L213" s="366">
        <f t="shared" si="279"/>
        <v>3744</v>
      </c>
      <c r="M213" s="368">
        <f t="shared" si="279"/>
        <v>1100</v>
      </c>
      <c r="N213" s="355" t="str">
        <f t="shared" si="263"/>
        <v>-</v>
      </c>
      <c r="O213" s="356">
        <f t="shared" si="189"/>
        <v>0.22708505367464904</v>
      </c>
    </row>
    <row r="214" spans="1:15" ht="24.75" thickBot="1" x14ac:dyDescent="0.3">
      <c r="A214" s="274" t="s">
        <v>101</v>
      </c>
      <c r="B214" s="591" t="s">
        <v>32</v>
      </c>
      <c r="C214" s="783"/>
      <c r="D214" s="309" t="s">
        <v>32</v>
      </c>
      <c r="E214" s="286">
        <v>0</v>
      </c>
      <c r="F214" s="287">
        <v>110000</v>
      </c>
      <c r="G214" s="333">
        <f t="shared" ref="G214" si="280">+H214+I214</f>
        <v>0</v>
      </c>
      <c r="H214" s="288">
        <v>0</v>
      </c>
      <c r="I214" s="288">
        <v>0</v>
      </c>
      <c r="J214" s="352">
        <f>IFERROR(G214/F214,"-")</f>
        <v>0</v>
      </c>
      <c r="K214" s="333">
        <f>+L214+M214</f>
        <v>0</v>
      </c>
      <c r="L214" s="288">
        <f>+H214+L96</f>
        <v>0</v>
      </c>
      <c r="M214" s="289">
        <f>+I214+M96</f>
        <v>0</v>
      </c>
      <c r="N214" s="338" t="str">
        <f t="shared" si="263"/>
        <v>-</v>
      </c>
      <c r="O214" s="346" t="str">
        <f t="shared" si="189"/>
        <v>-</v>
      </c>
    </row>
    <row r="215" spans="1:15" ht="23.25" thickBot="1" x14ac:dyDescent="0.3">
      <c r="A215" s="274" t="s">
        <v>101</v>
      </c>
      <c r="B215" s="853" t="s">
        <v>21</v>
      </c>
      <c r="C215" s="854"/>
      <c r="D215" s="855"/>
      <c r="E215" s="324">
        <f>+E201+E213+E214</f>
        <v>0</v>
      </c>
      <c r="F215" s="325">
        <f>+F201+F213+F214</f>
        <v>400000</v>
      </c>
      <c r="G215" s="324">
        <f>+G201+G213+G214</f>
        <v>93851</v>
      </c>
      <c r="H215" s="322">
        <f>+H201+H213+H214</f>
        <v>91494</v>
      </c>
      <c r="I215" s="322">
        <f>+I201+I213+I214</f>
        <v>2357</v>
      </c>
      <c r="J215" s="347">
        <f>+G215/F215</f>
        <v>0.23462749999999999</v>
      </c>
      <c r="K215" s="324">
        <f>+K201+K213+K214</f>
        <v>143714</v>
      </c>
      <c r="L215" s="322">
        <f>+L201+L213+L214</f>
        <v>138996</v>
      </c>
      <c r="M215" s="323">
        <f>+M201+M213+M214</f>
        <v>4718</v>
      </c>
      <c r="N215" s="339" t="str">
        <f t="shared" si="263"/>
        <v>-</v>
      </c>
      <c r="O215" s="347">
        <f t="shared" si="189"/>
        <v>3.2829091111513144E-2</v>
      </c>
    </row>
    <row r="216" spans="1:15" ht="23.25" thickBot="1" x14ac:dyDescent="0.3">
      <c r="A216" s="274" t="s">
        <v>101</v>
      </c>
      <c r="B216" s="839" t="s">
        <v>171</v>
      </c>
      <c r="C216" s="840"/>
      <c r="D216" s="841"/>
      <c r="E216" s="328">
        <f>+E215</f>
        <v>0</v>
      </c>
      <c r="F216" s="329">
        <f t="shared" ref="F216:I216" si="281">+F215</f>
        <v>400000</v>
      </c>
      <c r="G216" s="328">
        <f t="shared" si="281"/>
        <v>93851</v>
      </c>
      <c r="H216" s="326">
        <f t="shared" si="281"/>
        <v>91494</v>
      </c>
      <c r="I216" s="326">
        <f t="shared" si="281"/>
        <v>2357</v>
      </c>
      <c r="J216" s="732">
        <f>+G216/F216</f>
        <v>0.23462749999999999</v>
      </c>
      <c r="K216" s="328">
        <f>+K215</f>
        <v>143714</v>
      </c>
      <c r="L216" s="326">
        <f t="shared" ref="L216" si="282">+L215</f>
        <v>138996</v>
      </c>
      <c r="M216" s="327">
        <f>+M215</f>
        <v>4718</v>
      </c>
      <c r="N216" s="340" t="str">
        <f t="shared" ref="N216:O216" si="283">+N215</f>
        <v>-</v>
      </c>
      <c r="O216" s="348">
        <f t="shared" si="283"/>
        <v>3.2829091111513144E-2</v>
      </c>
    </row>
    <row r="217" spans="1:15" ht="24" x14ac:dyDescent="0.25">
      <c r="A217" s="268" t="s">
        <v>102</v>
      </c>
      <c r="B217" s="842" t="s">
        <v>399</v>
      </c>
      <c r="C217" s="310" t="s">
        <v>113</v>
      </c>
      <c r="D217" s="310"/>
      <c r="E217" s="270"/>
      <c r="F217" s="271"/>
      <c r="G217" s="330">
        <f t="shared" ref="G217:G219" si="284">+H217+I217</f>
        <v>0</v>
      </c>
      <c r="H217" s="272">
        <v>0</v>
      </c>
      <c r="I217" s="272">
        <v>0</v>
      </c>
      <c r="J217" s="349" t="str">
        <f>IFERROR(G217/F217,"-")</f>
        <v>-</v>
      </c>
      <c r="K217" s="330">
        <f t="shared" ref="K217:K219" si="285">+L217+M217</f>
        <v>0</v>
      </c>
      <c r="L217" s="272">
        <f t="shared" ref="L217:M217" si="286">+H217+L99</f>
        <v>0</v>
      </c>
      <c r="M217" s="273">
        <f t="shared" si="286"/>
        <v>0</v>
      </c>
      <c r="N217" s="334" t="str">
        <f t="shared" ref="N217:N224" si="287">IFERROR(K217/E217,"-")</f>
        <v>-</v>
      </c>
      <c r="O217" s="344" t="str">
        <f t="shared" ref="O217:O242" si="288">IFERROR(M217/K217,"-")</f>
        <v>-</v>
      </c>
    </row>
    <row r="218" spans="1:15" ht="24" x14ac:dyDescent="0.25">
      <c r="A218" s="274" t="s">
        <v>102</v>
      </c>
      <c r="B218" s="843"/>
      <c r="C218" s="311" t="s">
        <v>246</v>
      </c>
      <c r="D218" s="311"/>
      <c r="E218" s="276"/>
      <c r="F218" s="277"/>
      <c r="G218" s="331">
        <f t="shared" si="284"/>
        <v>0</v>
      </c>
      <c r="H218" s="278">
        <v>0</v>
      </c>
      <c r="I218" s="278">
        <v>0</v>
      </c>
      <c r="J218" s="349" t="str">
        <f t="shared" ref="J218:J219" si="289">IFERROR(G218/F218,"-")</f>
        <v>-</v>
      </c>
      <c r="K218" s="331">
        <f t="shared" si="285"/>
        <v>0</v>
      </c>
      <c r="L218" s="272">
        <f t="shared" ref="L218:M218" si="290">+H218+L100</f>
        <v>0</v>
      </c>
      <c r="M218" s="273">
        <f t="shared" si="290"/>
        <v>0</v>
      </c>
      <c r="N218" s="335" t="str">
        <f t="shared" si="287"/>
        <v>-</v>
      </c>
      <c r="O218" s="263" t="str">
        <f t="shared" si="288"/>
        <v>-</v>
      </c>
    </row>
    <row r="219" spans="1:15" ht="24.75" thickBot="1" x14ac:dyDescent="0.3">
      <c r="A219" s="274" t="s">
        <v>102</v>
      </c>
      <c r="B219" s="844"/>
      <c r="C219" s="312" t="s">
        <v>33</v>
      </c>
      <c r="D219" s="312"/>
      <c r="E219" s="280"/>
      <c r="F219" s="281"/>
      <c r="G219" s="332">
        <f t="shared" si="284"/>
        <v>0</v>
      </c>
      <c r="H219" s="282">
        <v>0</v>
      </c>
      <c r="I219" s="282">
        <v>0</v>
      </c>
      <c r="J219" s="349" t="str">
        <f t="shared" si="289"/>
        <v>-</v>
      </c>
      <c r="K219" s="332">
        <f t="shared" si="285"/>
        <v>0</v>
      </c>
      <c r="L219" s="272">
        <f t="shared" ref="L219:M219" si="291">+H219+L101</f>
        <v>0</v>
      </c>
      <c r="M219" s="273">
        <f t="shared" si="291"/>
        <v>0</v>
      </c>
      <c r="N219" s="336" t="str">
        <f t="shared" si="287"/>
        <v>-</v>
      </c>
      <c r="O219" s="345" t="str">
        <f t="shared" si="288"/>
        <v>-</v>
      </c>
    </row>
    <row r="220" spans="1:15" ht="23.25" thickBot="1" x14ac:dyDescent="0.3">
      <c r="A220" s="274" t="s">
        <v>102</v>
      </c>
      <c r="B220" s="845" t="s">
        <v>34</v>
      </c>
      <c r="C220" s="846"/>
      <c r="D220" s="847"/>
      <c r="E220" s="283">
        <f>SUM(E217:E219)</f>
        <v>0</v>
      </c>
      <c r="F220" s="284">
        <v>6500</v>
      </c>
      <c r="G220" s="319">
        <f>SUM(G217:G219)</f>
        <v>0</v>
      </c>
      <c r="H220" s="320">
        <f t="shared" ref="H220:I220" si="292">SUM(H217:H219)</f>
        <v>0</v>
      </c>
      <c r="I220" s="320">
        <f t="shared" si="292"/>
        <v>0</v>
      </c>
      <c r="J220" s="343">
        <f>IFERROR(G220/F220,"-")</f>
        <v>0</v>
      </c>
      <c r="K220" s="319">
        <f t="shared" ref="K220:M220" si="293">SUM(K217:K219)</f>
        <v>0</v>
      </c>
      <c r="L220" s="320">
        <f t="shared" si="293"/>
        <v>0</v>
      </c>
      <c r="M220" s="321">
        <f t="shared" si="293"/>
        <v>0</v>
      </c>
      <c r="N220" s="337" t="str">
        <f t="shared" si="287"/>
        <v>-</v>
      </c>
      <c r="O220" s="343" t="str">
        <f t="shared" si="288"/>
        <v>-</v>
      </c>
    </row>
    <row r="221" spans="1:15" ht="24" x14ac:dyDescent="0.25">
      <c r="A221" s="274" t="s">
        <v>102</v>
      </c>
      <c r="B221" s="842" t="s">
        <v>35</v>
      </c>
      <c r="C221" s="310" t="s">
        <v>113</v>
      </c>
      <c r="D221" s="310"/>
      <c r="E221" s="270"/>
      <c r="F221" s="271"/>
      <c r="G221" s="330">
        <f t="shared" ref="G221:G224" si="294">+H221+I221</f>
        <v>0</v>
      </c>
      <c r="H221" s="272">
        <v>0</v>
      </c>
      <c r="I221" s="272">
        <v>0</v>
      </c>
      <c r="J221" s="349" t="str">
        <f>IFERROR(G221/F221,"-")</f>
        <v>-</v>
      </c>
      <c r="K221" s="330">
        <f t="shared" ref="K221:K224" si="295">+L221+M221</f>
        <v>0</v>
      </c>
      <c r="L221" s="272">
        <f t="shared" ref="L221:M221" si="296">+H221+L103</f>
        <v>0</v>
      </c>
      <c r="M221" s="273">
        <f t="shared" si="296"/>
        <v>0</v>
      </c>
      <c r="N221" s="334" t="str">
        <f t="shared" si="287"/>
        <v>-</v>
      </c>
      <c r="O221" s="344" t="str">
        <f t="shared" si="288"/>
        <v>-</v>
      </c>
    </row>
    <row r="222" spans="1:15" ht="24" x14ac:dyDescent="0.25">
      <c r="A222" s="274" t="s">
        <v>102</v>
      </c>
      <c r="B222" s="843"/>
      <c r="C222" s="311" t="s">
        <v>246</v>
      </c>
      <c r="D222" s="311"/>
      <c r="E222" s="276"/>
      <c r="F222" s="277"/>
      <c r="G222" s="331">
        <f t="shared" si="294"/>
        <v>0</v>
      </c>
      <c r="H222" s="278">
        <v>0</v>
      </c>
      <c r="I222" s="278">
        <v>0</v>
      </c>
      <c r="J222" s="349" t="str">
        <f t="shared" ref="J222:J224" si="297">IFERROR(G222/F222,"-")</f>
        <v>-</v>
      </c>
      <c r="K222" s="331">
        <f t="shared" si="295"/>
        <v>0</v>
      </c>
      <c r="L222" s="272">
        <f t="shared" ref="L222:M222" si="298">+H222+L104</f>
        <v>0</v>
      </c>
      <c r="M222" s="273">
        <f t="shared" si="298"/>
        <v>0</v>
      </c>
      <c r="N222" s="335" t="str">
        <f t="shared" si="287"/>
        <v>-</v>
      </c>
      <c r="O222" s="263" t="str">
        <f t="shared" si="288"/>
        <v>-</v>
      </c>
    </row>
    <row r="223" spans="1:15" ht="24" x14ac:dyDescent="0.25">
      <c r="A223" s="274" t="s">
        <v>102</v>
      </c>
      <c r="B223" s="843"/>
      <c r="C223" s="311" t="s">
        <v>469</v>
      </c>
      <c r="D223" s="311"/>
      <c r="E223" s="276"/>
      <c r="F223" s="277"/>
      <c r="G223" s="331">
        <f t="shared" si="294"/>
        <v>0</v>
      </c>
      <c r="H223" s="278">
        <v>0</v>
      </c>
      <c r="I223" s="278">
        <v>0</v>
      </c>
      <c r="J223" s="349" t="str">
        <f t="shared" si="297"/>
        <v>-</v>
      </c>
      <c r="K223" s="331">
        <f t="shared" si="295"/>
        <v>0</v>
      </c>
      <c r="L223" s="272">
        <f t="shared" ref="L223:M223" si="299">+H223+L105</f>
        <v>0</v>
      </c>
      <c r="M223" s="273">
        <f t="shared" si="299"/>
        <v>0</v>
      </c>
      <c r="N223" s="335" t="str">
        <f t="shared" si="287"/>
        <v>-</v>
      </c>
      <c r="O223" s="263" t="str">
        <f t="shared" si="288"/>
        <v>-</v>
      </c>
    </row>
    <row r="224" spans="1:15" ht="24.75" thickBot="1" x14ac:dyDescent="0.3">
      <c r="A224" s="274" t="s">
        <v>102</v>
      </c>
      <c r="B224" s="844"/>
      <c r="C224" s="312" t="s">
        <v>36</v>
      </c>
      <c r="D224" s="312"/>
      <c r="E224" s="280"/>
      <c r="F224" s="281"/>
      <c r="G224" s="332">
        <f t="shared" si="294"/>
        <v>0</v>
      </c>
      <c r="H224" s="278">
        <v>0</v>
      </c>
      <c r="I224" s="278">
        <v>0</v>
      </c>
      <c r="J224" s="349" t="str">
        <f t="shared" si="297"/>
        <v>-</v>
      </c>
      <c r="K224" s="332">
        <f t="shared" si="295"/>
        <v>0</v>
      </c>
      <c r="L224" s="272">
        <f t="shared" ref="L224:M224" si="300">+H224+L106</f>
        <v>0</v>
      </c>
      <c r="M224" s="273">
        <f t="shared" si="300"/>
        <v>0</v>
      </c>
      <c r="N224" s="336" t="str">
        <f t="shared" si="287"/>
        <v>-</v>
      </c>
      <c r="O224" s="345" t="str">
        <f t="shared" si="288"/>
        <v>-</v>
      </c>
    </row>
    <row r="225" spans="1:15" ht="23.25" thickBot="1" x14ac:dyDescent="0.3">
      <c r="A225" s="274" t="s">
        <v>102</v>
      </c>
      <c r="B225" s="845" t="s">
        <v>37</v>
      </c>
      <c r="C225" s="846"/>
      <c r="D225" s="847"/>
      <c r="E225" s="283">
        <f>SUM(E221:E224)</f>
        <v>0</v>
      </c>
      <c r="F225" s="284">
        <v>6500</v>
      </c>
      <c r="G225" s="319">
        <f>SUM(G221:G224)</f>
        <v>0</v>
      </c>
      <c r="H225" s="320">
        <f t="shared" ref="H225:I225" si="301">SUM(H221:H224)</f>
        <v>0</v>
      </c>
      <c r="I225" s="320">
        <f t="shared" si="301"/>
        <v>0</v>
      </c>
      <c r="J225" s="343">
        <f>IFERROR(G225/F225,"-")</f>
        <v>0</v>
      </c>
      <c r="K225" s="319">
        <f t="shared" ref="K225:M225" si="302">SUM(K221:K224)</f>
        <v>0</v>
      </c>
      <c r="L225" s="320">
        <f t="shared" si="302"/>
        <v>0</v>
      </c>
      <c r="M225" s="321">
        <f t="shared" si="302"/>
        <v>0</v>
      </c>
      <c r="N225" s="337" t="str">
        <f>IFERROR(K225/E225,"-")</f>
        <v>-</v>
      </c>
      <c r="O225" s="343" t="str">
        <f t="shared" si="288"/>
        <v>-</v>
      </c>
    </row>
    <row r="226" spans="1:15" ht="24" x14ac:dyDescent="0.25">
      <c r="A226" s="274" t="s">
        <v>102</v>
      </c>
      <c r="B226" s="842" t="s">
        <v>400</v>
      </c>
      <c r="C226" s="313" t="s">
        <v>116</v>
      </c>
      <c r="D226" s="313"/>
      <c r="E226" s="270"/>
      <c r="F226" s="271"/>
      <c r="G226" s="330">
        <f t="shared" ref="G226:G227" si="303">+H226+I226</f>
        <v>0</v>
      </c>
      <c r="H226" s="272">
        <v>0</v>
      </c>
      <c r="I226" s="272">
        <v>0</v>
      </c>
      <c r="J226" s="349" t="str">
        <f>IFERROR(G226/F226,"-")</f>
        <v>-</v>
      </c>
      <c r="K226" s="330">
        <f t="shared" ref="K226:K227" si="304">+L226+M226</f>
        <v>0</v>
      </c>
      <c r="L226" s="272">
        <f t="shared" ref="L226:M226" si="305">+H226+L108</f>
        <v>0</v>
      </c>
      <c r="M226" s="273">
        <f t="shared" si="305"/>
        <v>0</v>
      </c>
      <c r="N226" s="334" t="str">
        <f t="shared" ref="N226:N242" si="306">IFERROR(K226/E226,"-")</f>
        <v>-</v>
      </c>
      <c r="O226" s="344" t="str">
        <f t="shared" si="288"/>
        <v>-</v>
      </c>
    </row>
    <row r="227" spans="1:15" ht="24.75" thickBot="1" x14ac:dyDescent="0.3">
      <c r="A227" s="274" t="s">
        <v>102</v>
      </c>
      <c r="B227" s="844"/>
      <c r="C227" s="285" t="s">
        <v>132</v>
      </c>
      <c r="D227" s="285"/>
      <c r="E227" s="280"/>
      <c r="F227" s="281"/>
      <c r="G227" s="332">
        <f t="shared" si="303"/>
        <v>0</v>
      </c>
      <c r="H227" s="282">
        <v>0</v>
      </c>
      <c r="I227" s="282">
        <v>0</v>
      </c>
      <c r="J227" s="349" t="str">
        <f>IFERROR(G227/F227,"-")</f>
        <v>-</v>
      </c>
      <c r="K227" s="332">
        <f t="shared" si="304"/>
        <v>0</v>
      </c>
      <c r="L227" s="272">
        <f t="shared" ref="L227:M227" si="307">+H227+L109</f>
        <v>0</v>
      </c>
      <c r="M227" s="273">
        <f t="shared" si="307"/>
        <v>0</v>
      </c>
      <c r="N227" s="336" t="str">
        <f t="shared" si="306"/>
        <v>-</v>
      </c>
      <c r="O227" s="345" t="str">
        <f t="shared" si="288"/>
        <v>-</v>
      </c>
    </row>
    <row r="228" spans="1:15" ht="23.25" thickBot="1" x14ac:dyDescent="0.3">
      <c r="A228" s="790" t="s">
        <v>102</v>
      </c>
      <c r="B228" s="845" t="s">
        <v>38</v>
      </c>
      <c r="C228" s="846"/>
      <c r="D228" s="847"/>
      <c r="E228" s="283">
        <f>SUM(E226:E227)</f>
        <v>0</v>
      </c>
      <c r="F228" s="284">
        <v>2800</v>
      </c>
      <c r="G228" s="319">
        <f>SUM(G226:G227)</f>
        <v>0</v>
      </c>
      <c r="H228" s="320">
        <f t="shared" ref="H228:I228" si="308">SUM(H226:H227)</f>
        <v>0</v>
      </c>
      <c r="I228" s="320">
        <f t="shared" si="308"/>
        <v>0</v>
      </c>
      <c r="J228" s="343" t="str">
        <f>IFERROR(G228/F218,"-")</f>
        <v>-</v>
      </c>
      <c r="K228" s="319">
        <f t="shared" ref="K228:M228" si="309">SUM(K226:K227)</f>
        <v>0</v>
      </c>
      <c r="L228" s="320">
        <f t="shared" si="309"/>
        <v>0</v>
      </c>
      <c r="M228" s="321">
        <f t="shared" si="309"/>
        <v>0</v>
      </c>
      <c r="N228" s="337" t="str">
        <f t="shared" si="306"/>
        <v>-</v>
      </c>
      <c r="O228" s="343" t="str">
        <f t="shared" si="288"/>
        <v>-</v>
      </c>
    </row>
    <row r="229" spans="1:15" ht="24" x14ac:dyDescent="0.25">
      <c r="A229" s="274" t="s">
        <v>102</v>
      </c>
      <c r="B229" s="842" t="s">
        <v>401</v>
      </c>
      <c r="C229" s="269" t="s">
        <v>305</v>
      </c>
      <c r="D229" s="269"/>
      <c r="E229" s="270"/>
      <c r="F229" s="314"/>
      <c r="G229" s="330">
        <f t="shared" ref="G229:G233" si="310">+H229+I229</f>
        <v>6865</v>
      </c>
      <c r="H229" s="272">
        <v>6720</v>
      </c>
      <c r="I229" s="272">
        <v>145</v>
      </c>
      <c r="J229" s="369" t="str">
        <f>IFERROR(G229/F229,"-")</f>
        <v>-</v>
      </c>
      <c r="K229" s="330">
        <f t="shared" ref="K229:K233" si="311">+L229+M229</f>
        <v>6865</v>
      </c>
      <c r="L229" s="272">
        <f t="shared" ref="L229:M229" si="312">+H229+L111</f>
        <v>6720</v>
      </c>
      <c r="M229" s="272">
        <f t="shared" si="312"/>
        <v>145</v>
      </c>
      <c r="N229" s="357" t="str">
        <f t="shared" si="306"/>
        <v>-</v>
      </c>
      <c r="O229" s="358">
        <f t="shared" si="288"/>
        <v>2.1121631463947559E-2</v>
      </c>
    </row>
    <row r="230" spans="1:15" ht="24" x14ac:dyDescent="0.25">
      <c r="A230" s="274" t="s">
        <v>102</v>
      </c>
      <c r="B230" s="843"/>
      <c r="C230" s="269" t="s">
        <v>306</v>
      </c>
      <c r="D230" s="275"/>
      <c r="E230" s="276"/>
      <c r="F230" s="315"/>
      <c r="G230" s="331">
        <f t="shared" si="310"/>
        <v>0</v>
      </c>
      <c r="H230" s="278">
        <v>0</v>
      </c>
      <c r="I230" s="278">
        <v>0</v>
      </c>
      <c r="J230" s="369" t="str">
        <f t="shared" ref="J230:J233" si="313">IFERROR(G230/F230,"-")</f>
        <v>-</v>
      </c>
      <c r="K230" s="331">
        <f t="shared" si="311"/>
        <v>0</v>
      </c>
      <c r="L230" s="272">
        <f t="shared" ref="L230:M230" si="314">+H230+L112</f>
        <v>0</v>
      </c>
      <c r="M230" s="273">
        <f t="shared" si="314"/>
        <v>0</v>
      </c>
      <c r="N230" s="359" t="str">
        <f t="shared" si="306"/>
        <v>-</v>
      </c>
      <c r="O230" s="360" t="str">
        <f t="shared" si="288"/>
        <v>-</v>
      </c>
    </row>
    <row r="231" spans="1:15" ht="24" x14ac:dyDescent="0.25">
      <c r="A231" s="274" t="s">
        <v>102</v>
      </c>
      <c r="B231" s="843"/>
      <c r="C231" s="275" t="s">
        <v>472</v>
      </c>
      <c r="D231" s="275"/>
      <c r="E231" s="276"/>
      <c r="F231" s="315"/>
      <c r="G231" s="331">
        <f t="shared" si="310"/>
        <v>17200</v>
      </c>
      <c r="H231" s="278">
        <v>16908</v>
      </c>
      <c r="I231" s="278">
        <v>292</v>
      </c>
      <c r="J231" s="369" t="str">
        <f t="shared" si="313"/>
        <v>-</v>
      </c>
      <c r="K231" s="331">
        <f t="shared" si="311"/>
        <v>40870</v>
      </c>
      <c r="L231" s="272">
        <f t="shared" ref="L231:M231" si="315">+H231+L113</f>
        <v>40296</v>
      </c>
      <c r="M231" s="273">
        <f t="shared" si="315"/>
        <v>574</v>
      </c>
      <c r="N231" s="359" t="str">
        <f t="shared" si="306"/>
        <v>-</v>
      </c>
      <c r="O231" s="360">
        <f t="shared" si="288"/>
        <v>1.4044531441154881E-2</v>
      </c>
    </row>
    <row r="232" spans="1:15" ht="24" x14ac:dyDescent="0.25">
      <c r="A232" s="274" t="s">
        <v>102</v>
      </c>
      <c r="B232" s="843"/>
      <c r="C232" s="275" t="s">
        <v>157</v>
      </c>
      <c r="D232" s="275"/>
      <c r="E232" s="276"/>
      <c r="F232" s="315"/>
      <c r="G232" s="331">
        <f t="shared" si="310"/>
        <v>0</v>
      </c>
      <c r="H232" s="278">
        <v>0</v>
      </c>
      <c r="I232" s="278">
        <v>0</v>
      </c>
      <c r="J232" s="369" t="str">
        <f t="shared" si="313"/>
        <v>-</v>
      </c>
      <c r="K232" s="331">
        <f t="shared" si="311"/>
        <v>0</v>
      </c>
      <c r="L232" s="272">
        <f t="shared" ref="L232:M232" si="316">+H232+L114</f>
        <v>0</v>
      </c>
      <c r="M232" s="273">
        <f t="shared" si="316"/>
        <v>0</v>
      </c>
      <c r="N232" s="359" t="str">
        <f t="shared" si="306"/>
        <v>-</v>
      </c>
      <c r="O232" s="360" t="str">
        <f t="shared" si="288"/>
        <v>-</v>
      </c>
    </row>
    <row r="233" spans="1:15" ht="24.75" thickBot="1" x14ac:dyDescent="0.3">
      <c r="A233" s="274" t="s">
        <v>102</v>
      </c>
      <c r="B233" s="844"/>
      <c r="C233" s="279" t="s">
        <v>158</v>
      </c>
      <c r="D233" s="279"/>
      <c r="E233" s="280"/>
      <c r="F233" s="316"/>
      <c r="G233" s="332">
        <f t="shared" si="310"/>
        <v>0</v>
      </c>
      <c r="H233" s="278">
        <v>0</v>
      </c>
      <c r="I233" s="278">
        <v>0</v>
      </c>
      <c r="J233" s="369" t="str">
        <f t="shared" si="313"/>
        <v>-</v>
      </c>
      <c r="K233" s="332">
        <f t="shared" si="311"/>
        <v>0</v>
      </c>
      <c r="L233" s="272">
        <f t="shared" ref="L233:M233" si="317">+H233+L115</f>
        <v>0</v>
      </c>
      <c r="M233" s="273">
        <f t="shared" si="317"/>
        <v>0</v>
      </c>
      <c r="N233" s="361" t="str">
        <f t="shared" si="306"/>
        <v>-</v>
      </c>
      <c r="O233" s="362" t="str">
        <f t="shared" si="288"/>
        <v>-</v>
      </c>
    </row>
    <row r="234" spans="1:15" ht="23.25" thickBot="1" x14ac:dyDescent="0.3">
      <c r="A234" s="274" t="s">
        <v>102</v>
      </c>
      <c r="B234" s="845" t="s">
        <v>39</v>
      </c>
      <c r="C234" s="846"/>
      <c r="D234" s="847"/>
      <c r="E234" s="319">
        <f>SUM(E229:E233)</f>
        <v>0</v>
      </c>
      <c r="F234" s="284">
        <v>25000</v>
      </c>
      <c r="G234" s="319">
        <f>SUM(G229:G233)</f>
        <v>24065</v>
      </c>
      <c r="H234" s="320">
        <f>SUM(H229:H233)</f>
        <v>23628</v>
      </c>
      <c r="I234" s="320">
        <f>SUM(I229:I233)</f>
        <v>437</v>
      </c>
      <c r="J234" s="343">
        <f>IFERROR(G234/F234,"-")</f>
        <v>0.96260000000000001</v>
      </c>
      <c r="K234" s="319">
        <f>SUM(K229:K233)</f>
        <v>47735</v>
      </c>
      <c r="L234" s="320">
        <f>SUM(L229:L233)</f>
        <v>47016</v>
      </c>
      <c r="M234" s="321">
        <f>SUM(M229:M233)</f>
        <v>719</v>
      </c>
      <c r="N234" s="337" t="str">
        <f t="shared" si="306"/>
        <v>-</v>
      </c>
      <c r="O234" s="343">
        <f t="shared" si="288"/>
        <v>1.506232324290353E-2</v>
      </c>
    </row>
    <row r="235" spans="1:15" ht="24" x14ac:dyDescent="0.25">
      <c r="A235" s="274" t="s">
        <v>102</v>
      </c>
      <c r="B235" s="842" t="s">
        <v>402</v>
      </c>
      <c r="C235" s="269" t="s">
        <v>186</v>
      </c>
      <c r="D235" s="269"/>
      <c r="E235" s="270"/>
      <c r="F235" s="271"/>
      <c r="G235" s="330">
        <f t="shared" ref="G235:G237" si="318">+H235+I235</f>
        <v>0</v>
      </c>
      <c r="H235" s="272">
        <v>0</v>
      </c>
      <c r="I235" s="272">
        <v>0</v>
      </c>
      <c r="J235" s="349" t="str">
        <f>IFERROR(G235/F235,"-")</f>
        <v>-</v>
      </c>
      <c r="K235" s="330">
        <f t="shared" ref="K235:K237" si="319">+L235+M235</f>
        <v>0</v>
      </c>
      <c r="L235" s="272">
        <f t="shared" ref="L235:M235" si="320">+H235+L117</f>
        <v>0</v>
      </c>
      <c r="M235" s="273">
        <f t="shared" si="320"/>
        <v>0</v>
      </c>
      <c r="N235" s="334" t="str">
        <f t="shared" si="306"/>
        <v>-</v>
      </c>
      <c r="O235" s="344" t="str">
        <f t="shared" si="288"/>
        <v>-</v>
      </c>
    </row>
    <row r="236" spans="1:15" ht="24" x14ac:dyDescent="0.25">
      <c r="A236" s="274" t="s">
        <v>102</v>
      </c>
      <c r="B236" s="843"/>
      <c r="C236" s="275" t="s">
        <v>470</v>
      </c>
      <c r="D236" s="275"/>
      <c r="E236" s="276"/>
      <c r="F236" s="277"/>
      <c r="G236" s="331">
        <f t="shared" si="318"/>
        <v>0</v>
      </c>
      <c r="H236" s="278">
        <v>0</v>
      </c>
      <c r="I236" s="278">
        <v>0</v>
      </c>
      <c r="J236" s="349" t="str">
        <f t="shared" ref="J236:J237" si="321">IFERROR(G236/F236,"-")</f>
        <v>-</v>
      </c>
      <c r="K236" s="331">
        <f t="shared" si="319"/>
        <v>0</v>
      </c>
      <c r="L236" s="674">
        <f t="shared" ref="L236:M236" si="322">+H236+L118</f>
        <v>0</v>
      </c>
      <c r="M236" s="273">
        <f t="shared" si="322"/>
        <v>0</v>
      </c>
      <c r="N236" s="359" t="str">
        <f t="shared" si="306"/>
        <v>-</v>
      </c>
      <c r="O236" s="360" t="str">
        <f t="shared" si="288"/>
        <v>-</v>
      </c>
    </row>
    <row r="237" spans="1:15" ht="24.75" thickBot="1" x14ac:dyDescent="0.3">
      <c r="A237" s="274" t="s">
        <v>102</v>
      </c>
      <c r="B237" s="844"/>
      <c r="C237" s="279" t="s">
        <v>471</v>
      </c>
      <c r="D237" s="279"/>
      <c r="E237" s="280"/>
      <c r="F237" s="281"/>
      <c r="G237" s="332">
        <f t="shared" si="318"/>
        <v>0</v>
      </c>
      <c r="H237" s="278">
        <v>0</v>
      </c>
      <c r="I237" s="278">
        <v>0</v>
      </c>
      <c r="J237" s="349" t="str">
        <f t="shared" si="321"/>
        <v>-</v>
      </c>
      <c r="K237" s="332">
        <f t="shared" si="319"/>
        <v>0</v>
      </c>
      <c r="L237" s="272">
        <f t="shared" ref="L237:M237" si="323">+H237+L119</f>
        <v>0</v>
      </c>
      <c r="M237" s="273">
        <f t="shared" si="323"/>
        <v>0</v>
      </c>
      <c r="N237" s="361" t="str">
        <f t="shared" si="306"/>
        <v>-</v>
      </c>
      <c r="O237" s="362" t="str">
        <f t="shared" si="288"/>
        <v>-</v>
      </c>
    </row>
    <row r="238" spans="1:15" ht="23.25" thickBot="1" x14ac:dyDescent="0.3">
      <c r="A238" s="274" t="s">
        <v>102</v>
      </c>
      <c r="B238" s="862" t="s">
        <v>41</v>
      </c>
      <c r="C238" s="863"/>
      <c r="D238" s="864"/>
      <c r="E238" s="319">
        <f>SUM(E235:E237)</f>
        <v>0</v>
      </c>
      <c r="F238" s="284"/>
      <c r="G238" s="319">
        <f>SUM(G235:G237)</f>
        <v>0</v>
      </c>
      <c r="H238" s="320">
        <f t="shared" ref="H238:I238" si="324">SUM(H235:H237)</f>
        <v>0</v>
      </c>
      <c r="I238" s="320">
        <f t="shared" si="324"/>
        <v>0</v>
      </c>
      <c r="J238" s="343" t="str">
        <f>IFERROR(G238/F238,"-")</f>
        <v>-</v>
      </c>
      <c r="K238" s="319">
        <f t="shared" ref="K238:M238" si="325">SUM(K235:K237)</f>
        <v>0</v>
      </c>
      <c r="L238" s="363">
        <f t="shared" si="325"/>
        <v>0</v>
      </c>
      <c r="M238" s="365">
        <f t="shared" si="325"/>
        <v>0</v>
      </c>
      <c r="N238" s="337" t="str">
        <f t="shared" si="306"/>
        <v>-</v>
      </c>
      <c r="O238" s="343" t="str">
        <f t="shared" si="288"/>
        <v>-</v>
      </c>
    </row>
    <row r="239" spans="1:15" ht="24.75" thickBot="1" x14ac:dyDescent="0.3">
      <c r="A239" s="274" t="s">
        <v>102</v>
      </c>
      <c r="B239" s="842" t="s">
        <v>42</v>
      </c>
      <c r="C239" s="269" t="s">
        <v>160</v>
      </c>
      <c r="D239" s="269"/>
      <c r="E239" s="270"/>
      <c r="F239" s="271"/>
      <c r="G239" s="330">
        <f t="shared" ref="G239:G240" si="326">+H239+I239</f>
        <v>3734</v>
      </c>
      <c r="H239" s="272">
        <v>3520</v>
      </c>
      <c r="I239" s="272">
        <v>214</v>
      </c>
      <c r="J239" s="369" t="str">
        <f>IFERROR(G239/F239,"-")</f>
        <v>-</v>
      </c>
      <c r="K239" s="656">
        <f t="shared" ref="K239:K240" si="327">+L239+M239</f>
        <v>18234</v>
      </c>
      <c r="L239" s="649">
        <f t="shared" ref="L239:M239" si="328">+H239+L121</f>
        <v>17920</v>
      </c>
      <c r="M239" s="649">
        <f t="shared" si="328"/>
        <v>314</v>
      </c>
      <c r="N239" s="357" t="str">
        <f t="shared" si="306"/>
        <v>-</v>
      </c>
      <c r="O239" s="358">
        <f t="shared" si="288"/>
        <v>1.7220576944170233E-2</v>
      </c>
    </row>
    <row r="240" spans="1:15" ht="24.75" thickBot="1" x14ac:dyDescent="0.3">
      <c r="A240" s="274" t="s">
        <v>102</v>
      </c>
      <c r="B240" s="844"/>
      <c r="C240" s="279" t="s">
        <v>161</v>
      </c>
      <c r="D240" s="279"/>
      <c r="E240" s="280"/>
      <c r="F240" s="281"/>
      <c r="G240" s="332">
        <f t="shared" si="326"/>
        <v>0</v>
      </c>
      <c r="H240" s="282">
        <v>0</v>
      </c>
      <c r="I240" s="282">
        <v>0</v>
      </c>
      <c r="J240" s="371" t="str">
        <f>IFERROR(G240/F240,"-")</f>
        <v>-</v>
      </c>
      <c r="K240" s="657">
        <f t="shared" si="327"/>
        <v>0</v>
      </c>
      <c r="L240" s="649">
        <f t="shared" ref="L240:M240" si="329">+H240+L122</f>
        <v>0</v>
      </c>
      <c r="M240" s="649">
        <f t="shared" si="329"/>
        <v>0</v>
      </c>
      <c r="N240" s="361" t="str">
        <f t="shared" si="306"/>
        <v>-</v>
      </c>
      <c r="O240" s="362" t="str">
        <f t="shared" si="288"/>
        <v>-</v>
      </c>
    </row>
    <row r="241" spans="1:15" ht="23.25" thickBot="1" x14ac:dyDescent="0.3">
      <c r="A241" s="274" t="s">
        <v>102</v>
      </c>
      <c r="B241" s="862" t="s">
        <v>43</v>
      </c>
      <c r="C241" s="863"/>
      <c r="D241" s="864"/>
      <c r="E241" s="283">
        <f>SUM(E239:E240)</f>
        <v>0</v>
      </c>
      <c r="F241" s="284">
        <v>25000</v>
      </c>
      <c r="G241" s="319">
        <f>SUM(G239:G240)</f>
        <v>3734</v>
      </c>
      <c r="H241" s="320">
        <f t="shared" ref="H241:I241" si="330">SUM(H239:H240)</f>
        <v>3520</v>
      </c>
      <c r="I241" s="320">
        <f t="shared" si="330"/>
        <v>214</v>
      </c>
      <c r="J241" s="343">
        <f>IFERROR(G241/F241,"-")</f>
        <v>0.14935999999999999</v>
      </c>
      <c r="K241" s="719">
        <f t="shared" ref="K241:M241" si="331">SUM(K239:K240)</f>
        <v>18234</v>
      </c>
      <c r="L241" s="720">
        <f t="shared" si="331"/>
        <v>17920</v>
      </c>
      <c r="M241" s="720">
        <f t="shared" si="331"/>
        <v>314</v>
      </c>
      <c r="N241" s="337" t="str">
        <f t="shared" si="306"/>
        <v>-</v>
      </c>
      <c r="O241" s="343">
        <f t="shared" si="288"/>
        <v>1.7220576944170233E-2</v>
      </c>
    </row>
    <row r="242" spans="1:15" ht="23.25" thickBot="1" x14ac:dyDescent="0.3">
      <c r="A242" s="274" t="s">
        <v>102</v>
      </c>
      <c r="B242" s="856" t="s">
        <v>25</v>
      </c>
      <c r="C242" s="857"/>
      <c r="D242" s="858"/>
      <c r="E242" s="324">
        <f t="shared" ref="E242:F242" si="332">+E220+E225+E228+E234+E238+E241</f>
        <v>0</v>
      </c>
      <c r="F242" s="325">
        <f t="shared" si="332"/>
        <v>65800</v>
      </c>
      <c r="G242" s="324">
        <f>+G220+G225+G228+G234+G238+G241</f>
        <v>27799</v>
      </c>
      <c r="H242" s="322">
        <f>+H220+H225+H228+H234+H238+H241</f>
        <v>27148</v>
      </c>
      <c r="I242" s="322">
        <f t="shared" ref="I242" si="333">+I220+I225+I228+I234+I238+I241</f>
        <v>651</v>
      </c>
      <c r="J242" s="347">
        <f>IFERROR(G242/F242,"-")</f>
        <v>0.42247720364741642</v>
      </c>
      <c r="K242" s="324">
        <f>+K220+K225+K228+K234+K238+K241</f>
        <v>65969</v>
      </c>
      <c r="L242" s="718">
        <f t="shared" ref="L242:M242" si="334">+L220+L225+L228+L234+L238+L241</f>
        <v>64936</v>
      </c>
      <c r="M242" s="323">
        <f t="shared" si="334"/>
        <v>1033</v>
      </c>
      <c r="N242" s="339" t="str">
        <f t="shared" si="306"/>
        <v>-</v>
      </c>
      <c r="O242" s="347">
        <f t="shared" si="288"/>
        <v>1.5658870075338418E-2</v>
      </c>
    </row>
    <row r="243" spans="1:15" ht="23.25" thickBot="1" x14ac:dyDescent="0.3">
      <c r="A243" s="317" t="s">
        <v>102</v>
      </c>
      <c r="B243" s="840" t="s">
        <v>173</v>
      </c>
      <c r="C243" s="840"/>
      <c r="D243" s="841"/>
      <c r="E243" s="328">
        <f>+E242</f>
        <v>0</v>
      </c>
      <c r="F243" s="329">
        <f t="shared" ref="F243:I243" si="335">+F242</f>
        <v>65800</v>
      </c>
      <c r="G243" s="328">
        <f t="shared" si="335"/>
        <v>27799</v>
      </c>
      <c r="H243" s="326">
        <f t="shared" si="335"/>
        <v>27148</v>
      </c>
      <c r="I243" s="326">
        <f t="shared" si="335"/>
        <v>651</v>
      </c>
      <c r="J243" s="348">
        <f>+G243/F243</f>
        <v>0.42247720364741642</v>
      </c>
      <c r="K243" s="328">
        <f t="shared" ref="K243:O243" si="336">+K242</f>
        <v>65969</v>
      </c>
      <c r="L243" s="326">
        <f t="shared" si="336"/>
        <v>64936</v>
      </c>
      <c r="M243" s="327">
        <f t="shared" si="336"/>
        <v>1033</v>
      </c>
      <c r="N243" s="340" t="str">
        <f t="shared" si="336"/>
        <v>-</v>
      </c>
      <c r="O243" s="348">
        <f t="shared" si="336"/>
        <v>1.5658870075338418E-2</v>
      </c>
    </row>
    <row r="244" spans="1:15" ht="26.25" thickBot="1" x14ac:dyDescent="0.3">
      <c r="A244" s="318"/>
      <c r="B244" s="859" t="s">
        <v>174</v>
      </c>
      <c r="C244" s="860"/>
      <c r="D244" s="861"/>
      <c r="E244" s="372">
        <f>+E181+E216+E243</f>
        <v>0</v>
      </c>
      <c r="F244" s="372">
        <f>+F181+F216+F243</f>
        <v>914800</v>
      </c>
      <c r="G244" s="372">
        <f>+G181+G216+G243</f>
        <v>184750</v>
      </c>
      <c r="H244" s="372">
        <f>+H181+H216+H243</f>
        <v>181213</v>
      </c>
      <c r="I244" s="372">
        <f>+I181+I216+I243</f>
        <v>3537</v>
      </c>
      <c r="J244" s="373">
        <f>IFERROR(G244/F244,"-")</f>
        <v>0.20195671184958461</v>
      </c>
      <c r="K244" s="372">
        <f>+K181+K216+K243</f>
        <v>385163</v>
      </c>
      <c r="L244" s="372">
        <f>+L181+L216+L243</f>
        <v>378103</v>
      </c>
      <c r="M244" s="372">
        <f>+M181+M216+M243</f>
        <v>7060</v>
      </c>
      <c r="N244" s="373" t="str">
        <f>IFERROR(K244/E244,"-")</f>
        <v>-</v>
      </c>
      <c r="O244" s="373">
        <f>IFERROR(M244/K244,"-")</f>
        <v>1.8329901885695148E-2</v>
      </c>
    </row>
    <row r="245" spans="1:15" ht="24.6" customHeight="1" thickBot="1" x14ac:dyDescent="0.3">
      <c r="A245" s="230"/>
      <c r="B245" s="230"/>
      <c r="C245" s="230"/>
      <c r="D245" s="230"/>
      <c r="E245" s="232"/>
      <c r="F245" s="232"/>
      <c r="G245" s="451"/>
      <c r="H245" s="452"/>
      <c r="I245" s="452"/>
      <c r="J245" s="452"/>
      <c r="K245" s="232"/>
      <c r="L245" s="232"/>
      <c r="M245" s="232"/>
      <c r="N245" s="234"/>
      <c r="O245" s="234"/>
    </row>
    <row r="246" spans="1:15" ht="22.5" x14ac:dyDescent="0.25">
      <c r="A246" s="881" t="s">
        <v>1</v>
      </c>
      <c r="B246" s="884" t="s">
        <v>2</v>
      </c>
      <c r="C246" s="887" t="s">
        <v>394</v>
      </c>
      <c r="D246" s="887" t="s">
        <v>395</v>
      </c>
      <c r="E246" s="890" t="s">
        <v>4</v>
      </c>
      <c r="F246" s="891"/>
      <c r="G246" s="891"/>
      <c r="H246" s="891"/>
      <c r="I246" s="891"/>
      <c r="J246" s="891"/>
      <c r="K246" s="891"/>
      <c r="L246" s="891"/>
      <c r="M246" s="891"/>
      <c r="N246" s="891"/>
      <c r="O246" s="892"/>
    </row>
    <row r="247" spans="1:15" ht="22.5" x14ac:dyDescent="0.25">
      <c r="A247" s="882"/>
      <c r="B247" s="885"/>
      <c r="C247" s="888"/>
      <c r="D247" s="888"/>
      <c r="E247" s="893" t="s">
        <v>7</v>
      </c>
      <c r="F247" s="895" t="s">
        <v>108</v>
      </c>
      <c r="G247" s="897" t="s">
        <v>510</v>
      </c>
      <c r="H247" s="898"/>
      <c r="I247" s="898"/>
      <c r="J247" s="899"/>
      <c r="K247" s="900" t="s">
        <v>396</v>
      </c>
      <c r="L247" s="901"/>
      <c r="M247" s="902"/>
      <c r="N247" s="903" t="s">
        <v>397</v>
      </c>
      <c r="O247" s="905" t="s">
        <v>164</v>
      </c>
    </row>
    <row r="248" spans="1:15" ht="41.25" thickBot="1" x14ac:dyDescent="0.3">
      <c r="A248" s="883"/>
      <c r="B248" s="886"/>
      <c r="C248" s="889"/>
      <c r="D248" s="889"/>
      <c r="E248" s="894"/>
      <c r="F248" s="896"/>
      <c r="G248" s="448" t="s">
        <v>13</v>
      </c>
      <c r="H248" s="449" t="s">
        <v>14</v>
      </c>
      <c r="I248" s="449" t="s">
        <v>15</v>
      </c>
      <c r="J248" s="450" t="s">
        <v>166</v>
      </c>
      <c r="K248" s="641" t="s">
        <v>13</v>
      </c>
      <c r="L248" s="639" t="s">
        <v>14</v>
      </c>
      <c r="M248" s="640" t="s">
        <v>15</v>
      </c>
      <c r="N248" s="904"/>
      <c r="O248" s="906"/>
    </row>
    <row r="249" spans="1:15" ht="24" x14ac:dyDescent="0.25">
      <c r="A249" s="268" t="s">
        <v>103</v>
      </c>
      <c r="B249" s="867" t="s">
        <v>16</v>
      </c>
      <c r="C249" s="269" t="s">
        <v>483</v>
      </c>
      <c r="D249" s="269" t="s">
        <v>367</v>
      </c>
      <c r="E249" s="270"/>
      <c r="F249" s="271"/>
      <c r="G249" s="330">
        <f>+H249+I249</f>
        <v>0</v>
      </c>
      <c r="H249" s="272">
        <v>0</v>
      </c>
      <c r="I249" s="272">
        <v>0</v>
      </c>
      <c r="J249" s="350" t="str">
        <f>IFERROR(G249/F249,"-")</f>
        <v>-</v>
      </c>
      <c r="K249" s="655">
        <f>+L249+M249</f>
        <v>0</v>
      </c>
      <c r="L249" s="522">
        <f>+H249+L131</f>
        <v>0</v>
      </c>
      <c r="M249" s="455">
        <f>+I249+M131</f>
        <v>0</v>
      </c>
      <c r="N249" s="334" t="str">
        <f>IFERROR(K249/E249,"-")</f>
        <v>-</v>
      </c>
      <c r="O249" s="341" t="str">
        <f t="shared" ref="O249:O250" si="337">IFERROR(M249/K249,"-")</f>
        <v>-</v>
      </c>
    </row>
    <row r="250" spans="1:15" ht="24" x14ac:dyDescent="0.25">
      <c r="A250" s="274" t="s">
        <v>103</v>
      </c>
      <c r="B250" s="868"/>
      <c r="C250" s="275" t="s">
        <v>374</v>
      </c>
      <c r="D250" s="275" t="s">
        <v>373</v>
      </c>
      <c r="E250" s="276"/>
      <c r="F250" s="277"/>
      <c r="G250" s="331">
        <f t="shared" ref="G250:G252" si="338">+H250+I250</f>
        <v>0</v>
      </c>
      <c r="H250" s="278"/>
      <c r="I250" s="278"/>
      <c r="J250" s="350" t="str">
        <f t="shared" ref="J250:J252" si="339">IFERROR(G250/F250,"-")</f>
        <v>-</v>
      </c>
      <c r="K250" s="651">
        <f t="shared" ref="K250:K252" si="340">+L250+M250</f>
        <v>0</v>
      </c>
      <c r="L250" s="276">
        <f t="shared" ref="L250:L252" si="341">+H250+L132</f>
        <v>0</v>
      </c>
      <c r="M250" s="432">
        <f t="shared" ref="M250:M252" si="342">+I250+M132</f>
        <v>0</v>
      </c>
      <c r="N250" s="335" t="str">
        <f t="shared" ref="N250:N252" si="343">IFERROR(K250/E250,"-")</f>
        <v>-</v>
      </c>
      <c r="O250" s="265" t="str">
        <f t="shared" si="337"/>
        <v>-</v>
      </c>
    </row>
    <row r="251" spans="1:15" ht="24" x14ac:dyDescent="0.25">
      <c r="A251" s="274" t="s">
        <v>103</v>
      </c>
      <c r="B251" s="868"/>
      <c r="C251" s="566" t="s">
        <v>428</v>
      </c>
      <c r="D251" s="566" t="s">
        <v>364</v>
      </c>
      <c r="E251" s="680"/>
      <c r="F251" s="681"/>
      <c r="G251" s="331">
        <f t="shared" si="338"/>
        <v>0</v>
      </c>
      <c r="H251" s="682"/>
      <c r="I251" s="682"/>
      <c r="J251" s="350" t="str">
        <f t="shared" si="339"/>
        <v>-</v>
      </c>
      <c r="K251" s="651">
        <f t="shared" si="340"/>
        <v>4308</v>
      </c>
      <c r="L251" s="276">
        <f t="shared" si="341"/>
        <v>4160</v>
      </c>
      <c r="M251" s="432">
        <f t="shared" si="342"/>
        <v>148</v>
      </c>
      <c r="N251" s="335" t="str">
        <f t="shared" si="343"/>
        <v>-</v>
      </c>
      <c r="O251" s="265">
        <f>IFERROR(M251/K251,"-")</f>
        <v>3.4354688950789226E-2</v>
      </c>
    </row>
    <row r="252" spans="1:15" ht="24.75" thickBot="1" x14ac:dyDescent="0.3">
      <c r="A252" s="274" t="s">
        <v>103</v>
      </c>
      <c r="B252" s="869"/>
      <c r="C252" s="279" t="s">
        <v>426</v>
      </c>
      <c r="D252" s="279" t="s">
        <v>372</v>
      </c>
      <c r="E252" s="280"/>
      <c r="F252" s="281"/>
      <c r="G252" s="332">
        <f t="shared" si="338"/>
        <v>0</v>
      </c>
      <c r="H252" s="272"/>
      <c r="I252" s="272"/>
      <c r="J252" s="350" t="str">
        <f t="shared" si="339"/>
        <v>-</v>
      </c>
      <c r="K252" s="652">
        <f t="shared" si="340"/>
        <v>0</v>
      </c>
      <c r="L252" s="525">
        <f t="shared" si="341"/>
        <v>0</v>
      </c>
      <c r="M252" s="458">
        <f t="shared" si="342"/>
        <v>0</v>
      </c>
      <c r="N252" s="336" t="str">
        <f t="shared" si="343"/>
        <v>-</v>
      </c>
      <c r="O252" s="342" t="str">
        <f t="shared" ref="O252:O270" si="344">IFERROR(M252/K252,"-")</f>
        <v>-</v>
      </c>
    </row>
    <row r="253" spans="1:15" ht="23.25" thickBot="1" x14ac:dyDescent="0.3">
      <c r="A253" s="274" t="s">
        <v>103</v>
      </c>
      <c r="B253" s="845" t="s">
        <v>44</v>
      </c>
      <c r="C253" s="846"/>
      <c r="D253" s="847"/>
      <c r="E253" s="319">
        <f>SUM(E249:E252)</f>
        <v>0</v>
      </c>
      <c r="F253" s="284">
        <v>15000</v>
      </c>
      <c r="G253" s="319">
        <f>SUM(G249:G252)</f>
        <v>0</v>
      </c>
      <c r="H253" s="320">
        <f t="shared" ref="H253:I253" si="345">SUM(H249:H252)</f>
        <v>0</v>
      </c>
      <c r="I253" s="320">
        <f t="shared" si="345"/>
        <v>0</v>
      </c>
      <c r="J253" s="343">
        <f>+G253/F253</f>
        <v>0</v>
      </c>
      <c r="K253" s="319">
        <f t="shared" ref="K253" si="346">SUM(K249:K252)</f>
        <v>4308</v>
      </c>
      <c r="L253" s="653">
        <f>SUM(L249:L252)</f>
        <v>4160</v>
      </c>
      <c r="M253" s="654">
        <f>SUM(M249:M252)</f>
        <v>148</v>
      </c>
      <c r="N253" s="337" t="str">
        <f>IFERROR(K253/E253,"-")</f>
        <v>-</v>
      </c>
      <c r="O253" s="343">
        <f t="shared" si="344"/>
        <v>3.4354688950789226E-2</v>
      </c>
    </row>
    <row r="254" spans="1:15" ht="24" x14ac:dyDescent="0.25">
      <c r="A254" s="274" t="s">
        <v>103</v>
      </c>
      <c r="B254" s="867" t="s">
        <v>17</v>
      </c>
      <c r="C254" s="269" t="s">
        <v>293</v>
      </c>
      <c r="D254" s="269"/>
      <c r="E254" s="270"/>
      <c r="F254" s="271"/>
      <c r="G254" s="330">
        <f t="shared" ref="G254:G260" si="347">+H254+I254</f>
        <v>0</v>
      </c>
      <c r="H254" s="272">
        <v>0</v>
      </c>
      <c r="I254" s="272">
        <v>0</v>
      </c>
      <c r="J254" s="349" t="str">
        <f>IFERROR(G254/F254,"-")</f>
        <v>-</v>
      </c>
      <c r="K254" s="655">
        <f t="shared" ref="K254:K260" si="348">+L254+M254</f>
        <v>0</v>
      </c>
      <c r="L254" s="522">
        <f t="shared" ref="L254:L260" si="349">+H254+L136</f>
        <v>0</v>
      </c>
      <c r="M254" s="455">
        <f t="shared" ref="M254:M260" si="350">+I254+M136</f>
        <v>0</v>
      </c>
      <c r="N254" s="334" t="str">
        <f t="shared" ref="N254:N260" si="351">IFERROR(K254/E254,"-")</f>
        <v>-</v>
      </c>
      <c r="O254" s="344" t="str">
        <f t="shared" si="344"/>
        <v>-</v>
      </c>
    </row>
    <row r="255" spans="1:15" ht="24" x14ac:dyDescent="0.25">
      <c r="A255" s="274" t="s">
        <v>103</v>
      </c>
      <c r="B255" s="868"/>
      <c r="C255" s="275" t="s">
        <v>342</v>
      </c>
      <c r="D255" s="275" t="s">
        <v>231</v>
      </c>
      <c r="E255" s="276"/>
      <c r="F255" s="277"/>
      <c r="G255" s="331">
        <f t="shared" si="347"/>
        <v>0</v>
      </c>
      <c r="H255" s="278">
        <v>0</v>
      </c>
      <c r="I255" s="278">
        <v>0</v>
      </c>
      <c r="J255" s="349" t="str">
        <f t="shared" ref="J255:J260" si="352">IFERROR(G255/F255,"-")</f>
        <v>-</v>
      </c>
      <c r="K255" s="651">
        <f t="shared" si="348"/>
        <v>0</v>
      </c>
      <c r="L255" s="276">
        <f t="shared" si="349"/>
        <v>0</v>
      </c>
      <c r="M255" s="432">
        <f t="shared" si="350"/>
        <v>0</v>
      </c>
      <c r="N255" s="335" t="str">
        <f t="shared" si="351"/>
        <v>-</v>
      </c>
      <c r="O255" s="263" t="str">
        <f t="shared" si="344"/>
        <v>-</v>
      </c>
    </row>
    <row r="256" spans="1:15" ht="24" x14ac:dyDescent="0.25">
      <c r="A256" s="274" t="s">
        <v>103</v>
      </c>
      <c r="B256" s="868"/>
      <c r="C256" s="275" t="s">
        <v>365</v>
      </c>
      <c r="D256" s="275" t="s">
        <v>187</v>
      </c>
      <c r="E256" s="276"/>
      <c r="F256" s="277"/>
      <c r="G256" s="331">
        <f t="shared" si="347"/>
        <v>12855</v>
      </c>
      <c r="H256" s="278">
        <v>12240</v>
      </c>
      <c r="I256" s="278">
        <v>615</v>
      </c>
      <c r="J256" s="349" t="str">
        <f t="shared" si="352"/>
        <v>-</v>
      </c>
      <c r="K256" s="651">
        <f t="shared" si="348"/>
        <v>74455</v>
      </c>
      <c r="L256" s="276">
        <f t="shared" si="349"/>
        <v>73440</v>
      </c>
      <c r="M256" s="432">
        <f t="shared" si="350"/>
        <v>1015</v>
      </c>
      <c r="N256" s="335" t="str">
        <f t="shared" si="351"/>
        <v>-</v>
      </c>
      <c r="O256" s="263">
        <f t="shared" si="344"/>
        <v>1.3632395406621449E-2</v>
      </c>
    </row>
    <row r="257" spans="1:15" ht="24" x14ac:dyDescent="0.25">
      <c r="A257" s="274" t="s">
        <v>103</v>
      </c>
      <c r="B257" s="868"/>
      <c r="C257" s="275" t="s">
        <v>479</v>
      </c>
      <c r="D257" s="275" t="s">
        <v>478</v>
      </c>
      <c r="E257" s="276"/>
      <c r="F257" s="277"/>
      <c r="G257" s="331">
        <f t="shared" si="347"/>
        <v>0</v>
      </c>
      <c r="H257" s="278">
        <v>0</v>
      </c>
      <c r="I257" s="278">
        <v>0</v>
      </c>
      <c r="J257" s="349" t="str">
        <f t="shared" si="352"/>
        <v>-</v>
      </c>
      <c r="K257" s="651">
        <f t="shared" si="348"/>
        <v>0</v>
      </c>
      <c r="L257" s="276">
        <f t="shared" si="349"/>
        <v>0</v>
      </c>
      <c r="M257" s="432">
        <f t="shared" si="350"/>
        <v>0</v>
      </c>
      <c r="N257" s="335" t="str">
        <f t="shared" si="351"/>
        <v>-</v>
      </c>
      <c r="O257" s="263" t="str">
        <f t="shared" si="344"/>
        <v>-</v>
      </c>
    </row>
    <row r="258" spans="1:15" ht="24" x14ac:dyDescent="0.25">
      <c r="A258" s="274" t="s">
        <v>103</v>
      </c>
      <c r="B258" s="868"/>
      <c r="C258" s="275" t="s">
        <v>321</v>
      </c>
      <c r="D258" s="275" t="s">
        <v>316</v>
      </c>
      <c r="E258" s="276"/>
      <c r="F258" s="277"/>
      <c r="G258" s="331">
        <f t="shared" si="347"/>
        <v>0</v>
      </c>
      <c r="H258" s="278">
        <v>0</v>
      </c>
      <c r="I258" s="278">
        <v>0</v>
      </c>
      <c r="J258" s="349" t="str">
        <f t="shared" si="352"/>
        <v>-</v>
      </c>
      <c r="K258" s="651">
        <f t="shared" si="348"/>
        <v>0</v>
      </c>
      <c r="L258" s="276">
        <f t="shared" si="349"/>
        <v>0</v>
      </c>
      <c r="M258" s="432">
        <f t="shared" si="350"/>
        <v>0</v>
      </c>
      <c r="N258" s="335" t="str">
        <f t="shared" si="351"/>
        <v>-</v>
      </c>
      <c r="O258" s="263" t="str">
        <f t="shared" si="344"/>
        <v>-</v>
      </c>
    </row>
    <row r="259" spans="1:15" ht="24" x14ac:dyDescent="0.25">
      <c r="A259" s="274" t="s">
        <v>103</v>
      </c>
      <c r="B259" s="868"/>
      <c r="C259" s="275" t="s">
        <v>477</v>
      </c>
      <c r="D259" s="275" t="s">
        <v>189</v>
      </c>
      <c r="E259" s="276"/>
      <c r="F259" s="277"/>
      <c r="G259" s="331">
        <f t="shared" si="347"/>
        <v>0</v>
      </c>
      <c r="H259" s="278">
        <v>0</v>
      </c>
      <c r="I259" s="278">
        <v>0</v>
      </c>
      <c r="J259" s="349" t="str">
        <f t="shared" si="352"/>
        <v>-</v>
      </c>
      <c r="K259" s="651">
        <f t="shared" si="348"/>
        <v>0</v>
      </c>
      <c r="L259" s="276">
        <f t="shared" si="349"/>
        <v>0</v>
      </c>
      <c r="M259" s="432">
        <f t="shared" si="350"/>
        <v>0</v>
      </c>
      <c r="N259" s="335" t="str">
        <f t="shared" si="351"/>
        <v>-</v>
      </c>
      <c r="O259" s="263" t="str">
        <f t="shared" si="344"/>
        <v>-</v>
      </c>
    </row>
    <row r="260" spans="1:15" ht="24.75" thickBot="1" x14ac:dyDescent="0.3">
      <c r="A260" s="274" t="s">
        <v>103</v>
      </c>
      <c r="B260" s="869"/>
      <c r="C260" s="279" t="s">
        <v>339</v>
      </c>
      <c r="D260" s="279" t="s">
        <v>231</v>
      </c>
      <c r="E260" s="280"/>
      <c r="F260" s="281"/>
      <c r="G260" s="332">
        <f t="shared" si="347"/>
        <v>0</v>
      </c>
      <c r="H260" s="278">
        <v>0</v>
      </c>
      <c r="I260" s="278">
        <v>0</v>
      </c>
      <c r="J260" s="349" t="str">
        <f t="shared" si="352"/>
        <v>-</v>
      </c>
      <c r="K260" s="652">
        <f t="shared" si="348"/>
        <v>0</v>
      </c>
      <c r="L260" s="525">
        <f t="shared" si="349"/>
        <v>0</v>
      </c>
      <c r="M260" s="458">
        <f t="shared" si="350"/>
        <v>0</v>
      </c>
      <c r="N260" s="336" t="str">
        <f t="shared" si="351"/>
        <v>-</v>
      </c>
      <c r="O260" s="345" t="str">
        <f t="shared" si="344"/>
        <v>-</v>
      </c>
    </row>
    <row r="261" spans="1:15" ht="23.25" thickBot="1" x14ac:dyDescent="0.3">
      <c r="A261" s="274" t="s">
        <v>103</v>
      </c>
      <c r="B261" s="845" t="s">
        <v>45</v>
      </c>
      <c r="C261" s="846"/>
      <c r="D261" s="847"/>
      <c r="E261" s="319">
        <f>SUM(E254:E260)</f>
        <v>0</v>
      </c>
      <c r="F261" s="284">
        <v>100000</v>
      </c>
      <c r="G261" s="319">
        <f>SUM(G254:G260)</f>
        <v>12855</v>
      </c>
      <c r="H261" s="320">
        <f t="shared" ref="H261:I261" si="353">SUM(H254:H260)</f>
        <v>12240</v>
      </c>
      <c r="I261" s="320">
        <f t="shared" si="353"/>
        <v>615</v>
      </c>
      <c r="J261" s="343">
        <f>+G261/F261</f>
        <v>0.12855</v>
      </c>
      <c r="K261" s="319">
        <f>SUM(K254:K260)</f>
        <v>74455</v>
      </c>
      <c r="L261" s="515">
        <f>SUM(L254:L260)</f>
        <v>73440</v>
      </c>
      <c r="M261" s="650">
        <f t="shared" ref="M261" si="354">SUM(M254:M260)</f>
        <v>1015</v>
      </c>
      <c r="N261" s="337" t="str">
        <f>IFERROR(K261/E261,"-")</f>
        <v>-</v>
      </c>
      <c r="O261" s="343">
        <f t="shared" si="344"/>
        <v>1.3632395406621449E-2</v>
      </c>
    </row>
    <row r="262" spans="1:15" ht="24" x14ac:dyDescent="0.25">
      <c r="A262" s="274" t="s">
        <v>103</v>
      </c>
      <c r="B262" s="867" t="s">
        <v>18</v>
      </c>
      <c r="C262" s="269" t="s">
        <v>311</v>
      </c>
      <c r="D262" s="269" t="s">
        <v>92</v>
      </c>
      <c r="E262" s="270"/>
      <c r="F262" s="271"/>
      <c r="G262" s="330">
        <f t="shared" ref="G262:G268" si="355">+H262+I262</f>
        <v>0</v>
      </c>
      <c r="H262" s="272">
        <v>0</v>
      </c>
      <c r="I262" s="272">
        <v>0</v>
      </c>
      <c r="J262" s="349" t="str">
        <f>IFERROR(G262/F262,"-")</f>
        <v>-</v>
      </c>
      <c r="K262" s="330">
        <f t="shared" ref="K262:K268" si="356">+L262+M262</f>
        <v>0</v>
      </c>
      <c r="L262" s="272">
        <f t="shared" ref="L262:L268" si="357">+H262+L144</f>
        <v>0</v>
      </c>
      <c r="M262" s="273">
        <f t="shared" ref="M262:M268" si="358">+I262+M144</f>
        <v>0</v>
      </c>
      <c r="N262" s="334" t="str">
        <f t="shared" ref="N262:N269" si="359">IFERROR(K262/E262,"-")</f>
        <v>-</v>
      </c>
      <c r="O262" s="344" t="str">
        <f t="shared" si="344"/>
        <v>-</v>
      </c>
    </row>
    <row r="263" spans="1:15" ht="24" x14ac:dyDescent="0.25">
      <c r="A263" s="274" t="s">
        <v>103</v>
      </c>
      <c r="B263" s="868"/>
      <c r="C263" s="275" t="s">
        <v>232</v>
      </c>
      <c r="D263" s="275" t="s">
        <v>233</v>
      </c>
      <c r="E263" s="276"/>
      <c r="F263" s="277"/>
      <c r="G263" s="331">
        <f t="shared" si="355"/>
        <v>0</v>
      </c>
      <c r="H263" s="278">
        <v>0</v>
      </c>
      <c r="I263" s="278">
        <v>0</v>
      </c>
      <c r="J263" s="349" t="str">
        <f t="shared" ref="J263:J268" si="360">IFERROR(G263/F263,"-")</f>
        <v>-</v>
      </c>
      <c r="K263" s="331">
        <f t="shared" si="356"/>
        <v>0</v>
      </c>
      <c r="L263" s="272">
        <f t="shared" si="357"/>
        <v>0</v>
      </c>
      <c r="M263" s="273">
        <f t="shared" si="358"/>
        <v>0</v>
      </c>
      <c r="N263" s="335" t="str">
        <f t="shared" si="359"/>
        <v>-</v>
      </c>
      <c r="O263" s="263" t="str">
        <f t="shared" si="344"/>
        <v>-</v>
      </c>
    </row>
    <row r="264" spans="1:15" ht="24" x14ac:dyDescent="0.25">
      <c r="A264" s="274" t="s">
        <v>103</v>
      </c>
      <c r="B264" s="868"/>
      <c r="C264" s="275" t="s">
        <v>115</v>
      </c>
      <c r="D264" s="275"/>
      <c r="E264" s="276"/>
      <c r="F264" s="277"/>
      <c r="G264" s="331">
        <f t="shared" si="355"/>
        <v>0</v>
      </c>
      <c r="H264" s="278">
        <v>0</v>
      </c>
      <c r="I264" s="278">
        <v>0</v>
      </c>
      <c r="J264" s="349" t="str">
        <f t="shared" si="360"/>
        <v>-</v>
      </c>
      <c r="K264" s="331">
        <f t="shared" si="356"/>
        <v>0</v>
      </c>
      <c r="L264" s="272">
        <f t="shared" si="357"/>
        <v>0</v>
      </c>
      <c r="M264" s="273">
        <f t="shared" si="358"/>
        <v>0</v>
      </c>
      <c r="N264" s="335" t="str">
        <f t="shared" si="359"/>
        <v>-</v>
      </c>
      <c r="O264" s="263" t="str">
        <f t="shared" si="344"/>
        <v>-</v>
      </c>
    </row>
    <row r="265" spans="1:15" ht="24" x14ac:dyDescent="0.25">
      <c r="A265" s="274" t="s">
        <v>103</v>
      </c>
      <c r="B265" s="868"/>
      <c r="C265" s="275" t="s">
        <v>122</v>
      </c>
      <c r="D265" s="275"/>
      <c r="E265" s="276"/>
      <c r="F265" s="277"/>
      <c r="G265" s="331">
        <f t="shared" si="355"/>
        <v>0</v>
      </c>
      <c r="H265" s="278">
        <v>0</v>
      </c>
      <c r="I265" s="278">
        <v>0</v>
      </c>
      <c r="J265" s="349" t="str">
        <f t="shared" si="360"/>
        <v>-</v>
      </c>
      <c r="K265" s="331">
        <f t="shared" si="356"/>
        <v>0</v>
      </c>
      <c r="L265" s="272">
        <f t="shared" si="357"/>
        <v>0</v>
      </c>
      <c r="M265" s="273">
        <f t="shared" si="358"/>
        <v>0</v>
      </c>
      <c r="N265" s="335" t="str">
        <f t="shared" si="359"/>
        <v>-</v>
      </c>
      <c r="O265" s="263" t="str">
        <f t="shared" si="344"/>
        <v>-</v>
      </c>
    </row>
    <row r="266" spans="1:15" ht="24" x14ac:dyDescent="0.25">
      <c r="A266" s="274" t="s">
        <v>103</v>
      </c>
      <c r="B266" s="868"/>
      <c r="C266" s="275" t="s">
        <v>176</v>
      </c>
      <c r="D266" s="275" t="s">
        <v>177</v>
      </c>
      <c r="E266" s="276"/>
      <c r="F266" s="277"/>
      <c r="G266" s="331">
        <f t="shared" si="355"/>
        <v>0</v>
      </c>
      <c r="H266" s="278">
        <v>0</v>
      </c>
      <c r="I266" s="278">
        <v>0</v>
      </c>
      <c r="J266" s="349" t="str">
        <f t="shared" si="360"/>
        <v>-</v>
      </c>
      <c r="K266" s="331">
        <f t="shared" si="356"/>
        <v>0</v>
      </c>
      <c r="L266" s="272">
        <f t="shared" si="357"/>
        <v>0</v>
      </c>
      <c r="M266" s="273">
        <f t="shared" si="358"/>
        <v>0</v>
      </c>
      <c r="N266" s="335" t="str">
        <f t="shared" si="359"/>
        <v>-</v>
      </c>
      <c r="O266" s="263" t="str">
        <f t="shared" si="344"/>
        <v>-</v>
      </c>
    </row>
    <row r="267" spans="1:15" ht="24" x14ac:dyDescent="0.25">
      <c r="A267" s="274" t="s">
        <v>103</v>
      </c>
      <c r="B267" s="868"/>
      <c r="C267" s="275" t="s">
        <v>179</v>
      </c>
      <c r="D267" s="275" t="s">
        <v>178</v>
      </c>
      <c r="E267" s="276"/>
      <c r="F267" s="277"/>
      <c r="G267" s="331">
        <f t="shared" si="355"/>
        <v>0</v>
      </c>
      <c r="H267" s="278">
        <v>0</v>
      </c>
      <c r="I267" s="278">
        <v>0</v>
      </c>
      <c r="J267" s="349" t="str">
        <f t="shared" si="360"/>
        <v>-</v>
      </c>
      <c r="K267" s="331">
        <f t="shared" si="356"/>
        <v>0</v>
      </c>
      <c r="L267" s="272">
        <f t="shared" si="357"/>
        <v>0</v>
      </c>
      <c r="M267" s="273">
        <f t="shared" si="358"/>
        <v>0</v>
      </c>
      <c r="N267" s="335" t="str">
        <f t="shared" si="359"/>
        <v>-</v>
      </c>
      <c r="O267" s="263" t="str">
        <f t="shared" si="344"/>
        <v>-</v>
      </c>
    </row>
    <row r="268" spans="1:15" ht="24.75" thickBot="1" x14ac:dyDescent="0.3">
      <c r="A268" s="274" t="s">
        <v>103</v>
      </c>
      <c r="B268" s="869"/>
      <c r="C268" s="285" t="s">
        <v>180</v>
      </c>
      <c r="D268" s="285" t="s">
        <v>107</v>
      </c>
      <c r="E268" s="280"/>
      <c r="F268" s="281"/>
      <c r="G268" s="332">
        <f t="shared" si="355"/>
        <v>0</v>
      </c>
      <c r="H268" s="282">
        <v>0</v>
      </c>
      <c r="I268" s="282">
        <v>0</v>
      </c>
      <c r="J268" s="349" t="str">
        <f t="shared" si="360"/>
        <v>-</v>
      </c>
      <c r="K268" s="332">
        <f t="shared" si="356"/>
        <v>0</v>
      </c>
      <c r="L268" s="272">
        <f t="shared" si="357"/>
        <v>0</v>
      </c>
      <c r="M268" s="273">
        <f t="shared" si="358"/>
        <v>0</v>
      </c>
      <c r="N268" s="336" t="str">
        <f t="shared" si="359"/>
        <v>-</v>
      </c>
      <c r="O268" s="345" t="str">
        <f t="shared" si="344"/>
        <v>-</v>
      </c>
    </row>
    <row r="269" spans="1:15" ht="23.25" thickBot="1" x14ac:dyDescent="0.3">
      <c r="A269" s="274" t="s">
        <v>103</v>
      </c>
      <c r="B269" s="845" t="s">
        <v>29</v>
      </c>
      <c r="C269" s="870"/>
      <c r="D269" s="871"/>
      <c r="E269" s="364">
        <f t="shared" ref="E269" si="361">SUM(E262:E268)</f>
        <v>0</v>
      </c>
      <c r="F269" s="306">
        <v>80000</v>
      </c>
      <c r="G269" s="364">
        <f>SUM(G262:G268)</f>
        <v>0</v>
      </c>
      <c r="H269" s="363">
        <f t="shared" ref="H269:I269" si="362">SUM(H262:H268)</f>
        <v>0</v>
      </c>
      <c r="I269" s="363">
        <f t="shared" si="362"/>
        <v>0</v>
      </c>
      <c r="J269" s="354">
        <f>+G269/F269</f>
        <v>0</v>
      </c>
      <c r="K269" s="364">
        <f t="shared" ref="K269" si="363">SUM(K262:K268)</f>
        <v>0</v>
      </c>
      <c r="L269" s="363">
        <f>SUM(L262:L268)</f>
        <v>0</v>
      </c>
      <c r="M269" s="365">
        <f t="shared" ref="M269" si="364">SUM(M262:M268)</f>
        <v>0</v>
      </c>
      <c r="N269" s="353" t="str">
        <f t="shared" si="359"/>
        <v>-</v>
      </c>
      <c r="O269" s="354" t="str">
        <f t="shared" si="344"/>
        <v>-</v>
      </c>
    </row>
    <row r="270" spans="1:15" ht="24" x14ac:dyDescent="0.25">
      <c r="A270" s="252" t="s">
        <v>103</v>
      </c>
      <c r="B270" s="872" t="s">
        <v>19</v>
      </c>
      <c r="C270" s="634" t="s">
        <v>234</v>
      </c>
      <c r="D270" s="734" t="s">
        <v>177</v>
      </c>
      <c r="E270" s="745"/>
      <c r="F270" s="725">
        <v>110000</v>
      </c>
      <c r="G270" s="453">
        <f t="shared" ref="G270:G276" si="365">+H270+I270</f>
        <v>0</v>
      </c>
      <c r="H270" s="454">
        <v>0</v>
      </c>
      <c r="I270" s="454">
        <v>0</v>
      </c>
      <c r="J270" s="526">
        <f>IFERROR(G270/F270,"-")</f>
        <v>0</v>
      </c>
      <c r="K270" s="729">
        <f>+L270+M270</f>
        <v>76414</v>
      </c>
      <c r="L270" s="522">
        <f t="shared" ref="L270:L276" si="366">+H270+L152</f>
        <v>76032</v>
      </c>
      <c r="M270" s="725">
        <f t="shared" ref="M270:M276" si="367">+I270+M152</f>
        <v>382</v>
      </c>
      <c r="N270" s="626" t="str">
        <f>IFERROR(K270/E270,"-")</f>
        <v>-</v>
      </c>
      <c r="O270" s="627">
        <f t="shared" si="344"/>
        <v>4.9990839374983642E-3</v>
      </c>
    </row>
    <row r="271" spans="1:15" ht="24" x14ac:dyDescent="0.25">
      <c r="A271" s="252"/>
      <c r="B271" s="873"/>
      <c r="C271" s="727" t="s">
        <v>375</v>
      </c>
      <c r="D271" s="733" t="s">
        <v>421</v>
      </c>
      <c r="E271" s="507"/>
      <c r="F271" s="277"/>
      <c r="G271" s="331">
        <f t="shared" si="365"/>
        <v>0</v>
      </c>
      <c r="H271" s="278">
        <v>0</v>
      </c>
      <c r="I271" s="278">
        <v>0</v>
      </c>
      <c r="J271" s="350" t="str">
        <f t="shared" ref="J271:J276" si="368">IFERROR(G271/F271,"-")</f>
        <v>-</v>
      </c>
      <c r="K271" s="730">
        <f>+L271+M271</f>
        <v>0</v>
      </c>
      <c r="L271" s="276">
        <f t="shared" si="366"/>
        <v>0</v>
      </c>
      <c r="M271" s="277">
        <f t="shared" si="367"/>
        <v>0</v>
      </c>
      <c r="N271" s="723" t="str">
        <f t="shared" ref="N271:N276" si="369">IFERROR(K271/E271,"-")</f>
        <v>-</v>
      </c>
      <c r="O271" s="263" t="str">
        <f>IFERROR(M271/K271,"-")</f>
        <v>-</v>
      </c>
    </row>
    <row r="272" spans="1:15" ht="24" x14ac:dyDescent="0.25">
      <c r="A272" s="252"/>
      <c r="B272" s="873"/>
      <c r="C272" s="727" t="s">
        <v>234</v>
      </c>
      <c r="D272" s="733" t="s">
        <v>476</v>
      </c>
      <c r="E272" s="507"/>
      <c r="F272" s="277"/>
      <c r="G272" s="331">
        <f t="shared" si="365"/>
        <v>0</v>
      </c>
      <c r="H272" s="278">
        <v>0</v>
      </c>
      <c r="I272" s="278">
        <v>0</v>
      </c>
      <c r="J272" s="350" t="str">
        <f t="shared" si="368"/>
        <v>-</v>
      </c>
      <c r="K272" s="730">
        <f t="shared" ref="K272:K275" si="370">+L272+M272</f>
        <v>0</v>
      </c>
      <c r="L272" s="276">
        <f t="shared" si="366"/>
        <v>0</v>
      </c>
      <c r="M272" s="277">
        <f t="shared" si="367"/>
        <v>0</v>
      </c>
      <c r="N272" s="723" t="str">
        <f t="shared" si="369"/>
        <v>-</v>
      </c>
      <c r="O272" s="263" t="str">
        <f t="shared" ref="O272:O333" si="371">IFERROR(M272/K272,"-")</f>
        <v>-</v>
      </c>
    </row>
    <row r="273" spans="1:15" ht="24" x14ac:dyDescent="0.25">
      <c r="A273" s="252"/>
      <c r="B273" s="873"/>
      <c r="C273" s="727" t="s">
        <v>375</v>
      </c>
      <c r="D273" s="733" t="s">
        <v>476</v>
      </c>
      <c r="E273" s="507"/>
      <c r="F273" s="277"/>
      <c r="G273" s="331">
        <f t="shared" si="365"/>
        <v>0</v>
      </c>
      <c r="H273" s="278">
        <v>0</v>
      </c>
      <c r="I273" s="278">
        <v>0</v>
      </c>
      <c r="J273" s="350" t="str">
        <f t="shared" si="368"/>
        <v>-</v>
      </c>
      <c r="K273" s="730">
        <f t="shared" si="370"/>
        <v>0</v>
      </c>
      <c r="L273" s="276">
        <f t="shared" si="366"/>
        <v>0</v>
      </c>
      <c r="M273" s="277">
        <f t="shared" si="367"/>
        <v>0</v>
      </c>
      <c r="N273" s="723" t="str">
        <f t="shared" si="369"/>
        <v>-</v>
      </c>
      <c r="O273" s="263" t="str">
        <f t="shared" si="371"/>
        <v>-</v>
      </c>
    </row>
    <row r="274" spans="1:15" ht="24" x14ac:dyDescent="0.25">
      <c r="A274" s="252"/>
      <c r="B274" s="873"/>
      <c r="C274" s="727" t="s">
        <v>484</v>
      </c>
      <c r="D274" s="733" t="s">
        <v>476</v>
      </c>
      <c r="E274" s="507"/>
      <c r="F274" s="277"/>
      <c r="G274" s="331">
        <f t="shared" si="365"/>
        <v>8722</v>
      </c>
      <c r="H274" s="278">
        <v>8448</v>
      </c>
      <c r="I274" s="278">
        <v>274</v>
      </c>
      <c r="J274" s="350" t="str">
        <f t="shared" si="368"/>
        <v>-</v>
      </c>
      <c r="K274" s="730">
        <f t="shared" si="370"/>
        <v>8722</v>
      </c>
      <c r="L274" s="276">
        <f t="shared" si="366"/>
        <v>8448</v>
      </c>
      <c r="M274" s="277">
        <f t="shared" si="367"/>
        <v>274</v>
      </c>
      <c r="N274" s="723" t="str">
        <f t="shared" si="369"/>
        <v>-</v>
      </c>
      <c r="O274" s="263">
        <f t="shared" si="371"/>
        <v>3.1414813116257739E-2</v>
      </c>
    </row>
    <row r="275" spans="1:15" ht="24" x14ac:dyDescent="0.25">
      <c r="A275" s="252"/>
      <c r="B275" s="873"/>
      <c r="C275" s="727"/>
      <c r="D275" s="733"/>
      <c r="E275" s="507"/>
      <c r="F275" s="277"/>
      <c r="G275" s="331">
        <f t="shared" si="365"/>
        <v>0</v>
      </c>
      <c r="H275" s="278">
        <v>0</v>
      </c>
      <c r="I275" s="278">
        <v>0</v>
      </c>
      <c r="J275" s="350" t="str">
        <f t="shared" si="368"/>
        <v>-</v>
      </c>
      <c r="K275" s="730">
        <f t="shared" si="370"/>
        <v>0</v>
      </c>
      <c r="L275" s="276">
        <f t="shared" si="366"/>
        <v>0</v>
      </c>
      <c r="M275" s="277">
        <f t="shared" si="367"/>
        <v>0</v>
      </c>
      <c r="N275" s="723" t="str">
        <f t="shared" si="369"/>
        <v>-</v>
      </c>
      <c r="O275" s="263" t="str">
        <f t="shared" si="371"/>
        <v>-</v>
      </c>
    </row>
    <row r="276" spans="1:15" ht="24.75" thickBot="1" x14ac:dyDescent="0.3">
      <c r="A276" s="252"/>
      <c r="B276" s="874"/>
      <c r="C276" s="635" t="s">
        <v>340</v>
      </c>
      <c r="D276" s="735"/>
      <c r="E276" s="746"/>
      <c r="F276" s="726"/>
      <c r="G276" s="456">
        <f t="shared" si="365"/>
        <v>0</v>
      </c>
      <c r="H276" s="457">
        <v>0</v>
      </c>
      <c r="I276" s="457">
        <v>0</v>
      </c>
      <c r="J276" s="527" t="str">
        <f t="shared" si="368"/>
        <v>-</v>
      </c>
      <c r="K276" s="731">
        <f>+L276+M276</f>
        <v>0</v>
      </c>
      <c r="L276" s="525">
        <f t="shared" si="366"/>
        <v>0</v>
      </c>
      <c r="M276" s="726">
        <f t="shared" si="367"/>
        <v>0</v>
      </c>
      <c r="N276" s="724" t="str">
        <f t="shared" si="369"/>
        <v>-</v>
      </c>
      <c r="O276" s="264" t="str">
        <f t="shared" si="371"/>
        <v>-</v>
      </c>
    </row>
    <row r="277" spans="1:15" ht="23.25" thickBot="1" x14ac:dyDescent="0.3">
      <c r="A277" s="274" t="s">
        <v>103</v>
      </c>
      <c r="B277" s="875" t="s">
        <v>46</v>
      </c>
      <c r="C277" s="876"/>
      <c r="D277" s="877"/>
      <c r="E277" s="509">
        <f>SUM(E270:E276)</f>
        <v>0</v>
      </c>
      <c r="F277" s="728">
        <f t="shared" ref="F277" si="372">SUM(F270)</f>
        <v>110000</v>
      </c>
      <c r="G277" s="509">
        <f>SUM(G270:G276)</f>
        <v>8722</v>
      </c>
      <c r="H277" s="515">
        <f>SUM(H270:H276)</f>
        <v>8448</v>
      </c>
      <c r="I277" s="515">
        <f>SUM(I270:I276)</f>
        <v>274</v>
      </c>
      <c r="J277" s="516">
        <f>+G277/F277</f>
        <v>7.9290909090909092E-2</v>
      </c>
      <c r="K277" s="722">
        <f>SUM(K270:K276)</f>
        <v>85136</v>
      </c>
      <c r="L277" s="515">
        <f>SUM(L270:L276)</f>
        <v>84480</v>
      </c>
      <c r="M277" s="650">
        <f>SUM(M270:M276)</f>
        <v>656</v>
      </c>
      <c r="N277" s="517" t="str">
        <f>IFERROR(K277/E277,"-")</f>
        <v>-</v>
      </c>
      <c r="O277" s="516">
        <f t="shared" si="371"/>
        <v>7.7053185491448972E-3</v>
      </c>
    </row>
    <row r="278" spans="1:15" ht="24" x14ac:dyDescent="0.25">
      <c r="A278" s="274" t="s">
        <v>103</v>
      </c>
      <c r="B278" s="867" t="s">
        <v>20</v>
      </c>
      <c r="C278" s="290" t="s">
        <v>486</v>
      </c>
      <c r="D278" s="757" t="s">
        <v>288</v>
      </c>
      <c r="E278" s="270"/>
      <c r="F278" s="271"/>
      <c r="G278" s="330">
        <f t="shared" ref="G278:G280" si="373">+H278+I278</f>
        <v>0</v>
      </c>
      <c r="H278" s="272"/>
      <c r="I278" s="272"/>
      <c r="J278" s="349" t="str">
        <f>IFERROR(G278/F278,"-")</f>
        <v>-</v>
      </c>
      <c r="K278" s="330">
        <f t="shared" ref="K278:K280" si="374">+L278+M278</f>
        <v>22641</v>
      </c>
      <c r="L278" s="272">
        <f t="shared" ref="L278:L280" si="375">+H278+L160</f>
        <v>22464</v>
      </c>
      <c r="M278" s="273">
        <f t="shared" ref="M278:M280" si="376">+I278+M160</f>
        <v>177</v>
      </c>
      <c r="N278" s="334" t="str">
        <f t="shared" ref="N278:N281" si="377">IFERROR(K278/E278,"-")</f>
        <v>-</v>
      </c>
      <c r="O278" s="344">
        <f t="shared" si="371"/>
        <v>7.8176758977076977E-3</v>
      </c>
    </row>
    <row r="279" spans="1:15" ht="24" x14ac:dyDescent="0.25">
      <c r="A279" s="274" t="s">
        <v>103</v>
      </c>
      <c r="B279" s="868"/>
      <c r="C279" s="291" t="s">
        <v>114</v>
      </c>
      <c r="D279" s="291"/>
      <c r="E279" s="276"/>
      <c r="F279" s="277"/>
      <c r="G279" s="331">
        <f t="shared" si="373"/>
        <v>0</v>
      </c>
      <c r="H279" s="278">
        <v>0</v>
      </c>
      <c r="I279" s="278">
        <v>0</v>
      </c>
      <c r="J279" s="349" t="str">
        <f t="shared" ref="J279:J280" si="378">IFERROR(G279/F279,"-")</f>
        <v>-</v>
      </c>
      <c r="K279" s="331">
        <f t="shared" si="374"/>
        <v>0</v>
      </c>
      <c r="L279" s="272">
        <f t="shared" si="375"/>
        <v>0</v>
      </c>
      <c r="M279" s="273">
        <f t="shared" si="376"/>
        <v>0</v>
      </c>
      <c r="N279" s="335" t="str">
        <f t="shared" si="377"/>
        <v>-</v>
      </c>
      <c r="O279" s="263" t="str">
        <f t="shared" si="371"/>
        <v>-</v>
      </c>
    </row>
    <row r="280" spans="1:15" ht="24.75" thickBot="1" x14ac:dyDescent="0.3">
      <c r="A280" s="274" t="s">
        <v>103</v>
      </c>
      <c r="B280" s="869"/>
      <c r="C280" s="292" t="s">
        <v>120</v>
      </c>
      <c r="D280" s="292"/>
      <c r="E280" s="280"/>
      <c r="F280" s="281"/>
      <c r="G280" s="332">
        <f t="shared" si="373"/>
        <v>0</v>
      </c>
      <c r="H280" s="282">
        <v>0</v>
      </c>
      <c r="I280" s="282">
        <v>0</v>
      </c>
      <c r="J280" s="349" t="str">
        <f t="shared" si="378"/>
        <v>-</v>
      </c>
      <c r="K280" s="332">
        <f t="shared" si="374"/>
        <v>0</v>
      </c>
      <c r="L280" s="272">
        <f t="shared" si="375"/>
        <v>0</v>
      </c>
      <c r="M280" s="273">
        <f t="shared" si="376"/>
        <v>0</v>
      </c>
      <c r="N280" s="336" t="str">
        <f t="shared" si="377"/>
        <v>-</v>
      </c>
      <c r="O280" s="345" t="str">
        <f t="shared" si="371"/>
        <v>-</v>
      </c>
    </row>
    <row r="281" spans="1:15" ht="23.25" thickBot="1" x14ac:dyDescent="0.3">
      <c r="A281" s="274" t="s">
        <v>103</v>
      </c>
      <c r="B281" s="846" t="s">
        <v>47</v>
      </c>
      <c r="C281" s="846"/>
      <c r="D281" s="878"/>
      <c r="E281" s="319">
        <f t="shared" ref="E281" si="379">SUM(E278:E280)</f>
        <v>0</v>
      </c>
      <c r="F281" s="284">
        <v>50000</v>
      </c>
      <c r="G281" s="319">
        <f>SUM(G278:G280)</f>
        <v>0</v>
      </c>
      <c r="H281" s="320">
        <f t="shared" ref="H281:I281" si="380">SUM(H278:H280)</f>
        <v>0</v>
      </c>
      <c r="I281" s="320">
        <f t="shared" si="380"/>
        <v>0</v>
      </c>
      <c r="J281" s="343">
        <f>+G281/F281</f>
        <v>0</v>
      </c>
      <c r="K281" s="319">
        <f t="shared" ref="K281:M281" si="381">SUM(K278:K280)</f>
        <v>22641</v>
      </c>
      <c r="L281" s="320">
        <f t="shared" si="381"/>
        <v>22464</v>
      </c>
      <c r="M281" s="321">
        <f t="shared" si="381"/>
        <v>177</v>
      </c>
      <c r="N281" s="337" t="str">
        <f t="shared" si="377"/>
        <v>-</v>
      </c>
      <c r="O281" s="343">
        <f t="shared" si="371"/>
        <v>7.8176758977076977E-3</v>
      </c>
    </row>
    <row r="282" spans="1:15" ht="23.25" thickBot="1" x14ac:dyDescent="0.3">
      <c r="A282" s="274" t="s">
        <v>103</v>
      </c>
      <c r="B282" s="853" t="s">
        <v>21</v>
      </c>
      <c r="C282" s="854"/>
      <c r="D282" s="855"/>
      <c r="E282" s="324">
        <f>+E253+E261+E269+E277+E281</f>
        <v>0</v>
      </c>
      <c r="F282" s="325">
        <f>+F253+F261+F269+F277+F281</f>
        <v>355000</v>
      </c>
      <c r="G282" s="324">
        <f>+G253+G261+G269+G277+G281</f>
        <v>21577</v>
      </c>
      <c r="H282" s="322">
        <f>+H253+H261+H269+H277+H281</f>
        <v>20688</v>
      </c>
      <c r="I282" s="322">
        <f>+I253+I261+I269+I277+I281</f>
        <v>889</v>
      </c>
      <c r="J282" s="347">
        <f>+G282/F282</f>
        <v>6.0780281690140846E-2</v>
      </c>
      <c r="K282" s="324">
        <f>+K253+K261+K269+K277+K281</f>
        <v>186540</v>
      </c>
      <c r="L282" s="322">
        <f>+L253+L261+L269+L277+L281</f>
        <v>184544</v>
      </c>
      <c r="M282" s="323">
        <f>+M253+M261+M269+M277+M281</f>
        <v>1996</v>
      </c>
      <c r="N282" s="339" t="str">
        <f>IFERROR(K282/E282,"-")</f>
        <v>-</v>
      </c>
      <c r="O282" s="347">
        <f t="shared" si="371"/>
        <v>1.0700117937171651E-2</v>
      </c>
    </row>
    <row r="283" spans="1:15" ht="24" x14ac:dyDescent="0.25">
      <c r="A283" s="274" t="s">
        <v>103</v>
      </c>
      <c r="B283" s="867" t="s">
        <v>398</v>
      </c>
      <c r="C283" s="269" t="s">
        <v>125</v>
      </c>
      <c r="D283" s="269"/>
      <c r="E283" s="270"/>
      <c r="F283" s="271"/>
      <c r="G283" s="330">
        <f t="shared" ref="G283:G286" si="382">+H283+I283</f>
        <v>0</v>
      </c>
      <c r="H283" s="272">
        <v>0</v>
      </c>
      <c r="I283" s="272">
        <v>0</v>
      </c>
      <c r="J283" s="349" t="str">
        <f>IFERROR(G283/F283,"-")</f>
        <v>-</v>
      </c>
      <c r="K283" s="330">
        <f t="shared" ref="K283:K286" si="383">+L283+M283</f>
        <v>0</v>
      </c>
      <c r="L283" s="272">
        <f t="shared" ref="L283:L286" si="384">+H283+L165</f>
        <v>0</v>
      </c>
      <c r="M283" s="273">
        <f t="shared" ref="M283:M286" si="385">+I283+M165</f>
        <v>0</v>
      </c>
      <c r="N283" s="334" t="str">
        <f t="shared" ref="N283:N298" si="386">IFERROR(K283/E283,"-")</f>
        <v>-</v>
      </c>
      <c r="O283" s="344" t="str">
        <f t="shared" si="371"/>
        <v>-</v>
      </c>
    </row>
    <row r="284" spans="1:15" ht="24" x14ac:dyDescent="0.25">
      <c r="A284" s="274" t="s">
        <v>103</v>
      </c>
      <c r="B284" s="868"/>
      <c r="C284" s="294" t="s">
        <v>262</v>
      </c>
      <c r="D284" s="294" t="s">
        <v>181</v>
      </c>
      <c r="E284" s="276"/>
      <c r="F284" s="277"/>
      <c r="G284" s="331">
        <f t="shared" si="382"/>
        <v>0</v>
      </c>
      <c r="H284" s="278">
        <v>0</v>
      </c>
      <c r="I284" s="278">
        <v>0</v>
      </c>
      <c r="J284" s="349" t="str">
        <f t="shared" ref="J284:J286" si="387">IFERROR(G284/F284,"-")</f>
        <v>-</v>
      </c>
      <c r="K284" s="331">
        <f t="shared" si="383"/>
        <v>0</v>
      </c>
      <c r="L284" s="272">
        <f t="shared" si="384"/>
        <v>0</v>
      </c>
      <c r="M284" s="273">
        <f t="shared" si="385"/>
        <v>0</v>
      </c>
      <c r="N284" s="335" t="str">
        <f t="shared" si="386"/>
        <v>-</v>
      </c>
      <c r="O284" s="263" t="str">
        <f t="shared" si="371"/>
        <v>-</v>
      </c>
    </row>
    <row r="285" spans="1:15" ht="24" x14ac:dyDescent="0.25">
      <c r="A285" s="274" t="s">
        <v>103</v>
      </c>
      <c r="B285" s="868"/>
      <c r="C285" s="294" t="s">
        <v>360</v>
      </c>
      <c r="D285" s="294" t="s">
        <v>181</v>
      </c>
      <c r="E285" s="276"/>
      <c r="F285" s="277"/>
      <c r="G285" s="331">
        <f t="shared" si="382"/>
        <v>0</v>
      </c>
      <c r="H285" s="278">
        <v>0</v>
      </c>
      <c r="I285" s="278">
        <v>0</v>
      </c>
      <c r="J285" s="349" t="str">
        <f t="shared" si="387"/>
        <v>-</v>
      </c>
      <c r="K285" s="331">
        <f t="shared" si="383"/>
        <v>0</v>
      </c>
      <c r="L285" s="272">
        <f t="shared" si="384"/>
        <v>0</v>
      </c>
      <c r="M285" s="273">
        <f t="shared" si="385"/>
        <v>0</v>
      </c>
      <c r="N285" s="335" t="str">
        <f t="shared" si="386"/>
        <v>-</v>
      </c>
      <c r="O285" s="263" t="str">
        <f t="shared" si="371"/>
        <v>-</v>
      </c>
    </row>
    <row r="286" spans="1:15" ht="24.75" thickBot="1" x14ac:dyDescent="0.3">
      <c r="A286" s="274" t="s">
        <v>103</v>
      </c>
      <c r="B286" s="869"/>
      <c r="C286" s="279" t="s">
        <v>182</v>
      </c>
      <c r="D286" s="279" t="s">
        <v>93</v>
      </c>
      <c r="E286" s="280"/>
      <c r="F286" s="281"/>
      <c r="G286" s="332">
        <f t="shared" si="382"/>
        <v>4080</v>
      </c>
      <c r="H286" s="278">
        <v>3960</v>
      </c>
      <c r="I286" s="278">
        <v>120</v>
      </c>
      <c r="J286" s="349" t="str">
        <f t="shared" si="387"/>
        <v>-</v>
      </c>
      <c r="K286" s="332">
        <f t="shared" si="383"/>
        <v>10200</v>
      </c>
      <c r="L286" s="272">
        <f t="shared" si="384"/>
        <v>9900</v>
      </c>
      <c r="M286" s="273">
        <f t="shared" si="385"/>
        <v>300</v>
      </c>
      <c r="N286" s="336" t="str">
        <f t="shared" si="386"/>
        <v>-</v>
      </c>
      <c r="O286" s="345">
        <f t="shared" si="371"/>
        <v>2.9411764705882353E-2</v>
      </c>
    </row>
    <row r="287" spans="1:15" ht="23.25" thickBot="1" x14ac:dyDescent="0.3">
      <c r="A287" s="274" t="s">
        <v>103</v>
      </c>
      <c r="B287" s="845" t="s">
        <v>48</v>
      </c>
      <c r="C287" s="846"/>
      <c r="D287" s="847"/>
      <c r="E287" s="283">
        <f>SUM(E283:E286)</f>
        <v>0</v>
      </c>
      <c r="F287" s="284">
        <v>80000</v>
      </c>
      <c r="G287" s="319">
        <f>SUM(G283:G286)</f>
        <v>4080</v>
      </c>
      <c r="H287" s="320">
        <f t="shared" ref="H287:I287" si="388">SUM(H283:H286)</f>
        <v>3960</v>
      </c>
      <c r="I287" s="320">
        <f t="shared" si="388"/>
        <v>120</v>
      </c>
      <c r="J287" s="343">
        <f>+G287/F287</f>
        <v>5.0999999999999997E-2</v>
      </c>
      <c r="K287" s="319">
        <f t="shared" ref="K287" si="389">SUM(K283:K286)</f>
        <v>10200</v>
      </c>
      <c r="L287" s="320">
        <f>SUM(L283:L286)</f>
        <v>9900</v>
      </c>
      <c r="M287" s="321">
        <f t="shared" ref="M287" si="390">SUM(M283:M286)</f>
        <v>300</v>
      </c>
      <c r="N287" s="337" t="str">
        <f t="shared" si="386"/>
        <v>-</v>
      </c>
      <c r="O287" s="343">
        <f t="shared" si="371"/>
        <v>2.9411764705882353E-2</v>
      </c>
    </row>
    <row r="288" spans="1:15" ht="24" x14ac:dyDescent="0.25">
      <c r="A288" s="274" t="s">
        <v>103</v>
      </c>
      <c r="B288" s="867" t="s">
        <v>23</v>
      </c>
      <c r="C288" s="275" t="s">
        <v>473</v>
      </c>
      <c r="D288" s="295" t="s">
        <v>237</v>
      </c>
      <c r="E288" s="270"/>
      <c r="F288" s="271"/>
      <c r="G288" s="330">
        <f t="shared" ref="G288:G296" si="391">+H288+I288</f>
        <v>0</v>
      </c>
      <c r="H288" s="272">
        <v>0</v>
      </c>
      <c r="I288" s="272">
        <v>0</v>
      </c>
      <c r="J288" s="349" t="str">
        <f>IFERROR(G288/F288,"-")</f>
        <v>-</v>
      </c>
      <c r="K288" s="330">
        <f t="shared" ref="K288:K296" si="392">+L288+M288</f>
        <v>0</v>
      </c>
      <c r="L288" s="272">
        <f t="shared" ref="L288:L296" si="393">+H288+L170</f>
        <v>0</v>
      </c>
      <c r="M288" s="273">
        <f t="shared" ref="M288:M296" si="394">+I288+M170</f>
        <v>0</v>
      </c>
      <c r="N288" s="334" t="str">
        <f t="shared" si="386"/>
        <v>-</v>
      </c>
      <c r="O288" s="344" t="str">
        <f t="shared" si="371"/>
        <v>-</v>
      </c>
    </row>
    <row r="289" spans="1:15" ht="24" x14ac:dyDescent="0.25">
      <c r="A289" s="274" t="s">
        <v>103</v>
      </c>
      <c r="B289" s="868"/>
      <c r="C289" s="275" t="s">
        <v>24</v>
      </c>
      <c r="D289" s="275" t="s">
        <v>237</v>
      </c>
      <c r="E289" s="276"/>
      <c r="F289" s="277"/>
      <c r="G289" s="331">
        <f t="shared" si="391"/>
        <v>13170</v>
      </c>
      <c r="H289" s="278">
        <v>13125</v>
      </c>
      <c r="I289" s="278">
        <v>45</v>
      </c>
      <c r="J289" s="349" t="str">
        <f t="shared" ref="J289:J296" si="395">IFERROR(G289/F289,"-")</f>
        <v>-</v>
      </c>
      <c r="K289" s="331">
        <f t="shared" si="392"/>
        <v>17567</v>
      </c>
      <c r="L289" s="272">
        <f t="shared" si="393"/>
        <v>17500</v>
      </c>
      <c r="M289" s="273">
        <f t="shared" si="394"/>
        <v>67</v>
      </c>
      <c r="N289" s="335" t="str">
        <f t="shared" si="386"/>
        <v>-</v>
      </c>
      <c r="O289" s="263">
        <f t="shared" si="371"/>
        <v>3.8139693743951728E-3</v>
      </c>
    </row>
    <row r="290" spans="1:15" ht="24" x14ac:dyDescent="0.25">
      <c r="A290" s="274" t="s">
        <v>103</v>
      </c>
      <c r="B290" s="868"/>
      <c r="C290" s="275" t="s">
        <v>235</v>
      </c>
      <c r="D290" s="275" t="s">
        <v>237</v>
      </c>
      <c r="E290" s="276"/>
      <c r="F290" s="277"/>
      <c r="G290" s="331">
        <f t="shared" si="391"/>
        <v>0</v>
      </c>
      <c r="H290" s="278">
        <v>0</v>
      </c>
      <c r="I290" s="278">
        <v>0</v>
      </c>
      <c r="J290" s="349" t="str">
        <f t="shared" si="395"/>
        <v>-</v>
      </c>
      <c r="K290" s="331">
        <f t="shared" si="392"/>
        <v>0</v>
      </c>
      <c r="L290" s="272">
        <f t="shared" si="393"/>
        <v>0</v>
      </c>
      <c r="M290" s="273">
        <f t="shared" si="394"/>
        <v>0</v>
      </c>
      <c r="N290" s="335" t="str">
        <f t="shared" si="386"/>
        <v>-</v>
      </c>
      <c r="O290" s="263" t="str">
        <f t="shared" si="371"/>
        <v>-</v>
      </c>
    </row>
    <row r="291" spans="1:15" ht="24" x14ac:dyDescent="0.25">
      <c r="A291" s="274" t="s">
        <v>103</v>
      </c>
      <c r="B291" s="868"/>
      <c r="C291" s="275" t="s">
        <v>238</v>
      </c>
      <c r="D291" s="275" t="s">
        <v>237</v>
      </c>
      <c r="E291" s="276"/>
      <c r="F291" s="277"/>
      <c r="G291" s="331">
        <f t="shared" si="391"/>
        <v>0</v>
      </c>
      <c r="H291" s="278">
        <v>0</v>
      </c>
      <c r="I291" s="278">
        <v>0</v>
      </c>
      <c r="J291" s="349" t="str">
        <f t="shared" si="395"/>
        <v>-</v>
      </c>
      <c r="K291" s="331">
        <f t="shared" si="392"/>
        <v>0</v>
      </c>
      <c r="L291" s="272">
        <f t="shared" si="393"/>
        <v>0</v>
      </c>
      <c r="M291" s="273">
        <f t="shared" si="394"/>
        <v>0</v>
      </c>
      <c r="N291" s="335" t="str">
        <f t="shared" si="386"/>
        <v>-</v>
      </c>
      <c r="O291" s="263" t="str">
        <f t="shared" si="371"/>
        <v>-</v>
      </c>
    </row>
    <row r="292" spans="1:15" ht="24" x14ac:dyDescent="0.25">
      <c r="A292" s="274" t="s">
        <v>103</v>
      </c>
      <c r="B292" s="868"/>
      <c r="C292" s="294" t="s">
        <v>392</v>
      </c>
      <c r="D292" s="275" t="s">
        <v>237</v>
      </c>
      <c r="E292" s="276"/>
      <c r="F292" s="277"/>
      <c r="G292" s="331">
        <f t="shared" si="391"/>
        <v>0</v>
      </c>
      <c r="H292" s="278">
        <v>0</v>
      </c>
      <c r="I292" s="278">
        <v>0</v>
      </c>
      <c r="J292" s="349" t="str">
        <f t="shared" si="395"/>
        <v>-</v>
      </c>
      <c r="K292" s="331">
        <f t="shared" si="392"/>
        <v>0</v>
      </c>
      <c r="L292" s="272">
        <f t="shared" si="393"/>
        <v>0</v>
      </c>
      <c r="M292" s="273">
        <f t="shared" si="394"/>
        <v>0</v>
      </c>
      <c r="N292" s="335" t="str">
        <f t="shared" si="386"/>
        <v>-</v>
      </c>
      <c r="O292" s="263" t="str">
        <f t="shared" si="371"/>
        <v>-</v>
      </c>
    </row>
    <row r="293" spans="1:15" ht="24" x14ac:dyDescent="0.25">
      <c r="A293" s="274" t="s">
        <v>103</v>
      </c>
      <c r="B293" s="868"/>
      <c r="C293" s="294" t="s">
        <v>420</v>
      </c>
      <c r="D293" s="275" t="s">
        <v>237</v>
      </c>
      <c r="E293" s="276"/>
      <c r="F293" s="277"/>
      <c r="G293" s="331">
        <f t="shared" si="391"/>
        <v>0</v>
      </c>
      <c r="H293" s="278">
        <v>0</v>
      </c>
      <c r="I293" s="278">
        <v>0</v>
      </c>
      <c r="J293" s="349" t="str">
        <f t="shared" si="395"/>
        <v>-</v>
      </c>
      <c r="K293" s="331">
        <f t="shared" si="392"/>
        <v>0</v>
      </c>
      <c r="L293" s="272">
        <f t="shared" si="393"/>
        <v>0</v>
      </c>
      <c r="M293" s="273">
        <f t="shared" si="394"/>
        <v>0</v>
      </c>
      <c r="N293" s="335" t="str">
        <f t="shared" si="386"/>
        <v>-</v>
      </c>
      <c r="O293" s="263" t="str">
        <f t="shared" si="371"/>
        <v>-</v>
      </c>
    </row>
    <row r="294" spans="1:15" ht="24" x14ac:dyDescent="0.25">
      <c r="A294" s="274" t="s">
        <v>103</v>
      </c>
      <c r="B294" s="868"/>
      <c r="C294" s="294" t="s">
        <v>240</v>
      </c>
      <c r="D294" s="275" t="s">
        <v>242</v>
      </c>
      <c r="E294" s="276"/>
      <c r="F294" s="277"/>
      <c r="G294" s="331">
        <f t="shared" si="391"/>
        <v>0</v>
      </c>
      <c r="H294" s="278">
        <v>0</v>
      </c>
      <c r="I294" s="278">
        <v>0</v>
      </c>
      <c r="J294" s="349" t="str">
        <f t="shared" si="395"/>
        <v>-</v>
      </c>
      <c r="K294" s="331">
        <f t="shared" si="392"/>
        <v>0</v>
      </c>
      <c r="L294" s="272">
        <f t="shared" si="393"/>
        <v>0</v>
      </c>
      <c r="M294" s="273">
        <f t="shared" si="394"/>
        <v>0</v>
      </c>
      <c r="N294" s="335" t="str">
        <f t="shared" si="386"/>
        <v>-</v>
      </c>
      <c r="O294" s="263" t="str">
        <f t="shared" si="371"/>
        <v>-</v>
      </c>
    </row>
    <row r="295" spans="1:15" ht="24" x14ac:dyDescent="0.25">
      <c r="A295" s="274"/>
      <c r="B295" s="869"/>
      <c r="C295" s="294" t="s">
        <v>481</v>
      </c>
      <c r="D295" s="275" t="s">
        <v>237</v>
      </c>
      <c r="E295" s="280"/>
      <c r="F295" s="281"/>
      <c r="G295" s="331">
        <f t="shared" si="391"/>
        <v>0</v>
      </c>
      <c r="H295" s="278">
        <v>0</v>
      </c>
      <c r="I295" s="278">
        <v>0</v>
      </c>
      <c r="J295" s="349" t="str">
        <f t="shared" si="395"/>
        <v>-</v>
      </c>
      <c r="K295" s="331">
        <f t="shared" si="392"/>
        <v>0</v>
      </c>
      <c r="L295" s="272">
        <f t="shared" si="393"/>
        <v>0</v>
      </c>
      <c r="M295" s="273">
        <f t="shared" si="394"/>
        <v>0</v>
      </c>
      <c r="N295" s="335" t="str">
        <f t="shared" si="386"/>
        <v>-</v>
      </c>
      <c r="O295" s="263" t="str">
        <f t="shared" si="371"/>
        <v>-</v>
      </c>
    </row>
    <row r="296" spans="1:15" ht="24.75" thickBot="1" x14ac:dyDescent="0.3">
      <c r="A296" s="274" t="s">
        <v>103</v>
      </c>
      <c r="B296" s="869"/>
      <c r="C296" s="294" t="s">
        <v>241</v>
      </c>
      <c r="D296" s="275" t="s">
        <v>237</v>
      </c>
      <c r="E296" s="280"/>
      <c r="F296" s="281"/>
      <c r="G296" s="332">
        <f t="shared" si="391"/>
        <v>0</v>
      </c>
      <c r="H296" s="278">
        <v>0</v>
      </c>
      <c r="I296" s="278">
        <v>0</v>
      </c>
      <c r="J296" s="349" t="str">
        <f t="shared" si="395"/>
        <v>-</v>
      </c>
      <c r="K296" s="332">
        <f t="shared" si="392"/>
        <v>0</v>
      </c>
      <c r="L296" s="272">
        <f t="shared" si="393"/>
        <v>0</v>
      </c>
      <c r="M296" s="273">
        <f t="shared" si="394"/>
        <v>0</v>
      </c>
      <c r="N296" s="336" t="str">
        <f t="shared" si="386"/>
        <v>-</v>
      </c>
      <c r="O296" s="345" t="str">
        <f t="shared" si="371"/>
        <v>-</v>
      </c>
    </row>
    <row r="297" spans="1:15" ht="23.25" thickBot="1" x14ac:dyDescent="0.3">
      <c r="A297" s="274" t="s">
        <v>103</v>
      </c>
      <c r="B297" s="845" t="s">
        <v>49</v>
      </c>
      <c r="C297" s="846"/>
      <c r="D297" s="847"/>
      <c r="E297" s="283">
        <f>SUM(E288:E296)</f>
        <v>0</v>
      </c>
      <c r="F297" s="284">
        <v>14000</v>
      </c>
      <c r="G297" s="319">
        <f>SUM(G288:G296)</f>
        <v>13170</v>
      </c>
      <c r="H297" s="320">
        <f t="shared" ref="H297:I297" si="396">SUM(H288:H296)</f>
        <v>13125</v>
      </c>
      <c r="I297" s="320">
        <f t="shared" si="396"/>
        <v>45</v>
      </c>
      <c r="J297" s="343">
        <f>+G298/F298</f>
        <v>0.18351063829787234</v>
      </c>
      <c r="K297" s="319">
        <f>SUM(K288:K296)</f>
        <v>17567</v>
      </c>
      <c r="L297" s="320">
        <f>SUM(L288:L296)</f>
        <v>17500</v>
      </c>
      <c r="M297" s="320">
        <f>SUM(M288:M296)</f>
        <v>67</v>
      </c>
      <c r="N297" s="337" t="str">
        <f t="shared" si="386"/>
        <v>-</v>
      </c>
      <c r="O297" s="343">
        <f t="shared" si="371"/>
        <v>3.8139693743951728E-3</v>
      </c>
    </row>
    <row r="298" spans="1:15" ht="23.25" thickBot="1" x14ac:dyDescent="0.3">
      <c r="A298" s="274" t="s">
        <v>103</v>
      </c>
      <c r="B298" s="853" t="s">
        <v>25</v>
      </c>
      <c r="C298" s="854"/>
      <c r="D298" s="855"/>
      <c r="E298" s="324">
        <f t="shared" ref="E298:F298" si="397">+E287+E297</f>
        <v>0</v>
      </c>
      <c r="F298" s="325">
        <f t="shared" si="397"/>
        <v>94000</v>
      </c>
      <c r="G298" s="324">
        <f>+G287+G297</f>
        <v>17250</v>
      </c>
      <c r="H298" s="322">
        <f t="shared" ref="H298:I298" si="398">+H287+H297</f>
        <v>17085</v>
      </c>
      <c r="I298" s="322">
        <f t="shared" si="398"/>
        <v>165</v>
      </c>
      <c r="J298" s="347" t="str">
        <f>IFERROR(G298/#REF!,"-")</f>
        <v>-</v>
      </c>
      <c r="K298" s="324">
        <f t="shared" ref="K298" si="399">+K287+K297</f>
        <v>27767</v>
      </c>
      <c r="L298" s="322">
        <f>+L287+L297</f>
        <v>27400</v>
      </c>
      <c r="M298" s="323">
        <f t="shared" ref="M298" si="400">+M287+M297</f>
        <v>367</v>
      </c>
      <c r="N298" s="339" t="str">
        <f t="shared" si="386"/>
        <v>-</v>
      </c>
      <c r="O298" s="347">
        <f t="shared" si="371"/>
        <v>1.3217128245759355E-2</v>
      </c>
    </row>
    <row r="299" spans="1:15" ht="23.25" thickBot="1" x14ac:dyDescent="0.3">
      <c r="A299" s="274" t="s">
        <v>103</v>
      </c>
      <c r="B299" s="839" t="s">
        <v>172</v>
      </c>
      <c r="C299" s="840"/>
      <c r="D299" s="865"/>
      <c r="E299" s="328">
        <f>+E282+E298</f>
        <v>0</v>
      </c>
      <c r="F299" s="329">
        <f t="shared" ref="F299:I299" si="401">+F282+F298</f>
        <v>449000</v>
      </c>
      <c r="G299" s="328">
        <f t="shared" si="401"/>
        <v>38827</v>
      </c>
      <c r="H299" s="326">
        <f t="shared" si="401"/>
        <v>37773</v>
      </c>
      <c r="I299" s="326">
        <f t="shared" si="401"/>
        <v>1054</v>
      </c>
      <c r="J299" s="348">
        <f>+G299/F299</f>
        <v>8.6474387527839647E-2</v>
      </c>
      <c r="K299" s="328">
        <f>+K282+K298</f>
        <v>214307</v>
      </c>
      <c r="L299" s="326">
        <f t="shared" ref="L299:M299" si="402">+L282+L298</f>
        <v>211944</v>
      </c>
      <c r="M299" s="327">
        <f t="shared" si="402"/>
        <v>2363</v>
      </c>
      <c r="N299" s="340" t="str">
        <f>IFERROR(K299/E299,"-")</f>
        <v>-</v>
      </c>
      <c r="O299" s="348">
        <f t="shared" si="371"/>
        <v>1.1026238060352671E-2</v>
      </c>
    </row>
    <row r="300" spans="1:15" ht="24" x14ac:dyDescent="0.25">
      <c r="A300" s="268" t="s">
        <v>101</v>
      </c>
      <c r="B300" s="849" t="s">
        <v>26</v>
      </c>
      <c r="C300" s="736" t="s">
        <v>296</v>
      </c>
      <c r="D300" s="741" t="s">
        <v>177</v>
      </c>
      <c r="E300" s="738"/>
      <c r="F300" s="271"/>
      <c r="G300" s="330">
        <f t="shared" ref="G300:G309" si="403">+H300+I300</f>
        <v>0</v>
      </c>
      <c r="H300" s="272">
        <v>0</v>
      </c>
      <c r="I300" s="272">
        <v>0</v>
      </c>
      <c r="J300" s="349" t="str">
        <f>IFERROR(G300/F300,"-")</f>
        <v>-</v>
      </c>
      <c r="K300" s="330">
        <f t="shared" ref="K300:K309" si="404">+L300+M300</f>
        <v>0</v>
      </c>
      <c r="L300" s="272">
        <f t="shared" ref="L300:L309" si="405">+H300+L182</f>
        <v>0</v>
      </c>
      <c r="M300" s="273">
        <f t="shared" ref="M300:M309" si="406">+I300+M182</f>
        <v>0</v>
      </c>
      <c r="N300" s="334" t="str">
        <f t="shared" ref="N300:N318" si="407">IFERROR(K300/E300,"-")</f>
        <v>-</v>
      </c>
      <c r="O300" s="344" t="str">
        <f t="shared" si="371"/>
        <v>-</v>
      </c>
    </row>
    <row r="301" spans="1:15" ht="24" x14ac:dyDescent="0.25">
      <c r="A301" s="274" t="s">
        <v>101</v>
      </c>
      <c r="B301" s="849"/>
      <c r="C301" s="253" t="s">
        <v>422</v>
      </c>
      <c r="D301" s="742" t="s">
        <v>421</v>
      </c>
      <c r="E301" s="507"/>
      <c r="F301" s="277"/>
      <c r="G301" s="331">
        <f t="shared" si="403"/>
        <v>0</v>
      </c>
      <c r="H301" s="278">
        <v>0</v>
      </c>
      <c r="I301" s="278">
        <v>0</v>
      </c>
      <c r="J301" s="349" t="str">
        <f t="shared" ref="J301:J309" si="408">IFERROR(G301/F301,"-")</f>
        <v>-</v>
      </c>
      <c r="K301" s="331">
        <f t="shared" si="404"/>
        <v>0</v>
      </c>
      <c r="L301" s="272">
        <f t="shared" si="405"/>
        <v>0</v>
      </c>
      <c r="M301" s="273">
        <f t="shared" si="406"/>
        <v>0</v>
      </c>
      <c r="N301" s="335" t="str">
        <f t="shared" si="407"/>
        <v>-</v>
      </c>
      <c r="O301" s="263" t="str">
        <f t="shared" si="371"/>
        <v>-</v>
      </c>
    </row>
    <row r="302" spans="1:15" ht="24" x14ac:dyDescent="0.25">
      <c r="A302" s="274" t="s">
        <v>101</v>
      </c>
      <c r="B302" s="849"/>
      <c r="C302" s="721" t="s">
        <v>27</v>
      </c>
      <c r="D302" s="742" t="s">
        <v>332</v>
      </c>
      <c r="E302" s="739"/>
      <c r="F302" s="281"/>
      <c r="G302" s="331">
        <f t="shared" si="403"/>
        <v>0</v>
      </c>
      <c r="H302" s="278">
        <v>0</v>
      </c>
      <c r="I302" s="278">
        <v>0</v>
      </c>
      <c r="J302" s="349" t="str">
        <f t="shared" si="408"/>
        <v>-</v>
      </c>
      <c r="K302" s="331">
        <f t="shared" si="404"/>
        <v>0</v>
      </c>
      <c r="L302" s="272">
        <f t="shared" si="405"/>
        <v>0</v>
      </c>
      <c r="M302" s="273">
        <f t="shared" si="406"/>
        <v>0</v>
      </c>
      <c r="N302" s="335" t="str">
        <f t="shared" si="407"/>
        <v>-</v>
      </c>
      <c r="O302" s="263" t="str">
        <f t="shared" si="371"/>
        <v>-</v>
      </c>
    </row>
    <row r="303" spans="1:15" ht="24" x14ac:dyDescent="0.25">
      <c r="A303" s="274" t="s">
        <v>101</v>
      </c>
      <c r="B303" s="849"/>
      <c r="C303" s="721" t="s">
        <v>27</v>
      </c>
      <c r="D303" s="743" t="s">
        <v>468</v>
      </c>
      <c r="E303" s="739"/>
      <c r="F303" s="281"/>
      <c r="G303" s="331">
        <f t="shared" si="403"/>
        <v>0</v>
      </c>
      <c r="H303" s="278">
        <v>0</v>
      </c>
      <c r="I303" s="278">
        <v>0</v>
      </c>
      <c r="J303" s="349" t="str">
        <f t="shared" si="408"/>
        <v>-</v>
      </c>
      <c r="K303" s="331">
        <f t="shared" si="404"/>
        <v>0</v>
      </c>
      <c r="L303" s="272">
        <f t="shared" si="405"/>
        <v>0</v>
      </c>
      <c r="M303" s="273">
        <f t="shared" si="406"/>
        <v>0</v>
      </c>
      <c r="N303" s="335" t="str">
        <f t="shared" si="407"/>
        <v>-</v>
      </c>
      <c r="O303" s="263" t="str">
        <f t="shared" si="371"/>
        <v>-</v>
      </c>
    </row>
    <row r="304" spans="1:15" ht="24" x14ac:dyDescent="0.25">
      <c r="A304" s="274" t="s">
        <v>101</v>
      </c>
      <c r="B304" s="849"/>
      <c r="C304" s="736" t="s">
        <v>475</v>
      </c>
      <c r="D304" s="742" t="s">
        <v>233</v>
      </c>
      <c r="E304" s="739"/>
      <c r="F304" s="281"/>
      <c r="G304" s="331">
        <f t="shared" si="403"/>
        <v>0</v>
      </c>
      <c r="H304" s="278">
        <v>0</v>
      </c>
      <c r="I304" s="278">
        <v>0</v>
      </c>
      <c r="J304" s="349" t="str">
        <f t="shared" si="408"/>
        <v>-</v>
      </c>
      <c r="K304" s="331">
        <f t="shared" si="404"/>
        <v>0</v>
      </c>
      <c r="L304" s="272">
        <f t="shared" si="405"/>
        <v>0</v>
      </c>
      <c r="M304" s="273">
        <f t="shared" si="406"/>
        <v>0</v>
      </c>
      <c r="N304" s="335" t="str">
        <f t="shared" si="407"/>
        <v>-</v>
      </c>
      <c r="O304" s="263" t="str">
        <f t="shared" si="371"/>
        <v>-</v>
      </c>
    </row>
    <row r="305" spans="1:15" ht="24" x14ac:dyDescent="0.25">
      <c r="A305" s="274"/>
      <c r="B305" s="849"/>
      <c r="C305" s="721" t="s">
        <v>485</v>
      </c>
      <c r="D305" s="742" t="s">
        <v>502</v>
      </c>
      <c r="E305" s="739"/>
      <c r="F305" s="281"/>
      <c r="G305" s="332">
        <f t="shared" si="403"/>
        <v>12253</v>
      </c>
      <c r="H305" s="278">
        <v>11934</v>
      </c>
      <c r="I305" s="278">
        <v>319</v>
      </c>
      <c r="J305" s="349" t="str">
        <f t="shared" si="408"/>
        <v>-</v>
      </c>
      <c r="K305" s="332">
        <f t="shared" si="404"/>
        <v>37292</v>
      </c>
      <c r="L305" s="272">
        <f t="shared" si="405"/>
        <v>35802</v>
      </c>
      <c r="M305" s="273">
        <f t="shared" si="406"/>
        <v>1490</v>
      </c>
      <c r="N305" s="335" t="str">
        <f t="shared" si="407"/>
        <v>-</v>
      </c>
      <c r="O305" s="263">
        <f t="shared" si="371"/>
        <v>3.9954950123350853E-2</v>
      </c>
    </row>
    <row r="306" spans="1:15" ht="24" x14ac:dyDescent="0.25">
      <c r="A306" s="274"/>
      <c r="B306" s="849"/>
      <c r="C306" s="721" t="s">
        <v>331</v>
      </c>
      <c r="D306" s="742" t="s">
        <v>502</v>
      </c>
      <c r="E306" s="739"/>
      <c r="F306" s="281"/>
      <c r="G306" s="332">
        <f t="shared" si="403"/>
        <v>100680</v>
      </c>
      <c r="H306" s="278">
        <f>35802+63648</f>
        <v>99450</v>
      </c>
      <c r="I306" s="278">
        <f>606+624</f>
        <v>1230</v>
      </c>
      <c r="J306" s="349" t="str">
        <f t="shared" si="408"/>
        <v>-</v>
      </c>
      <c r="K306" s="332">
        <f t="shared" si="404"/>
        <v>100680</v>
      </c>
      <c r="L306" s="272">
        <f t="shared" si="405"/>
        <v>99450</v>
      </c>
      <c r="M306" s="273">
        <f t="shared" si="406"/>
        <v>1230</v>
      </c>
      <c r="N306" s="335" t="str">
        <f t="shared" si="407"/>
        <v>-</v>
      </c>
      <c r="O306" s="263">
        <f t="shared" si="371"/>
        <v>1.2216924910607866E-2</v>
      </c>
    </row>
    <row r="307" spans="1:15" ht="24" x14ac:dyDescent="0.25">
      <c r="A307" s="274"/>
      <c r="B307" s="849"/>
      <c r="C307" s="721" t="s">
        <v>429</v>
      </c>
      <c r="D307" s="742" t="s">
        <v>480</v>
      </c>
      <c r="E307" s="739"/>
      <c r="F307" s="281"/>
      <c r="G307" s="332">
        <f t="shared" si="403"/>
        <v>0</v>
      </c>
      <c r="H307" s="278">
        <v>0</v>
      </c>
      <c r="I307" s="278">
        <v>0</v>
      </c>
      <c r="J307" s="349" t="str">
        <f t="shared" si="408"/>
        <v>-</v>
      </c>
      <c r="K307" s="332">
        <f t="shared" si="404"/>
        <v>0</v>
      </c>
      <c r="L307" s="272">
        <f t="shared" si="405"/>
        <v>0</v>
      </c>
      <c r="M307" s="272">
        <f t="shared" si="406"/>
        <v>0</v>
      </c>
      <c r="N307" s="335" t="str">
        <f t="shared" si="407"/>
        <v>-</v>
      </c>
      <c r="O307" s="263" t="str">
        <f t="shared" si="371"/>
        <v>-</v>
      </c>
    </row>
    <row r="308" spans="1:15" ht="24" x14ac:dyDescent="0.25">
      <c r="A308" s="274"/>
      <c r="B308" s="849"/>
      <c r="C308" s="721" t="s">
        <v>380</v>
      </c>
      <c r="D308" s="742" t="s">
        <v>364</v>
      </c>
      <c r="E308" s="739"/>
      <c r="F308" s="281"/>
      <c r="G308" s="332">
        <f t="shared" si="403"/>
        <v>0</v>
      </c>
      <c r="H308" s="278">
        <v>0</v>
      </c>
      <c r="I308" s="278">
        <v>0</v>
      </c>
      <c r="J308" s="349" t="str">
        <f t="shared" si="408"/>
        <v>-</v>
      </c>
      <c r="K308" s="332">
        <f t="shared" si="404"/>
        <v>0</v>
      </c>
      <c r="L308" s="272">
        <f t="shared" si="405"/>
        <v>0</v>
      </c>
      <c r="M308" s="273">
        <f t="shared" si="406"/>
        <v>0</v>
      </c>
      <c r="N308" s="335" t="str">
        <f t="shared" si="407"/>
        <v>-</v>
      </c>
      <c r="O308" s="263" t="str">
        <f t="shared" si="371"/>
        <v>-</v>
      </c>
    </row>
    <row r="309" spans="1:15" ht="24.75" thickBot="1" x14ac:dyDescent="0.3">
      <c r="A309" s="274" t="s">
        <v>101</v>
      </c>
      <c r="B309" s="849"/>
      <c r="C309" s="737" t="s">
        <v>504</v>
      </c>
      <c r="D309" s="744" t="s">
        <v>288</v>
      </c>
      <c r="E309" s="739"/>
      <c r="F309" s="281"/>
      <c r="G309" s="332">
        <f t="shared" si="403"/>
        <v>84703</v>
      </c>
      <c r="H309" s="278">
        <f>43758+39780</f>
        <v>83538</v>
      </c>
      <c r="I309" s="278">
        <f>564+601</f>
        <v>1165</v>
      </c>
      <c r="J309" s="349" t="str">
        <f t="shared" si="408"/>
        <v>-</v>
      </c>
      <c r="K309" s="332">
        <f t="shared" si="404"/>
        <v>109171</v>
      </c>
      <c r="L309" s="272">
        <f t="shared" si="405"/>
        <v>107406</v>
      </c>
      <c r="M309" s="273">
        <f t="shared" si="406"/>
        <v>1765</v>
      </c>
      <c r="N309" s="335" t="str">
        <f t="shared" si="407"/>
        <v>-</v>
      </c>
      <c r="O309" s="345">
        <f t="shared" si="371"/>
        <v>1.6167297175989959E-2</v>
      </c>
    </row>
    <row r="310" spans="1:15" ht="23.25" thickBot="1" x14ac:dyDescent="0.3">
      <c r="A310" s="274" t="s">
        <v>101</v>
      </c>
      <c r="B310" s="866"/>
      <c r="C310" s="300"/>
      <c r="D310" s="740" t="s">
        <v>52</v>
      </c>
      <c r="E310" s="283">
        <f>SUM(E300:E309)</f>
        <v>0</v>
      </c>
      <c r="F310" s="284">
        <v>160000</v>
      </c>
      <c r="G310" s="319">
        <f>SUM(G300:G309)</f>
        <v>197636</v>
      </c>
      <c r="H310" s="320">
        <f>SUM(H300:H309)</f>
        <v>194922</v>
      </c>
      <c r="I310" s="320">
        <f>SUM(I300:I309)</f>
        <v>2714</v>
      </c>
      <c r="J310" s="343">
        <f>+G310/F310</f>
        <v>1.235225</v>
      </c>
      <c r="K310" s="319">
        <f>SUM(K300:K309)</f>
        <v>247143</v>
      </c>
      <c r="L310" s="320">
        <f>SUM(L300:L309)</f>
        <v>242658</v>
      </c>
      <c r="M310" s="321">
        <f>SUM(M300:M309)</f>
        <v>4485</v>
      </c>
      <c r="N310" s="337" t="str">
        <f t="shared" si="407"/>
        <v>-</v>
      </c>
      <c r="O310" s="343">
        <f t="shared" si="371"/>
        <v>1.8147388354110779E-2</v>
      </c>
    </row>
    <row r="311" spans="1:15" ht="24" x14ac:dyDescent="0.25">
      <c r="A311" s="274" t="s">
        <v>101</v>
      </c>
      <c r="B311" s="848" t="s">
        <v>28</v>
      </c>
      <c r="C311" s="298" t="s">
        <v>27</v>
      </c>
      <c r="D311" s="296" t="s">
        <v>468</v>
      </c>
      <c r="E311" s="270"/>
      <c r="F311" s="271"/>
      <c r="G311" s="330">
        <f t="shared" ref="G311:G315" si="409">+H311+I311</f>
        <v>0</v>
      </c>
      <c r="H311" s="272">
        <v>0</v>
      </c>
      <c r="I311" s="272">
        <v>0</v>
      </c>
      <c r="J311" s="349" t="str">
        <f>IFERROR(G311/F311,"-")</f>
        <v>-</v>
      </c>
      <c r="K311" s="330">
        <f t="shared" ref="K311:K317" si="410">+L311+M311</f>
        <v>0</v>
      </c>
      <c r="L311" s="272">
        <f t="shared" ref="L311:L317" si="411">+H311+L193</f>
        <v>0</v>
      </c>
      <c r="M311" s="273">
        <f t="shared" ref="M311:M317" si="412">+I311+M193</f>
        <v>0</v>
      </c>
      <c r="N311" s="334" t="str">
        <f t="shared" si="407"/>
        <v>-</v>
      </c>
      <c r="O311" s="344" t="str">
        <f t="shared" si="371"/>
        <v>-</v>
      </c>
    </row>
    <row r="312" spans="1:15" ht="24" x14ac:dyDescent="0.25">
      <c r="A312" s="274" t="s">
        <v>101</v>
      </c>
      <c r="B312" s="849"/>
      <c r="C312" s="298" t="s">
        <v>383</v>
      </c>
      <c r="D312" s="298" t="s">
        <v>332</v>
      </c>
      <c r="E312" s="276"/>
      <c r="F312" s="277"/>
      <c r="G312" s="331">
        <f t="shared" si="409"/>
        <v>0</v>
      </c>
      <c r="H312" s="278">
        <v>0</v>
      </c>
      <c r="I312" s="278">
        <v>0</v>
      </c>
      <c r="J312" s="349" t="str">
        <f t="shared" ref="J312:J317" si="413">IFERROR(G312/F312,"-")</f>
        <v>-</v>
      </c>
      <c r="K312" s="331">
        <f t="shared" si="410"/>
        <v>0</v>
      </c>
      <c r="L312" s="272">
        <f t="shared" si="411"/>
        <v>0</v>
      </c>
      <c r="M312" s="273">
        <f t="shared" si="412"/>
        <v>0</v>
      </c>
      <c r="N312" s="335" t="str">
        <f t="shared" si="407"/>
        <v>-</v>
      </c>
      <c r="O312" s="263" t="str">
        <f t="shared" si="371"/>
        <v>-</v>
      </c>
    </row>
    <row r="313" spans="1:15" ht="24" x14ac:dyDescent="0.25">
      <c r="A313" s="274" t="s">
        <v>101</v>
      </c>
      <c r="B313" s="849"/>
      <c r="C313" s="298" t="s">
        <v>27</v>
      </c>
      <c r="D313" s="298" t="s">
        <v>332</v>
      </c>
      <c r="E313" s="276"/>
      <c r="F313" s="277"/>
      <c r="G313" s="331">
        <f t="shared" si="409"/>
        <v>0</v>
      </c>
      <c r="H313" s="278">
        <v>0</v>
      </c>
      <c r="I313" s="278">
        <v>0</v>
      </c>
      <c r="J313" s="349" t="str">
        <f t="shared" si="413"/>
        <v>-</v>
      </c>
      <c r="K313" s="331">
        <f t="shared" si="410"/>
        <v>0</v>
      </c>
      <c r="L313" s="272">
        <f t="shared" si="411"/>
        <v>0</v>
      </c>
      <c r="M313" s="273">
        <f t="shared" si="412"/>
        <v>0</v>
      </c>
      <c r="N313" s="335" t="str">
        <f t="shared" si="407"/>
        <v>-</v>
      </c>
      <c r="O313" s="263" t="str">
        <f t="shared" si="371"/>
        <v>-</v>
      </c>
    </row>
    <row r="314" spans="1:15" ht="24" x14ac:dyDescent="0.25">
      <c r="A314" s="274"/>
      <c r="B314" s="849"/>
      <c r="C314" s="298" t="s">
        <v>454</v>
      </c>
      <c r="D314" s="298" t="s">
        <v>332</v>
      </c>
      <c r="E314" s="280"/>
      <c r="F314" s="281"/>
      <c r="G314" s="331">
        <f t="shared" si="409"/>
        <v>0</v>
      </c>
      <c r="H314" s="278">
        <v>0</v>
      </c>
      <c r="I314" s="278">
        <v>0</v>
      </c>
      <c r="J314" s="349" t="str">
        <f t="shared" si="413"/>
        <v>-</v>
      </c>
      <c r="K314" s="331">
        <f t="shared" si="410"/>
        <v>0</v>
      </c>
      <c r="L314" s="272">
        <f t="shared" si="411"/>
        <v>0</v>
      </c>
      <c r="M314" s="273">
        <f t="shared" si="412"/>
        <v>0</v>
      </c>
      <c r="N314" s="335" t="str">
        <f t="shared" si="407"/>
        <v>-</v>
      </c>
      <c r="O314" s="263" t="str">
        <f t="shared" si="371"/>
        <v>-</v>
      </c>
    </row>
    <row r="315" spans="1:15" ht="24" x14ac:dyDescent="0.25">
      <c r="A315" s="274" t="s">
        <v>101</v>
      </c>
      <c r="B315" s="849"/>
      <c r="C315" s="298" t="s">
        <v>503</v>
      </c>
      <c r="D315" s="742" t="s">
        <v>502</v>
      </c>
      <c r="E315" s="280"/>
      <c r="F315" s="281"/>
      <c r="G315" s="332">
        <f t="shared" si="409"/>
        <v>36392</v>
      </c>
      <c r="H315" s="278">
        <v>35802</v>
      </c>
      <c r="I315" s="278">
        <v>590</v>
      </c>
      <c r="J315" s="349" t="str">
        <f t="shared" si="413"/>
        <v>-</v>
      </c>
      <c r="K315" s="332">
        <f t="shared" si="410"/>
        <v>81337</v>
      </c>
      <c r="L315" s="272">
        <f t="shared" si="411"/>
        <v>79560</v>
      </c>
      <c r="M315" s="806">
        <f t="shared" si="412"/>
        <v>1777</v>
      </c>
      <c r="N315" s="336" t="str">
        <f t="shared" si="407"/>
        <v>-</v>
      </c>
      <c r="O315" s="345">
        <f t="shared" si="371"/>
        <v>2.1847375733061215E-2</v>
      </c>
    </row>
    <row r="316" spans="1:15" ht="24" x14ac:dyDescent="0.25">
      <c r="A316" s="274"/>
      <c r="B316" s="849"/>
      <c r="C316" s="298" t="s">
        <v>452</v>
      </c>
      <c r="D316" s="742" t="s">
        <v>502</v>
      </c>
      <c r="E316" s="280"/>
      <c r="F316" s="281"/>
      <c r="G316" s="332"/>
      <c r="H316" s="278">
        <v>91494</v>
      </c>
      <c r="I316" s="278">
        <v>897</v>
      </c>
      <c r="J316" s="349" t="str">
        <f t="shared" si="413"/>
        <v>-</v>
      </c>
      <c r="K316" s="332">
        <f t="shared" si="410"/>
        <v>92391</v>
      </c>
      <c r="L316" s="272">
        <f t="shared" si="411"/>
        <v>91494</v>
      </c>
      <c r="M316" s="674">
        <f t="shared" si="412"/>
        <v>897</v>
      </c>
      <c r="N316" s="336" t="str">
        <f t="shared" si="407"/>
        <v>-</v>
      </c>
      <c r="O316" s="345">
        <f t="shared" si="371"/>
        <v>9.7087378640776691E-3</v>
      </c>
    </row>
    <row r="317" spans="1:15" ht="24.75" thickBot="1" x14ac:dyDescent="0.3">
      <c r="A317" s="274" t="s">
        <v>101</v>
      </c>
      <c r="B317" s="849"/>
      <c r="C317" s="737" t="s">
        <v>504</v>
      </c>
      <c r="D317" s="299" t="s">
        <v>178</v>
      </c>
      <c r="E317" s="280"/>
      <c r="F317" s="281"/>
      <c r="G317" s="332">
        <f t="shared" ref="G317" si="414">+H317+I317</f>
        <v>28474</v>
      </c>
      <c r="H317" s="278">
        <v>27846</v>
      </c>
      <c r="I317" s="278">
        <v>628</v>
      </c>
      <c r="J317" s="349" t="str">
        <f t="shared" si="413"/>
        <v>-</v>
      </c>
      <c r="K317" s="332">
        <f t="shared" si="410"/>
        <v>72892</v>
      </c>
      <c r="L317" s="272">
        <f t="shared" si="411"/>
        <v>71604</v>
      </c>
      <c r="M317" s="806">
        <f t="shared" si="412"/>
        <v>1288</v>
      </c>
      <c r="N317" s="336" t="str">
        <f t="shared" si="407"/>
        <v>-</v>
      </c>
      <c r="O317" s="345">
        <f t="shared" si="371"/>
        <v>1.7669977500960325E-2</v>
      </c>
    </row>
    <row r="318" spans="1:15" ht="23.25" thickBot="1" x14ac:dyDescent="0.3">
      <c r="A318" s="274" t="s">
        <v>101</v>
      </c>
      <c r="B318" s="849"/>
      <c r="C318" s="303"/>
      <c r="D318" s="304" t="s">
        <v>52</v>
      </c>
      <c r="E318" s="305">
        <f>SUM(E311:E317)</f>
        <v>0</v>
      </c>
      <c r="F318" s="306">
        <v>80000</v>
      </c>
      <c r="G318" s="364">
        <f>SUM(G311:G317)</f>
        <v>64866</v>
      </c>
      <c r="H318" s="363">
        <f>SUM(H311:H317)</f>
        <v>155142</v>
      </c>
      <c r="I318" s="363">
        <f>SUM(I311:I317)</f>
        <v>2115</v>
      </c>
      <c r="J318" s="354">
        <f>+G318/F318</f>
        <v>0.81082500000000002</v>
      </c>
      <c r="K318" s="364">
        <f>SUM(K311:K317)</f>
        <v>246620</v>
      </c>
      <c r="L318" s="363">
        <f>SUM(L311:L317)</f>
        <v>242658</v>
      </c>
      <c r="M318" s="365">
        <f>SUM(M311:M317)</f>
        <v>3962</v>
      </c>
      <c r="N318" s="353" t="str">
        <f t="shared" si="407"/>
        <v>-</v>
      </c>
      <c r="O318" s="354">
        <f t="shared" si="371"/>
        <v>1.6065201524612764E-2</v>
      </c>
    </row>
    <row r="319" spans="1:15" ht="23.25" thickBot="1" x14ac:dyDescent="0.3">
      <c r="A319" s="805" t="s">
        <v>101</v>
      </c>
      <c r="B319" s="850" t="s">
        <v>162</v>
      </c>
      <c r="C319" s="851"/>
      <c r="D319" s="852"/>
      <c r="E319" s="307">
        <f>+E318+E310</f>
        <v>0</v>
      </c>
      <c r="F319" s="308">
        <f>+F318+F310</f>
        <v>240000</v>
      </c>
      <c r="G319" s="367">
        <f>+G310+G318</f>
        <v>262502</v>
      </c>
      <c r="H319" s="366">
        <f>+H310+H318</f>
        <v>350064</v>
      </c>
      <c r="I319" s="366">
        <f>+I310+I318</f>
        <v>4829</v>
      </c>
      <c r="J319" s="356">
        <f>+G319/F319</f>
        <v>1.0937583333333334</v>
      </c>
      <c r="K319" s="367">
        <f>+K310+K318</f>
        <v>493763</v>
      </c>
      <c r="L319" s="366">
        <f>+L310+L318</f>
        <v>485316</v>
      </c>
      <c r="M319" s="368">
        <f>+M310+M318</f>
        <v>8447</v>
      </c>
      <c r="N319" s="355" t="str">
        <f>IFERROR(K319/E319,"-")</f>
        <v>-</v>
      </c>
      <c r="O319" s="356">
        <f t="shared" si="371"/>
        <v>1.7107397678643398E-2</v>
      </c>
    </row>
    <row r="320" spans="1:15" ht="24" x14ac:dyDescent="0.25">
      <c r="A320" s="274" t="s">
        <v>101</v>
      </c>
      <c r="B320" s="849" t="s">
        <v>30</v>
      </c>
      <c r="C320" s="302" t="s">
        <v>441</v>
      </c>
      <c r="D320" s="298" t="s">
        <v>468</v>
      </c>
      <c r="E320" s="270"/>
      <c r="F320" s="271"/>
      <c r="G320" s="330">
        <f t="shared" ref="G320:G322" si="415">+H320+I320</f>
        <v>0</v>
      </c>
      <c r="H320" s="272">
        <v>0</v>
      </c>
      <c r="I320" s="272">
        <v>0</v>
      </c>
      <c r="J320" s="349" t="str">
        <f>IFERROR(G320/F320,"-")</f>
        <v>-</v>
      </c>
      <c r="K320" s="330">
        <f t="shared" ref="K320:K322" si="416">+L320+M320</f>
        <v>0</v>
      </c>
      <c r="L320" s="272">
        <f t="shared" ref="L320:L322" si="417">+H320+L202</f>
        <v>0</v>
      </c>
      <c r="M320" s="273">
        <f t="shared" ref="M320:M322" si="418">+I320+M202</f>
        <v>0</v>
      </c>
      <c r="N320" s="334" t="str">
        <f t="shared" ref="N320:N333" si="419">IFERROR(K320/E320,"-")</f>
        <v>-</v>
      </c>
      <c r="O320" s="344" t="str">
        <f t="shared" si="371"/>
        <v>-</v>
      </c>
    </row>
    <row r="321" spans="1:15" ht="24" x14ac:dyDescent="0.25">
      <c r="A321" s="274" t="s">
        <v>101</v>
      </c>
      <c r="B321" s="849"/>
      <c r="C321" s="299" t="s">
        <v>482</v>
      </c>
      <c r="D321" s="302" t="s">
        <v>476</v>
      </c>
      <c r="E321" s="276"/>
      <c r="F321" s="277"/>
      <c r="G321" s="331">
        <f t="shared" si="415"/>
        <v>0</v>
      </c>
      <c r="H321" s="278">
        <v>0</v>
      </c>
      <c r="I321" s="278">
        <v>0</v>
      </c>
      <c r="J321" s="349" t="str">
        <f t="shared" ref="J321:J322" si="420">IFERROR(G321/F321,"-")</f>
        <v>-</v>
      </c>
      <c r="K321" s="331">
        <f t="shared" si="416"/>
        <v>0</v>
      </c>
      <c r="L321" s="272">
        <f t="shared" si="417"/>
        <v>0</v>
      </c>
      <c r="M321" s="273">
        <f t="shared" si="418"/>
        <v>0</v>
      </c>
      <c r="N321" s="335" t="str">
        <f t="shared" si="419"/>
        <v>-</v>
      </c>
      <c r="O321" s="263" t="str">
        <f t="shared" si="371"/>
        <v>-</v>
      </c>
    </row>
    <row r="322" spans="1:15" ht="24.75" thickBot="1" x14ac:dyDescent="0.3">
      <c r="A322" s="274" t="s">
        <v>101</v>
      </c>
      <c r="B322" s="849"/>
      <c r="C322" s="299" t="s">
        <v>290</v>
      </c>
      <c r="D322" s="299" t="s">
        <v>364</v>
      </c>
      <c r="E322" s="280"/>
      <c r="F322" s="281"/>
      <c r="G322" s="332">
        <f t="shared" si="415"/>
        <v>0</v>
      </c>
      <c r="H322" s="282">
        <v>0</v>
      </c>
      <c r="I322" s="282">
        <v>0</v>
      </c>
      <c r="J322" s="349" t="str">
        <f t="shared" si="420"/>
        <v>-</v>
      </c>
      <c r="K322" s="332">
        <f t="shared" si="416"/>
        <v>4844</v>
      </c>
      <c r="L322" s="272">
        <f t="shared" si="417"/>
        <v>3744</v>
      </c>
      <c r="M322" s="273">
        <f t="shared" si="418"/>
        <v>1100</v>
      </c>
      <c r="N322" s="336" t="str">
        <f t="shared" si="419"/>
        <v>-</v>
      </c>
      <c r="O322" s="345">
        <f t="shared" si="371"/>
        <v>0.22708505367464904</v>
      </c>
    </row>
    <row r="323" spans="1:15" ht="23.25" thickBot="1" x14ac:dyDescent="0.3">
      <c r="A323" s="274" t="s">
        <v>101</v>
      </c>
      <c r="B323" s="849"/>
      <c r="C323" s="300"/>
      <c r="D323" s="301" t="s">
        <v>50</v>
      </c>
      <c r="E323" s="283">
        <f>SUM(E320:E322)</f>
        <v>0</v>
      </c>
      <c r="F323" s="284">
        <v>50000</v>
      </c>
      <c r="G323" s="319">
        <f>SUM(G320:G322)</f>
        <v>0</v>
      </c>
      <c r="H323" s="320">
        <f>SUM(H320:H322)</f>
        <v>0</v>
      </c>
      <c r="I323" s="320">
        <f>SUM(I320:I322)</f>
        <v>0</v>
      </c>
      <c r="J323" s="343">
        <f>+G323/F323</f>
        <v>0</v>
      </c>
      <c r="K323" s="319">
        <f>SUM(K320:K322)</f>
        <v>4844</v>
      </c>
      <c r="L323" s="320">
        <f>SUM(L320:L322)</f>
        <v>3744</v>
      </c>
      <c r="M323" s="321">
        <f>SUM(M320:M322)</f>
        <v>1100</v>
      </c>
      <c r="N323" s="337" t="str">
        <f t="shared" si="419"/>
        <v>-</v>
      </c>
      <c r="O323" s="343">
        <f t="shared" si="371"/>
        <v>0.22708505367464904</v>
      </c>
    </row>
    <row r="324" spans="1:15" ht="24" x14ac:dyDescent="0.25">
      <c r="A324" s="274" t="s">
        <v>101</v>
      </c>
      <c r="B324" s="849"/>
      <c r="C324" s="296" t="s">
        <v>430</v>
      </c>
      <c r="D324" s="296" t="s">
        <v>92</v>
      </c>
      <c r="E324" s="270"/>
      <c r="F324" s="271"/>
      <c r="G324" s="330">
        <f t="shared" ref="G324:G329" si="421">+H324+I324</f>
        <v>0</v>
      </c>
      <c r="H324" s="272">
        <v>0</v>
      </c>
      <c r="I324" s="272">
        <v>0</v>
      </c>
      <c r="J324" s="349" t="str">
        <f>IFERROR(G324/F324,"-")</f>
        <v>-</v>
      </c>
      <c r="K324" s="330">
        <f t="shared" ref="K324:K329" si="422">+L324+M324</f>
        <v>0</v>
      </c>
      <c r="L324" s="272">
        <f t="shared" ref="L324:L329" si="423">+H324+L206</f>
        <v>0</v>
      </c>
      <c r="M324" s="273">
        <f t="shared" ref="M324:M329" si="424">+I324+M206</f>
        <v>0</v>
      </c>
      <c r="N324" s="334" t="str">
        <f t="shared" si="419"/>
        <v>-</v>
      </c>
      <c r="O324" s="344" t="str">
        <f t="shared" si="371"/>
        <v>-</v>
      </c>
    </row>
    <row r="325" spans="1:15" ht="24" x14ac:dyDescent="0.25">
      <c r="A325" s="274"/>
      <c r="B325" s="849"/>
      <c r="C325" s="302" t="s">
        <v>444</v>
      </c>
      <c r="D325" s="298" t="s">
        <v>332</v>
      </c>
      <c r="E325" s="270"/>
      <c r="F325" s="271"/>
      <c r="G325" s="330">
        <f t="shared" si="421"/>
        <v>0</v>
      </c>
      <c r="H325" s="272">
        <v>0</v>
      </c>
      <c r="I325" s="272">
        <v>0</v>
      </c>
      <c r="J325" s="349" t="str">
        <f t="shared" ref="J325:J329" si="425">IFERROR(G325/F325,"-")</f>
        <v>-</v>
      </c>
      <c r="K325" s="330">
        <f t="shared" si="422"/>
        <v>0</v>
      </c>
      <c r="L325" s="272">
        <f t="shared" si="423"/>
        <v>0</v>
      </c>
      <c r="M325" s="273">
        <f t="shared" si="424"/>
        <v>0</v>
      </c>
      <c r="N325" s="335" t="str">
        <f t="shared" si="419"/>
        <v>-</v>
      </c>
      <c r="O325" s="344" t="str">
        <f t="shared" si="371"/>
        <v>-</v>
      </c>
    </row>
    <row r="326" spans="1:15" ht="24" x14ac:dyDescent="0.25">
      <c r="A326" s="274"/>
      <c r="B326" s="849"/>
      <c r="C326" s="302" t="s">
        <v>447</v>
      </c>
      <c r="D326" s="298" t="s">
        <v>332</v>
      </c>
      <c r="E326" s="270"/>
      <c r="F326" s="271"/>
      <c r="G326" s="330">
        <f t="shared" si="421"/>
        <v>0</v>
      </c>
      <c r="H326" s="272">
        <v>0</v>
      </c>
      <c r="I326" s="272">
        <v>0</v>
      </c>
      <c r="J326" s="349" t="str">
        <f t="shared" si="425"/>
        <v>-</v>
      </c>
      <c r="K326" s="330">
        <f t="shared" si="422"/>
        <v>0</v>
      </c>
      <c r="L326" s="272">
        <f t="shared" si="423"/>
        <v>0</v>
      </c>
      <c r="M326" s="273">
        <f t="shared" si="424"/>
        <v>0</v>
      </c>
      <c r="N326" s="335" t="str">
        <f t="shared" si="419"/>
        <v>-</v>
      </c>
      <c r="O326" s="344" t="str">
        <f t="shared" si="371"/>
        <v>-</v>
      </c>
    </row>
    <row r="327" spans="1:15" ht="24" x14ac:dyDescent="0.25">
      <c r="A327" s="274" t="s">
        <v>101</v>
      </c>
      <c r="B327" s="849"/>
      <c r="C327" s="302" t="s">
        <v>474</v>
      </c>
      <c r="D327" s="299" t="s">
        <v>421</v>
      </c>
      <c r="E327" s="276"/>
      <c r="F327" s="277"/>
      <c r="G327" s="331">
        <f t="shared" si="421"/>
        <v>0</v>
      </c>
      <c r="H327" s="278">
        <v>0</v>
      </c>
      <c r="I327" s="272">
        <v>0</v>
      </c>
      <c r="J327" s="349" t="str">
        <f t="shared" si="425"/>
        <v>-</v>
      </c>
      <c r="K327" s="331">
        <f t="shared" si="422"/>
        <v>0</v>
      </c>
      <c r="L327" s="272">
        <f t="shared" si="423"/>
        <v>0</v>
      </c>
      <c r="M327" s="273">
        <f t="shared" si="424"/>
        <v>0</v>
      </c>
      <c r="N327" s="335" t="str">
        <f t="shared" si="419"/>
        <v>-</v>
      </c>
      <c r="O327" s="263" t="str">
        <f t="shared" si="371"/>
        <v>-</v>
      </c>
    </row>
    <row r="328" spans="1:15" ht="24" x14ac:dyDescent="0.25">
      <c r="A328" s="274"/>
      <c r="B328" s="849"/>
      <c r="C328" s="299" t="s">
        <v>453</v>
      </c>
      <c r="D328" s="299" t="s">
        <v>364</v>
      </c>
      <c r="E328" s="280"/>
      <c r="F328" s="281"/>
      <c r="G328" s="332">
        <f t="shared" si="421"/>
        <v>0</v>
      </c>
      <c r="H328" s="282">
        <v>0</v>
      </c>
      <c r="I328" s="278">
        <v>0</v>
      </c>
      <c r="J328" s="349" t="str">
        <f t="shared" si="425"/>
        <v>-</v>
      </c>
      <c r="K328" s="331">
        <f t="shared" si="422"/>
        <v>0</v>
      </c>
      <c r="L328" s="272">
        <f t="shared" si="423"/>
        <v>0</v>
      </c>
      <c r="M328" s="272">
        <f t="shared" si="424"/>
        <v>0</v>
      </c>
      <c r="N328" s="335" t="str">
        <f t="shared" si="419"/>
        <v>-</v>
      </c>
      <c r="O328" s="263" t="str">
        <f t="shared" si="371"/>
        <v>-</v>
      </c>
    </row>
    <row r="329" spans="1:15" ht="24.75" thickBot="1" x14ac:dyDescent="0.3">
      <c r="A329" s="274" t="s">
        <v>101</v>
      </c>
      <c r="B329" s="849"/>
      <c r="C329" s="299" t="s">
        <v>431</v>
      </c>
      <c r="D329" s="299" t="s">
        <v>421</v>
      </c>
      <c r="E329" s="280"/>
      <c r="F329" s="281"/>
      <c r="G329" s="332">
        <f t="shared" si="421"/>
        <v>0</v>
      </c>
      <c r="H329" s="282">
        <v>0</v>
      </c>
      <c r="I329" s="272">
        <v>0</v>
      </c>
      <c r="J329" s="349" t="str">
        <f t="shared" si="425"/>
        <v>-</v>
      </c>
      <c r="K329" s="332">
        <f t="shared" si="422"/>
        <v>0</v>
      </c>
      <c r="L329" s="272">
        <f t="shared" si="423"/>
        <v>0</v>
      </c>
      <c r="M329" s="273">
        <f t="shared" si="424"/>
        <v>0</v>
      </c>
      <c r="N329" s="336" t="str">
        <f t="shared" si="419"/>
        <v>-</v>
      </c>
      <c r="O329" s="345" t="str">
        <f t="shared" si="371"/>
        <v>-</v>
      </c>
    </row>
    <row r="330" spans="1:15" ht="23.25" thickBot="1" x14ac:dyDescent="0.3">
      <c r="A330" s="274" t="s">
        <v>101</v>
      </c>
      <c r="B330" s="849"/>
      <c r="C330" s="303"/>
      <c r="D330" s="304" t="s">
        <v>51</v>
      </c>
      <c r="E330" s="305">
        <f>SUM(E324:E329)</f>
        <v>0</v>
      </c>
      <c r="F330" s="306">
        <v>50000</v>
      </c>
      <c r="G330" s="364">
        <f>SUM(G324:G329)</f>
        <v>0</v>
      </c>
      <c r="H330" s="363">
        <f t="shared" ref="H330:I330" si="426">SUM(H324:H329)</f>
        <v>0</v>
      </c>
      <c r="I330" s="363">
        <f t="shared" si="426"/>
        <v>0</v>
      </c>
      <c r="J330" s="354">
        <f>+G330/F330</f>
        <v>0</v>
      </c>
      <c r="K330" s="364">
        <f t="shared" ref="K330:M330" si="427">SUM(K324:K329)</f>
        <v>0</v>
      </c>
      <c r="L330" s="363">
        <f t="shared" si="427"/>
        <v>0</v>
      </c>
      <c r="M330" s="365">
        <f t="shared" si="427"/>
        <v>0</v>
      </c>
      <c r="N330" s="353" t="str">
        <f t="shared" si="419"/>
        <v>-</v>
      </c>
      <c r="O330" s="354" t="str">
        <f t="shared" si="371"/>
        <v>-</v>
      </c>
    </row>
    <row r="331" spans="1:15" ht="23.25" thickBot="1" x14ac:dyDescent="0.3">
      <c r="A331" s="274" t="s">
        <v>101</v>
      </c>
      <c r="B331" s="850" t="s">
        <v>163</v>
      </c>
      <c r="C331" s="851"/>
      <c r="D331" s="852"/>
      <c r="E331" s="307">
        <f>+E330+E323</f>
        <v>0</v>
      </c>
      <c r="F331" s="308">
        <v>50000</v>
      </c>
      <c r="G331" s="367">
        <f>+G323+G330</f>
        <v>0</v>
      </c>
      <c r="H331" s="366">
        <f t="shared" ref="H331:I331" si="428">+H323+H330</f>
        <v>0</v>
      </c>
      <c r="I331" s="366">
        <f t="shared" si="428"/>
        <v>0</v>
      </c>
      <c r="J331" s="356">
        <f>+G331/F331</f>
        <v>0</v>
      </c>
      <c r="K331" s="367">
        <f t="shared" ref="K331:M331" si="429">+K323+K330</f>
        <v>4844</v>
      </c>
      <c r="L331" s="366">
        <f t="shared" si="429"/>
        <v>3744</v>
      </c>
      <c r="M331" s="368">
        <f t="shared" si="429"/>
        <v>1100</v>
      </c>
      <c r="N331" s="355" t="str">
        <f t="shared" si="419"/>
        <v>-</v>
      </c>
      <c r="O331" s="356">
        <f t="shared" si="371"/>
        <v>0.22708505367464904</v>
      </c>
    </row>
    <row r="332" spans="1:15" ht="24.75" thickBot="1" x14ac:dyDescent="0.3">
      <c r="A332" s="274" t="s">
        <v>101</v>
      </c>
      <c r="B332" s="591" t="s">
        <v>32</v>
      </c>
      <c r="C332" s="800"/>
      <c r="D332" s="309" t="s">
        <v>32</v>
      </c>
      <c r="E332" s="286">
        <v>0</v>
      </c>
      <c r="F332" s="287">
        <v>110000</v>
      </c>
      <c r="G332" s="333">
        <f t="shared" ref="G332" si="430">+H332+I332</f>
        <v>0</v>
      </c>
      <c r="H332" s="288">
        <v>0</v>
      </c>
      <c r="I332" s="288">
        <v>0</v>
      </c>
      <c r="J332" s="352">
        <f>IFERROR(G332/F332,"-")</f>
        <v>0</v>
      </c>
      <c r="K332" s="333">
        <f>+L332+M332</f>
        <v>0</v>
      </c>
      <c r="L332" s="288">
        <f>+H332+L214</f>
        <v>0</v>
      </c>
      <c r="M332" s="289">
        <f>+I332+M214</f>
        <v>0</v>
      </c>
      <c r="N332" s="338" t="str">
        <f t="shared" si="419"/>
        <v>-</v>
      </c>
      <c r="O332" s="346" t="str">
        <f t="shared" si="371"/>
        <v>-</v>
      </c>
    </row>
    <row r="333" spans="1:15" ht="23.25" thickBot="1" x14ac:dyDescent="0.3">
      <c r="A333" s="274" t="s">
        <v>101</v>
      </c>
      <c r="B333" s="853" t="s">
        <v>21</v>
      </c>
      <c r="C333" s="854"/>
      <c r="D333" s="855"/>
      <c r="E333" s="324">
        <f>+E319+E331+E332</f>
        <v>0</v>
      </c>
      <c r="F333" s="325">
        <f>+F319+F331+F332</f>
        <v>400000</v>
      </c>
      <c r="G333" s="324">
        <f>+G319+G331+G332</f>
        <v>262502</v>
      </c>
      <c r="H333" s="322">
        <f>+H319+H331+H332</f>
        <v>350064</v>
      </c>
      <c r="I333" s="322">
        <f>+I319+I331+I332</f>
        <v>4829</v>
      </c>
      <c r="J333" s="347">
        <f>+G333/F333</f>
        <v>0.65625500000000003</v>
      </c>
      <c r="K333" s="324">
        <f>+K319+K331+K332</f>
        <v>498607</v>
      </c>
      <c r="L333" s="322">
        <f>+L319+L331+L332</f>
        <v>489060</v>
      </c>
      <c r="M333" s="323">
        <f>+M319+M331+M332</f>
        <v>9547</v>
      </c>
      <c r="N333" s="339" t="str">
        <f t="shared" si="419"/>
        <v>-</v>
      </c>
      <c r="O333" s="347">
        <f t="shared" si="371"/>
        <v>1.9147344501781963E-2</v>
      </c>
    </row>
    <row r="334" spans="1:15" ht="23.25" thickBot="1" x14ac:dyDescent="0.3">
      <c r="A334" s="274" t="s">
        <v>101</v>
      </c>
      <c r="B334" s="839" t="s">
        <v>171</v>
      </c>
      <c r="C334" s="840"/>
      <c r="D334" s="841"/>
      <c r="E334" s="328">
        <f>+E333</f>
        <v>0</v>
      </c>
      <c r="F334" s="329">
        <f t="shared" ref="F334:I334" si="431">+F333</f>
        <v>400000</v>
      </c>
      <c r="G334" s="328">
        <f t="shared" si="431"/>
        <v>262502</v>
      </c>
      <c r="H334" s="326">
        <f t="shared" si="431"/>
        <v>350064</v>
      </c>
      <c r="I334" s="326">
        <f t="shared" si="431"/>
        <v>4829</v>
      </c>
      <c r="J334" s="732">
        <f>+G334/F334</f>
        <v>0.65625500000000003</v>
      </c>
      <c r="K334" s="328">
        <f>+K333</f>
        <v>498607</v>
      </c>
      <c r="L334" s="326">
        <f t="shared" ref="L334" si="432">+L333</f>
        <v>489060</v>
      </c>
      <c r="M334" s="327">
        <f>+M333</f>
        <v>9547</v>
      </c>
      <c r="N334" s="340" t="str">
        <f t="shared" ref="N334:O334" si="433">+N333</f>
        <v>-</v>
      </c>
      <c r="O334" s="348">
        <f t="shared" si="433"/>
        <v>1.9147344501781963E-2</v>
      </c>
    </row>
    <row r="335" spans="1:15" ht="24" x14ac:dyDescent="0.25">
      <c r="A335" s="268" t="s">
        <v>102</v>
      </c>
      <c r="B335" s="842" t="s">
        <v>399</v>
      </c>
      <c r="C335" s="310" t="s">
        <v>113</v>
      </c>
      <c r="D335" s="310"/>
      <c r="E335" s="270"/>
      <c r="F335" s="271"/>
      <c r="G335" s="330">
        <f t="shared" ref="G335:G337" si="434">+H335+I335</f>
        <v>0</v>
      </c>
      <c r="H335" s="272">
        <v>0</v>
      </c>
      <c r="I335" s="272">
        <v>0</v>
      </c>
      <c r="J335" s="349" t="str">
        <f>IFERROR(G335/F335,"-")</f>
        <v>-</v>
      </c>
      <c r="K335" s="330">
        <f t="shared" ref="K335:K337" si="435">+L335+M335</f>
        <v>0</v>
      </c>
      <c r="L335" s="272">
        <f t="shared" ref="L335:L337" si="436">+H335+L217</f>
        <v>0</v>
      </c>
      <c r="M335" s="273">
        <f t="shared" ref="M335:M337" si="437">+I335+M217</f>
        <v>0</v>
      </c>
      <c r="N335" s="334" t="str">
        <f t="shared" ref="N335:N342" si="438">IFERROR(K335/E335,"-")</f>
        <v>-</v>
      </c>
      <c r="O335" s="344" t="str">
        <f t="shared" ref="O335:O360" si="439">IFERROR(M335/K335,"-")</f>
        <v>-</v>
      </c>
    </row>
    <row r="336" spans="1:15" ht="24" x14ac:dyDescent="0.25">
      <c r="A336" s="274" t="s">
        <v>102</v>
      </c>
      <c r="B336" s="843"/>
      <c r="C336" s="311" t="s">
        <v>246</v>
      </c>
      <c r="D336" s="311"/>
      <c r="E336" s="276"/>
      <c r="F336" s="277"/>
      <c r="G336" s="331">
        <f t="shared" si="434"/>
        <v>0</v>
      </c>
      <c r="H336" s="278">
        <v>0</v>
      </c>
      <c r="I336" s="278">
        <v>0</v>
      </c>
      <c r="J336" s="349" t="str">
        <f t="shared" ref="J336:J337" si="440">IFERROR(G336/F336,"-")</f>
        <v>-</v>
      </c>
      <c r="K336" s="331">
        <f t="shared" si="435"/>
        <v>0</v>
      </c>
      <c r="L336" s="272">
        <f t="shared" si="436"/>
        <v>0</v>
      </c>
      <c r="M336" s="273">
        <f t="shared" si="437"/>
        <v>0</v>
      </c>
      <c r="N336" s="335" t="str">
        <f t="shared" si="438"/>
        <v>-</v>
      </c>
      <c r="O336" s="263" t="str">
        <f t="shared" si="439"/>
        <v>-</v>
      </c>
    </row>
    <row r="337" spans="1:15" ht="24.75" thickBot="1" x14ac:dyDescent="0.3">
      <c r="A337" s="274" t="s">
        <v>102</v>
      </c>
      <c r="B337" s="844"/>
      <c r="C337" s="312" t="s">
        <v>33</v>
      </c>
      <c r="D337" s="312"/>
      <c r="E337" s="280"/>
      <c r="F337" s="281"/>
      <c r="G337" s="332">
        <f t="shared" si="434"/>
        <v>0</v>
      </c>
      <c r="H337" s="282">
        <v>0</v>
      </c>
      <c r="I337" s="282">
        <v>0</v>
      </c>
      <c r="J337" s="349" t="str">
        <f t="shared" si="440"/>
        <v>-</v>
      </c>
      <c r="K337" s="332">
        <f t="shared" si="435"/>
        <v>0</v>
      </c>
      <c r="L337" s="272">
        <f t="shared" si="436"/>
        <v>0</v>
      </c>
      <c r="M337" s="273">
        <f t="shared" si="437"/>
        <v>0</v>
      </c>
      <c r="N337" s="336" t="str">
        <f t="shared" si="438"/>
        <v>-</v>
      </c>
      <c r="O337" s="345" t="str">
        <f t="shared" si="439"/>
        <v>-</v>
      </c>
    </row>
    <row r="338" spans="1:15" ht="23.25" thickBot="1" x14ac:dyDescent="0.3">
      <c r="A338" s="274" t="s">
        <v>102</v>
      </c>
      <c r="B338" s="845" t="s">
        <v>34</v>
      </c>
      <c r="C338" s="846"/>
      <c r="D338" s="847"/>
      <c r="E338" s="283">
        <f>SUM(E335:E337)</f>
        <v>0</v>
      </c>
      <c r="F338" s="284">
        <v>6500</v>
      </c>
      <c r="G338" s="319">
        <f>SUM(G335:G337)</f>
        <v>0</v>
      </c>
      <c r="H338" s="320">
        <f t="shared" ref="H338:I338" si="441">SUM(H335:H337)</f>
        <v>0</v>
      </c>
      <c r="I338" s="320">
        <f t="shared" si="441"/>
        <v>0</v>
      </c>
      <c r="J338" s="343">
        <f>IFERROR(G338/F338,"-")</f>
        <v>0</v>
      </c>
      <c r="K338" s="319">
        <f t="shared" ref="K338:M338" si="442">SUM(K335:K337)</f>
        <v>0</v>
      </c>
      <c r="L338" s="320">
        <f t="shared" si="442"/>
        <v>0</v>
      </c>
      <c r="M338" s="321">
        <f t="shared" si="442"/>
        <v>0</v>
      </c>
      <c r="N338" s="337" t="str">
        <f t="shared" si="438"/>
        <v>-</v>
      </c>
      <c r="O338" s="343" t="str">
        <f t="shared" si="439"/>
        <v>-</v>
      </c>
    </row>
    <row r="339" spans="1:15" ht="24" x14ac:dyDescent="0.25">
      <c r="A339" s="274" t="s">
        <v>102</v>
      </c>
      <c r="B339" s="842" t="s">
        <v>35</v>
      </c>
      <c r="C339" s="310" t="s">
        <v>113</v>
      </c>
      <c r="D339" s="310"/>
      <c r="E339" s="270"/>
      <c r="F339" s="271"/>
      <c r="G339" s="330">
        <f t="shared" ref="G339:G342" si="443">+H339+I339</f>
        <v>0</v>
      </c>
      <c r="H339" s="272">
        <v>0</v>
      </c>
      <c r="I339" s="272">
        <v>0</v>
      </c>
      <c r="J339" s="349" t="str">
        <f>IFERROR(G339/F339,"-")</f>
        <v>-</v>
      </c>
      <c r="K339" s="330">
        <f t="shared" ref="K339:K342" si="444">+L339+M339</f>
        <v>0</v>
      </c>
      <c r="L339" s="272">
        <f t="shared" ref="L339:L342" si="445">+H339+L221</f>
        <v>0</v>
      </c>
      <c r="M339" s="273">
        <f t="shared" ref="M339:M342" si="446">+I339+M221</f>
        <v>0</v>
      </c>
      <c r="N339" s="334" t="str">
        <f t="shared" si="438"/>
        <v>-</v>
      </c>
      <c r="O339" s="344" t="str">
        <f t="shared" si="439"/>
        <v>-</v>
      </c>
    </row>
    <row r="340" spans="1:15" ht="24" x14ac:dyDescent="0.25">
      <c r="A340" s="274" t="s">
        <v>102</v>
      </c>
      <c r="B340" s="843"/>
      <c r="C340" s="311" t="s">
        <v>246</v>
      </c>
      <c r="D340" s="311"/>
      <c r="E340" s="276"/>
      <c r="F340" s="277"/>
      <c r="G340" s="331">
        <f t="shared" si="443"/>
        <v>0</v>
      </c>
      <c r="H340" s="278">
        <v>0</v>
      </c>
      <c r="I340" s="278">
        <v>0</v>
      </c>
      <c r="J340" s="349" t="str">
        <f t="shared" ref="J340:J342" si="447">IFERROR(G340/F340,"-")</f>
        <v>-</v>
      </c>
      <c r="K340" s="331">
        <f t="shared" si="444"/>
        <v>0</v>
      </c>
      <c r="L340" s="272">
        <f t="shared" si="445"/>
        <v>0</v>
      </c>
      <c r="M340" s="273">
        <f t="shared" si="446"/>
        <v>0</v>
      </c>
      <c r="N340" s="335" t="str">
        <f t="shared" si="438"/>
        <v>-</v>
      </c>
      <c r="O340" s="263" t="str">
        <f t="shared" si="439"/>
        <v>-</v>
      </c>
    </row>
    <row r="341" spans="1:15" ht="24" x14ac:dyDescent="0.25">
      <c r="A341" s="274" t="s">
        <v>102</v>
      </c>
      <c r="B341" s="843"/>
      <c r="C341" s="311" t="s">
        <v>469</v>
      </c>
      <c r="D341" s="311"/>
      <c r="E341" s="276"/>
      <c r="F341" s="277"/>
      <c r="G341" s="331">
        <f t="shared" si="443"/>
        <v>0</v>
      </c>
      <c r="H341" s="278">
        <v>0</v>
      </c>
      <c r="I341" s="278">
        <v>0</v>
      </c>
      <c r="J341" s="349" t="str">
        <f t="shared" si="447"/>
        <v>-</v>
      </c>
      <c r="K341" s="331">
        <f t="shared" si="444"/>
        <v>0</v>
      </c>
      <c r="L341" s="272">
        <f t="shared" si="445"/>
        <v>0</v>
      </c>
      <c r="M341" s="273">
        <f t="shared" si="446"/>
        <v>0</v>
      </c>
      <c r="N341" s="335" t="str">
        <f t="shared" si="438"/>
        <v>-</v>
      </c>
      <c r="O341" s="263" t="str">
        <f t="shared" si="439"/>
        <v>-</v>
      </c>
    </row>
    <row r="342" spans="1:15" ht="24.75" thickBot="1" x14ac:dyDescent="0.3">
      <c r="A342" s="274" t="s">
        <v>102</v>
      </c>
      <c r="B342" s="844"/>
      <c r="C342" s="312" t="s">
        <v>36</v>
      </c>
      <c r="D342" s="312"/>
      <c r="E342" s="280"/>
      <c r="F342" s="281"/>
      <c r="G342" s="332">
        <f t="shared" si="443"/>
        <v>0</v>
      </c>
      <c r="H342" s="278">
        <v>0</v>
      </c>
      <c r="I342" s="278">
        <v>0</v>
      </c>
      <c r="J342" s="349" t="str">
        <f t="shared" si="447"/>
        <v>-</v>
      </c>
      <c r="K342" s="332">
        <f t="shared" si="444"/>
        <v>0</v>
      </c>
      <c r="L342" s="272">
        <f t="shared" si="445"/>
        <v>0</v>
      </c>
      <c r="M342" s="273">
        <f t="shared" si="446"/>
        <v>0</v>
      </c>
      <c r="N342" s="336" t="str">
        <f t="shared" si="438"/>
        <v>-</v>
      </c>
      <c r="O342" s="345" t="str">
        <f t="shared" si="439"/>
        <v>-</v>
      </c>
    </row>
    <row r="343" spans="1:15" ht="23.25" thickBot="1" x14ac:dyDescent="0.3">
      <c r="A343" s="274" t="s">
        <v>102</v>
      </c>
      <c r="B343" s="845" t="s">
        <v>37</v>
      </c>
      <c r="C343" s="846"/>
      <c r="D343" s="847"/>
      <c r="E343" s="283">
        <f>SUM(E339:E342)</f>
        <v>0</v>
      </c>
      <c r="F343" s="284">
        <v>6500</v>
      </c>
      <c r="G343" s="319">
        <f>SUM(G339:G342)</f>
        <v>0</v>
      </c>
      <c r="H343" s="320">
        <f t="shared" ref="H343:I343" si="448">SUM(H339:H342)</f>
        <v>0</v>
      </c>
      <c r="I343" s="320">
        <f t="shared" si="448"/>
        <v>0</v>
      </c>
      <c r="J343" s="343">
        <f>IFERROR(G343/F343,"-")</f>
        <v>0</v>
      </c>
      <c r="K343" s="319">
        <f t="shared" ref="K343:M343" si="449">SUM(K339:K342)</f>
        <v>0</v>
      </c>
      <c r="L343" s="320">
        <f t="shared" si="449"/>
        <v>0</v>
      </c>
      <c r="M343" s="321">
        <f t="shared" si="449"/>
        <v>0</v>
      </c>
      <c r="N343" s="337" t="str">
        <f>IFERROR(K343/E343,"-")</f>
        <v>-</v>
      </c>
      <c r="O343" s="343" t="str">
        <f t="shared" si="439"/>
        <v>-</v>
      </c>
    </row>
    <row r="344" spans="1:15" ht="24" x14ac:dyDescent="0.25">
      <c r="A344" s="274" t="s">
        <v>102</v>
      </c>
      <c r="B344" s="842" t="s">
        <v>400</v>
      </c>
      <c r="C344" s="313" t="s">
        <v>116</v>
      </c>
      <c r="D344" s="313"/>
      <c r="E344" s="270"/>
      <c r="F344" s="271"/>
      <c r="G344" s="330">
        <f t="shared" ref="G344:G345" si="450">+H344+I344</f>
        <v>0</v>
      </c>
      <c r="H344" s="272">
        <v>0</v>
      </c>
      <c r="I344" s="272">
        <v>0</v>
      </c>
      <c r="J344" s="349" t="str">
        <f>IFERROR(G344/F344,"-")</f>
        <v>-</v>
      </c>
      <c r="K344" s="330">
        <f t="shared" ref="K344:K345" si="451">+L344+M344</f>
        <v>0</v>
      </c>
      <c r="L344" s="272">
        <f t="shared" ref="L344:L345" si="452">+H344+L226</f>
        <v>0</v>
      </c>
      <c r="M344" s="273">
        <f t="shared" ref="M344:M345" si="453">+I344+M226</f>
        <v>0</v>
      </c>
      <c r="N344" s="334" t="str">
        <f t="shared" ref="N344:N360" si="454">IFERROR(K344/E344,"-")</f>
        <v>-</v>
      </c>
      <c r="O344" s="344" t="str">
        <f t="shared" si="439"/>
        <v>-</v>
      </c>
    </row>
    <row r="345" spans="1:15" ht="24.75" thickBot="1" x14ac:dyDescent="0.3">
      <c r="A345" s="274" t="s">
        <v>102</v>
      </c>
      <c r="B345" s="844"/>
      <c r="C345" s="285" t="s">
        <v>132</v>
      </c>
      <c r="D345" s="285"/>
      <c r="E345" s="280"/>
      <c r="F345" s="281"/>
      <c r="G345" s="332">
        <f t="shared" si="450"/>
        <v>0</v>
      </c>
      <c r="H345" s="282">
        <v>0</v>
      </c>
      <c r="I345" s="282">
        <v>0</v>
      </c>
      <c r="J345" s="349" t="str">
        <f>IFERROR(G345/F345,"-")</f>
        <v>-</v>
      </c>
      <c r="K345" s="332">
        <f t="shared" si="451"/>
        <v>0</v>
      </c>
      <c r="L345" s="272">
        <f t="shared" si="452"/>
        <v>0</v>
      </c>
      <c r="M345" s="273">
        <f t="shared" si="453"/>
        <v>0</v>
      </c>
      <c r="N345" s="336" t="str">
        <f t="shared" si="454"/>
        <v>-</v>
      </c>
      <c r="O345" s="345" t="str">
        <f t="shared" si="439"/>
        <v>-</v>
      </c>
    </row>
    <row r="346" spans="1:15" ht="23.25" thickBot="1" x14ac:dyDescent="0.3">
      <c r="A346" s="805" t="s">
        <v>102</v>
      </c>
      <c r="B346" s="845" t="s">
        <v>38</v>
      </c>
      <c r="C346" s="846"/>
      <c r="D346" s="847"/>
      <c r="E346" s="283">
        <f>SUM(E344:E345)</f>
        <v>0</v>
      </c>
      <c r="F346" s="284">
        <v>2800</v>
      </c>
      <c r="G346" s="319">
        <f>SUM(G344:G345)</f>
        <v>0</v>
      </c>
      <c r="H346" s="320">
        <f t="shared" ref="H346:I346" si="455">SUM(H344:H345)</f>
        <v>0</v>
      </c>
      <c r="I346" s="320">
        <f t="shared" si="455"/>
        <v>0</v>
      </c>
      <c r="J346" s="343" t="str">
        <f>IFERROR(G346/F336,"-")</f>
        <v>-</v>
      </c>
      <c r="K346" s="319">
        <f t="shared" ref="K346:M346" si="456">SUM(K344:K345)</f>
        <v>0</v>
      </c>
      <c r="L346" s="320">
        <f t="shared" si="456"/>
        <v>0</v>
      </c>
      <c r="M346" s="321">
        <f t="shared" si="456"/>
        <v>0</v>
      </c>
      <c r="N346" s="337" t="str">
        <f t="shared" si="454"/>
        <v>-</v>
      </c>
      <c r="O346" s="343" t="str">
        <f t="shared" si="439"/>
        <v>-</v>
      </c>
    </row>
    <row r="347" spans="1:15" ht="24" x14ac:dyDescent="0.25">
      <c r="A347" s="274" t="s">
        <v>102</v>
      </c>
      <c r="B347" s="842" t="s">
        <v>401</v>
      </c>
      <c r="C347" s="269" t="s">
        <v>305</v>
      </c>
      <c r="D347" s="269"/>
      <c r="E347" s="270"/>
      <c r="F347" s="314"/>
      <c r="G347" s="330">
        <f t="shared" ref="G347:G351" si="457">+H347+I347</f>
        <v>111502</v>
      </c>
      <c r="H347" s="272">
        <f>70512+19296+20160</f>
        <v>109968</v>
      </c>
      <c r="I347" s="272">
        <f>1101+221+212</f>
        <v>1534</v>
      </c>
      <c r="J347" s="369" t="str">
        <f>IFERROR(G347/F347,"-")</f>
        <v>-</v>
      </c>
      <c r="K347" s="330">
        <f t="shared" ref="K347:K351" si="458">+L347+M347</f>
        <v>118367</v>
      </c>
      <c r="L347" s="272">
        <f t="shared" ref="L347:L351" si="459">+H347+L229</f>
        <v>116688</v>
      </c>
      <c r="M347" s="272">
        <f t="shared" ref="M347:M351" si="460">+I347+M229</f>
        <v>1679</v>
      </c>
      <c r="N347" s="357" t="str">
        <f t="shared" si="454"/>
        <v>-</v>
      </c>
      <c r="O347" s="358">
        <f t="shared" si="439"/>
        <v>1.418469674824909E-2</v>
      </c>
    </row>
    <row r="348" spans="1:15" ht="24" x14ac:dyDescent="0.25">
      <c r="A348" s="274" t="s">
        <v>102</v>
      </c>
      <c r="B348" s="843"/>
      <c r="C348" s="269" t="s">
        <v>306</v>
      </c>
      <c r="D348" s="275"/>
      <c r="E348" s="276"/>
      <c r="F348" s="315"/>
      <c r="G348" s="331">
        <f t="shared" si="457"/>
        <v>0</v>
      </c>
      <c r="H348" s="278">
        <v>0</v>
      </c>
      <c r="I348" s="278">
        <v>0</v>
      </c>
      <c r="J348" s="369" t="str">
        <f t="shared" ref="J348:J351" si="461">IFERROR(G348/F348,"-")</f>
        <v>-</v>
      </c>
      <c r="K348" s="331">
        <f t="shared" si="458"/>
        <v>0</v>
      </c>
      <c r="L348" s="272">
        <f t="shared" si="459"/>
        <v>0</v>
      </c>
      <c r="M348" s="273">
        <f t="shared" si="460"/>
        <v>0</v>
      </c>
      <c r="N348" s="359" t="str">
        <f t="shared" si="454"/>
        <v>-</v>
      </c>
      <c r="O348" s="360" t="str">
        <f t="shared" si="439"/>
        <v>-</v>
      </c>
    </row>
    <row r="349" spans="1:15" ht="24" x14ac:dyDescent="0.25">
      <c r="A349" s="274" t="s">
        <v>102</v>
      </c>
      <c r="B349" s="843"/>
      <c r="C349" s="275" t="s">
        <v>472</v>
      </c>
      <c r="D349" s="275"/>
      <c r="E349" s="276"/>
      <c r="F349" s="315"/>
      <c r="G349" s="331">
        <f t="shared" si="457"/>
        <v>0</v>
      </c>
      <c r="H349" s="278"/>
      <c r="I349" s="278"/>
      <c r="J349" s="369" t="str">
        <f t="shared" si="461"/>
        <v>-</v>
      </c>
      <c r="K349" s="331">
        <f t="shared" si="458"/>
        <v>40870</v>
      </c>
      <c r="L349" s="272">
        <f t="shared" si="459"/>
        <v>40296</v>
      </c>
      <c r="M349" s="273">
        <f t="shared" si="460"/>
        <v>574</v>
      </c>
      <c r="N349" s="359" t="str">
        <f t="shared" si="454"/>
        <v>-</v>
      </c>
      <c r="O349" s="360">
        <f t="shared" si="439"/>
        <v>1.4044531441154881E-2</v>
      </c>
    </row>
    <row r="350" spans="1:15" ht="24" x14ac:dyDescent="0.25">
      <c r="A350" s="274" t="s">
        <v>102</v>
      </c>
      <c r="B350" s="843"/>
      <c r="C350" s="275" t="s">
        <v>157</v>
      </c>
      <c r="D350" s="275"/>
      <c r="E350" s="276"/>
      <c r="F350" s="315"/>
      <c r="G350" s="331">
        <f t="shared" si="457"/>
        <v>0</v>
      </c>
      <c r="H350" s="278">
        <v>0</v>
      </c>
      <c r="I350" s="278">
        <v>0</v>
      </c>
      <c r="J350" s="369" t="str">
        <f t="shared" si="461"/>
        <v>-</v>
      </c>
      <c r="K350" s="331">
        <f t="shared" si="458"/>
        <v>0</v>
      </c>
      <c r="L350" s="272">
        <f t="shared" si="459"/>
        <v>0</v>
      </c>
      <c r="M350" s="273">
        <f t="shared" si="460"/>
        <v>0</v>
      </c>
      <c r="N350" s="359" t="str">
        <f t="shared" si="454"/>
        <v>-</v>
      </c>
      <c r="O350" s="360" t="str">
        <f t="shared" si="439"/>
        <v>-</v>
      </c>
    </row>
    <row r="351" spans="1:15" ht="24.75" thickBot="1" x14ac:dyDescent="0.3">
      <c r="A351" s="274" t="s">
        <v>102</v>
      </c>
      <c r="B351" s="844"/>
      <c r="C351" s="279" t="s">
        <v>158</v>
      </c>
      <c r="D351" s="279"/>
      <c r="E351" s="280"/>
      <c r="F351" s="316"/>
      <c r="G351" s="332">
        <f t="shared" si="457"/>
        <v>0</v>
      </c>
      <c r="H351" s="278">
        <v>0</v>
      </c>
      <c r="I351" s="278">
        <v>0</v>
      </c>
      <c r="J351" s="369" t="str">
        <f t="shared" si="461"/>
        <v>-</v>
      </c>
      <c r="K351" s="332">
        <f t="shared" si="458"/>
        <v>0</v>
      </c>
      <c r="L351" s="272">
        <f t="shared" si="459"/>
        <v>0</v>
      </c>
      <c r="M351" s="273">
        <f t="shared" si="460"/>
        <v>0</v>
      </c>
      <c r="N351" s="361" t="str">
        <f t="shared" si="454"/>
        <v>-</v>
      </c>
      <c r="O351" s="362" t="str">
        <f t="shared" si="439"/>
        <v>-</v>
      </c>
    </row>
    <row r="352" spans="1:15" ht="23.25" thickBot="1" x14ac:dyDescent="0.3">
      <c r="A352" s="274" t="s">
        <v>102</v>
      </c>
      <c r="B352" s="845" t="s">
        <v>39</v>
      </c>
      <c r="C352" s="846"/>
      <c r="D352" s="847"/>
      <c r="E352" s="319">
        <f>SUM(E347:E351)</f>
        <v>0</v>
      </c>
      <c r="F352" s="284">
        <v>25000</v>
      </c>
      <c r="G352" s="319">
        <f>SUM(G347:G351)</f>
        <v>111502</v>
      </c>
      <c r="H352" s="320">
        <f>SUM(H347:H351)</f>
        <v>109968</v>
      </c>
      <c r="I352" s="320">
        <f>SUM(I347:I351)</f>
        <v>1534</v>
      </c>
      <c r="J352" s="343">
        <f>IFERROR(G352/F352,"-")</f>
        <v>4.4600799999999996</v>
      </c>
      <c r="K352" s="319">
        <f>SUM(K347:K351)</f>
        <v>159237</v>
      </c>
      <c r="L352" s="320">
        <f>SUM(L347:L351)</f>
        <v>156984</v>
      </c>
      <c r="M352" s="321">
        <f>SUM(M347:M351)</f>
        <v>2253</v>
      </c>
      <c r="N352" s="337" t="str">
        <f t="shared" si="454"/>
        <v>-</v>
      </c>
      <c r="O352" s="343">
        <f t="shared" si="439"/>
        <v>1.4148721716686449E-2</v>
      </c>
    </row>
    <row r="353" spans="1:15" ht="24" x14ac:dyDescent="0.25">
      <c r="A353" s="274" t="s">
        <v>102</v>
      </c>
      <c r="B353" s="842" t="s">
        <v>402</v>
      </c>
      <c r="C353" s="269" t="s">
        <v>186</v>
      </c>
      <c r="D353" s="269"/>
      <c r="E353" s="270"/>
      <c r="F353" s="271"/>
      <c r="G353" s="330">
        <f t="shared" ref="G353:G355" si="462">+H353+I353</f>
        <v>0</v>
      </c>
      <c r="H353" s="272">
        <v>0</v>
      </c>
      <c r="I353" s="272">
        <v>0</v>
      </c>
      <c r="J353" s="349" t="str">
        <f>IFERROR(G353/F353,"-")</f>
        <v>-</v>
      </c>
      <c r="K353" s="330">
        <f t="shared" ref="K353:K355" si="463">+L353+M353</f>
        <v>0</v>
      </c>
      <c r="L353" s="272">
        <f t="shared" ref="L353:L355" si="464">+H353+L235</f>
        <v>0</v>
      </c>
      <c r="M353" s="273">
        <f t="shared" ref="M353:M355" si="465">+I353+M235</f>
        <v>0</v>
      </c>
      <c r="N353" s="334" t="str">
        <f t="shared" si="454"/>
        <v>-</v>
      </c>
      <c r="O353" s="344" t="str">
        <f t="shared" si="439"/>
        <v>-</v>
      </c>
    </row>
    <row r="354" spans="1:15" ht="24" x14ac:dyDescent="0.25">
      <c r="A354" s="274" t="s">
        <v>102</v>
      </c>
      <c r="B354" s="843"/>
      <c r="C354" s="275" t="s">
        <v>470</v>
      </c>
      <c r="D354" s="275"/>
      <c r="E354" s="276"/>
      <c r="F354" s="277"/>
      <c r="G354" s="331">
        <f t="shared" si="462"/>
        <v>0</v>
      </c>
      <c r="H354" s="278">
        <v>0</v>
      </c>
      <c r="I354" s="278">
        <v>0</v>
      </c>
      <c r="J354" s="349" t="str">
        <f t="shared" ref="J354:J355" si="466">IFERROR(G354/F354,"-")</f>
        <v>-</v>
      </c>
      <c r="K354" s="331">
        <f t="shared" si="463"/>
        <v>0</v>
      </c>
      <c r="L354" s="674">
        <f t="shared" si="464"/>
        <v>0</v>
      </c>
      <c r="M354" s="273">
        <f t="shared" si="465"/>
        <v>0</v>
      </c>
      <c r="N354" s="359" t="str">
        <f t="shared" si="454"/>
        <v>-</v>
      </c>
      <c r="O354" s="360" t="str">
        <f t="shared" si="439"/>
        <v>-</v>
      </c>
    </row>
    <row r="355" spans="1:15" ht="24.75" thickBot="1" x14ac:dyDescent="0.3">
      <c r="A355" s="274" t="s">
        <v>102</v>
      </c>
      <c r="B355" s="844"/>
      <c r="C355" s="279" t="s">
        <v>471</v>
      </c>
      <c r="D355" s="279"/>
      <c r="E355" s="280"/>
      <c r="F355" s="281"/>
      <c r="G355" s="332">
        <f t="shared" si="462"/>
        <v>0</v>
      </c>
      <c r="H355" s="278">
        <v>0</v>
      </c>
      <c r="I355" s="278">
        <v>0</v>
      </c>
      <c r="J355" s="349" t="str">
        <f t="shared" si="466"/>
        <v>-</v>
      </c>
      <c r="K355" s="332">
        <f t="shared" si="463"/>
        <v>0</v>
      </c>
      <c r="L355" s="272">
        <f t="shared" si="464"/>
        <v>0</v>
      </c>
      <c r="M355" s="273">
        <f t="shared" si="465"/>
        <v>0</v>
      </c>
      <c r="N355" s="361" t="str">
        <f t="shared" si="454"/>
        <v>-</v>
      </c>
      <c r="O355" s="362" t="str">
        <f t="shared" si="439"/>
        <v>-</v>
      </c>
    </row>
    <row r="356" spans="1:15" ht="23.25" thickBot="1" x14ac:dyDescent="0.3">
      <c r="A356" s="274" t="s">
        <v>102</v>
      </c>
      <c r="B356" s="862" t="s">
        <v>41</v>
      </c>
      <c r="C356" s="863"/>
      <c r="D356" s="864"/>
      <c r="E356" s="319">
        <f>SUM(E353:E355)</f>
        <v>0</v>
      </c>
      <c r="F356" s="284"/>
      <c r="G356" s="319">
        <f>SUM(G353:G355)</f>
        <v>0</v>
      </c>
      <c r="H356" s="320">
        <f t="shared" ref="H356:I356" si="467">SUM(H353:H355)</f>
        <v>0</v>
      </c>
      <c r="I356" s="320">
        <f t="shared" si="467"/>
        <v>0</v>
      </c>
      <c r="J356" s="343" t="str">
        <f>IFERROR(G356/F356,"-")</f>
        <v>-</v>
      </c>
      <c r="K356" s="319">
        <f t="shared" ref="K356:M356" si="468">SUM(K353:K355)</f>
        <v>0</v>
      </c>
      <c r="L356" s="363">
        <f t="shared" si="468"/>
        <v>0</v>
      </c>
      <c r="M356" s="365">
        <f t="shared" si="468"/>
        <v>0</v>
      </c>
      <c r="N356" s="337" t="str">
        <f t="shared" si="454"/>
        <v>-</v>
      </c>
      <c r="O356" s="343" t="str">
        <f t="shared" si="439"/>
        <v>-</v>
      </c>
    </row>
    <row r="357" spans="1:15" ht="24.75" thickBot="1" x14ac:dyDescent="0.3">
      <c r="A357" s="274" t="s">
        <v>102</v>
      </c>
      <c r="B357" s="842" t="s">
        <v>42</v>
      </c>
      <c r="C357" s="269" t="s">
        <v>160</v>
      </c>
      <c r="D357" s="269"/>
      <c r="E357" s="270"/>
      <c r="F357" s="271"/>
      <c r="G357" s="330">
        <f t="shared" ref="G357:G358" si="469">+H357+I357</f>
        <v>0</v>
      </c>
      <c r="H357" s="272"/>
      <c r="I357" s="272"/>
      <c r="J357" s="369" t="str">
        <f>IFERROR(G357/F357,"-")</f>
        <v>-</v>
      </c>
      <c r="K357" s="656">
        <f t="shared" ref="K357:K358" si="470">+L357+M357</f>
        <v>18234</v>
      </c>
      <c r="L357" s="649">
        <f t="shared" ref="L357:L358" si="471">+H357+L239</f>
        <v>17920</v>
      </c>
      <c r="M357" s="649">
        <f t="shared" ref="M357:M358" si="472">+I357+M239</f>
        <v>314</v>
      </c>
      <c r="N357" s="357" t="str">
        <f t="shared" si="454"/>
        <v>-</v>
      </c>
      <c r="O357" s="358">
        <f t="shared" si="439"/>
        <v>1.7220576944170233E-2</v>
      </c>
    </row>
    <row r="358" spans="1:15" ht="24.75" thickBot="1" x14ac:dyDescent="0.3">
      <c r="A358" s="274" t="s">
        <v>102</v>
      </c>
      <c r="B358" s="844"/>
      <c r="C358" s="279" t="s">
        <v>161</v>
      </c>
      <c r="D358" s="279"/>
      <c r="E358" s="280"/>
      <c r="F358" s="281"/>
      <c r="G358" s="332">
        <f t="shared" si="469"/>
        <v>0</v>
      </c>
      <c r="H358" s="282">
        <v>0</v>
      </c>
      <c r="I358" s="282">
        <v>0</v>
      </c>
      <c r="J358" s="371" t="str">
        <f>IFERROR(G358/F358,"-")</f>
        <v>-</v>
      </c>
      <c r="K358" s="657">
        <f t="shared" si="470"/>
        <v>0</v>
      </c>
      <c r="L358" s="649">
        <f t="shared" si="471"/>
        <v>0</v>
      </c>
      <c r="M358" s="649">
        <f t="shared" si="472"/>
        <v>0</v>
      </c>
      <c r="N358" s="361" t="str">
        <f t="shared" si="454"/>
        <v>-</v>
      </c>
      <c r="O358" s="362" t="str">
        <f t="shared" si="439"/>
        <v>-</v>
      </c>
    </row>
    <row r="359" spans="1:15" ht="23.25" thickBot="1" x14ac:dyDescent="0.3">
      <c r="A359" s="274" t="s">
        <v>102</v>
      </c>
      <c r="B359" s="862" t="s">
        <v>43</v>
      </c>
      <c r="C359" s="863"/>
      <c r="D359" s="864"/>
      <c r="E359" s="283">
        <f>SUM(E357:E358)</f>
        <v>0</v>
      </c>
      <c r="F359" s="284">
        <v>25000</v>
      </c>
      <c r="G359" s="319">
        <f>SUM(G357:G358)</f>
        <v>0</v>
      </c>
      <c r="H359" s="320">
        <f t="shared" ref="H359:I359" si="473">SUM(H357:H358)</f>
        <v>0</v>
      </c>
      <c r="I359" s="320">
        <f t="shared" si="473"/>
        <v>0</v>
      </c>
      <c r="J359" s="343">
        <f>IFERROR(G359/F359,"-")</f>
        <v>0</v>
      </c>
      <c r="K359" s="719">
        <f t="shared" ref="K359:M359" si="474">SUM(K357:K358)</f>
        <v>18234</v>
      </c>
      <c r="L359" s="720">
        <f t="shared" si="474"/>
        <v>17920</v>
      </c>
      <c r="M359" s="720">
        <f t="shared" si="474"/>
        <v>314</v>
      </c>
      <c r="N359" s="337" t="str">
        <f t="shared" si="454"/>
        <v>-</v>
      </c>
      <c r="O359" s="343">
        <f t="shared" si="439"/>
        <v>1.7220576944170233E-2</v>
      </c>
    </row>
    <row r="360" spans="1:15" ht="23.25" thickBot="1" x14ac:dyDescent="0.3">
      <c r="A360" s="274" t="s">
        <v>102</v>
      </c>
      <c r="B360" s="856" t="s">
        <v>25</v>
      </c>
      <c r="C360" s="857"/>
      <c r="D360" s="858"/>
      <c r="E360" s="324">
        <f t="shared" ref="E360:F360" si="475">+E338+E343+E346+E352+E356+E359</f>
        <v>0</v>
      </c>
      <c r="F360" s="325">
        <f t="shared" si="475"/>
        <v>65800</v>
      </c>
      <c r="G360" s="324">
        <f>+G338+G343+G346+G352+G356+G359</f>
        <v>111502</v>
      </c>
      <c r="H360" s="322">
        <f>+H338+H343+H346+H352+H356+H359</f>
        <v>109968</v>
      </c>
      <c r="I360" s="322">
        <f t="shared" ref="I360" si="476">+I338+I343+I346+I352+I356+I359</f>
        <v>1534</v>
      </c>
      <c r="J360" s="347">
        <f>IFERROR(G360/F360,"-")</f>
        <v>1.6945592705167174</v>
      </c>
      <c r="K360" s="324">
        <f>+K338+K343+K346+K352+K356+K359</f>
        <v>177471</v>
      </c>
      <c r="L360" s="718">
        <f t="shared" ref="L360:M360" si="477">+L338+L343+L346+L352+L356+L359</f>
        <v>174904</v>
      </c>
      <c r="M360" s="323">
        <f t="shared" si="477"/>
        <v>2567</v>
      </c>
      <c r="N360" s="339" t="str">
        <f t="shared" si="454"/>
        <v>-</v>
      </c>
      <c r="O360" s="347">
        <f t="shared" si="439"/>
        <v>1.4464335018115636E-2</v>
      </c>
    </row>
    <row r="361" spans="1:15" ht="23.25" thickBot="1" x14ac:dyDescent="0.3">
      <c r="A361" s="317" t="s">
        <v>102</v>
      </c>
      <c r="B361" s="840" t="s">
        <v>173</v>
      </c>
      <c r="C361" s="840"/>
      <c r="D361" s="841"/>
      <c r="E361" s="328">
        <f>+E360</f>
        <v>0</v>
      </c>
      <c r="F361" s="329">
        <f t="shared" ref="F361:I361" si="478">+F360</f>
        <v>65800</v>
      </c>
      <c r="G361" s="328">
        <f t="shared" si="478"/>
        <v>111502</v>
      </c>
      <c r="H361" s="326">
        <f t="shared" si="478"/>
        <v>109968</v>
      </c>
      <c r="I361" s="326">
        <f t="shared" si="478"/>
        <v>1534</v>
      </c>
      <c r="J361" s="348">
        <f>+G361/F361</f>
        <v>1.6945592705167174</v>
      </c>
      <c r="K361" s="328">
        <f t="shared" ref="K361:O361" si="479">+K360</f>
        <v>177471</v>
      </c>
      <c r="L361" s="326">
        <f t="shared" si="479"/>
        <v>174904</v>
      </c>
      <c r="M361" s="327">
        <f t="shared" si="479"/>
        <v>2567</v>
      </c>
      <c r="N361" s="340" t="str">
        <f t="shared" si="479"/>
        <v>-</v>
      </c>
      <c r="O361" s="348">
        <f t="shared" si="479"/>
        <v>1.4464335018115636E-2</v>
      </c>
    </row>
    <row r="362" spans="1:15" ht="26.25" thickBot="1" x14ac:dyDescent="0.3">
      <c r="A362" s="318"/>
      <c r="B362" s="859" t="s">
        <v>174</v>
      </c>
      <c r="C362" s="860"/>
      <c r="D362" s="861"/>
      <c r="E362" s="372">
        <f>+E299+E334+E361</f>
        <v>0</v>
      </c>
      <c r="F362" s="372">
        <f>+F299+F334+F361</f>
        <v>914800</v>
      </c>
      <c r="G362" s="372">
        <f>+G299+G334+G361</f>
        <v>412831</v>
      </c>
      <c r="H362" s="372">
        <f>+H299+H334+H361</f>
        <v>497805</v>
      </c>
      <c r="I362" s="372">
        <f>+I299+I334+I361</f>
        <v>7417</v>
      </c>
      <c r="J362" s="373">
        <f>IFERROR(G362/F362,"-")</f>
        <v>0.45128006121556624</v>
      </c>
      <c r="K362" s="372">
        <f>+K299+K334+K361</f>
        <v>890385</v>
      </c>
      <c r="L362" s="372">
        <f>+L299+L334+L361</f>
        <v>875908</v>
      </c>
      <c r="M362" s="372">
        <f>+M299+M334+M361</f>
        <v>14477</v>
      </c>
      <c r="N362" s="373" t="str">
        <f>IFERROR(K362/E362,"-")</f>
        <v>-</v>
      </c>
      <c r="O362" s="373">
        <f>IFERROR(M362/K362,"-")</f>
        <v>1.6259258635309446E-2</v>
      </c>
    </row>
    <row r="363" spans="1:15" ht="24.6" customHeight="1" thickBot="1" x14ac:dyDescent="0.3">
      <c r="A363" s="230"/>
      <c r="B363" s="230"/>
      <c r="C363" s="230"/>
      <c r="D363" s="230"/>
      <c r="E363" s="232"/>
      <c r="F363" s="232"/>
      <c r="G363" s="451"/>
      <c r="H363" s="452"/>
      <c r="I363" s="452"/>
      <c r="J363" s="452"/>
      <c r="K363" s="232"/>
      <c r="L363" s="232"/>
      <c r="M363" s="232"/>
      <c r="N363" s="234"/>
      <c r="O363" s="234"/>
    </row>
    <row r="364" spans="1:15" ht="22.5" x14ac:dyDescent="0.25">
      <c r="A364" s="881" t="s">
        <v>1</v>
      </c>
      <c r="B364" s="884" t="s">
        <v>2</v>
      </c>
      <c r="C364" s="887" t="s">
        <v>394</v>
      </c>
      <c r="D364" s="887" t="s">
        <v>395</v>
      </c>
      <c r="E364" s="890" t="s">
        <v>4</v>
      </c>
      <c r="F364" s="891"/>
      <c r="G364" s="891"/>
      <c r="H364" s="891"/>
      <c r="I364" s="891"/>
      <c r="J364" s="891"/>
      <c r="K364" s="891"/>
      <c r="L364" s="891"/>
      <c r="M364" s="891"/>
      <c r="N364" s="891"/>
      <c r="O364" s="892"/>
    </row>
    <row r="365" spans="1:15" ht="22.5" x14ac:dyDescent="0.25">
      <c r="A365" s="882"/>
      <c r="B365" s="885"/>
      <c r="C365" s="888"/>
      <c r="D365" s="888"/>
      <c r="E365" s="893" t="s">
        <v>7</v>
      </c>
      <c r="F365" s="895" t="s">
        <v>108</v>
      </c>
      <c r="G365" s="897" t="s">
        <v>520</v>
      </c>
      <c r="H365" s="898"/>
      <c r="I365" s="898"/>
      <c r="J365" s="899"/>
      <c r="K365" s="900" t="s">
        <v>396</v>
      </c>
      <c r="L365" s="901"/>
      <c r="M365" s="902"/>
      <c r="N365" s="903" t="s">
        <v>397</v>
      </c>
      <c r="O365" s="905" t="s">
        <v>164</v>
      </c>
    </row>
    <row r="366" spans="1:15" ht="41.25" thickBot="1" x14ac:dyDescent="0.3">
      <c r="A366" s="883"/>
      <c r="B366" s="886"/>
      <c r="C366" s="889"/>
      <c r="D366" s="889"/>
      <c r="E366" s="894"/>
      <c r="F366" s="896"/>
      <c r="G366" s="448" t="s">
        <v>13</v>
      </c>
      <c r="H366" s="449" t="s">
        <v>14</v>
      </c>
      <c r="I366" s="449" t="s">
        <v>15</v>
      </c>
      <c r="J366" s="450" t="s">
        <v>166</v>
      </c>
      <c r="K366" s="641" t="s">
        <v>13</v>
      </c>
      <c r="L366" s="639" t="s">
        <v>14</v>
      </c>
      <c r="M366" s="640" t="s">
        <v>15</v>
      </c>
      <c r="N366" s="904"/>
      <c r="O366" s="906"/>
    </row>
    <row r="367" spans="1:15" ht="24" x14ac:dyDescent="0.25">
      <c r="A367" s="268" t="s">
        <v>103</v>
      </c>
      <c r="B367" s="867" t="s">
        <v>16</v>
      </c>
      <c r="C367" s="269" t="s">
        <v>483</v>
      </c>
      <c r="D367" s="269" t="s">
        <v>367</v>
      </c>
      <c r="E367" s="270"/>
      <c r="F367" s="271"/>
      <c r="G367" s="330">
        <f>+H367+I367</f>
        <v>0</v>
      </c>
      <c r="H367" s="272">
        <v>0</v>
      </c>
      <c r="I367" s="272">
        <v>0</v>
      </c>
      <c r="J367" s="350" t="str">
        <f>IFERROR(G367/F367,"-")</f>
        <v>-</v>
      </c>
      <c r="K367" s="655">
        <f>+L367+M367</f>
        <v>0</v>
      </c>
      <c r="L367" s="522">
        <f>+H367+L249</f>
        <v>0</v>
      </c>
      <c r="M367" s="455">
        <f>+I367+M249</f>
        <v>0</v>
      </c>
      <c r="N367" s="334" t="str">
        <f>IFERROR(K367/E367,"-")</f>
        <v>-</v>
      </c>
      <c r="O367" s="341" t="str">
        <f t="shared" ref="O367:O368" si="480">IFERROR(M367/K367,"-")</f>
        <v>-</v>
      </c>
    </row>
    <row r="368" spans="1:15" ht="24" x14ac:dyDescent="0.25">
      <c r="A368" s="274" t="s">
        <v>103</v>
      </c>
      <c r="B368" s="868"/>
      <c r="C368" s="275" t="s">
        <v>374</v>
      </c>
      <c r="D368" s="275" t="s">
        <v>373</v>
      </c>
      <c r="E368" s="276"/>
      <c r="F368" s="277"/>
      <c r="G368" s="331">
        <f t="shared" ref="G368:G370" si="481">+H368+I368</f>
        <v>0</v>
      </c>
      <c r="H368" s="278"/>
      <c r="I368" s="278"/>
      <c r="J368" s="350" t="str">
        <f t="shared" ref="J368:J370" si="482">IFERROR(G368/F368,"-")</f>
        <v>-</v>
      </c>
      <c r="K368" s="651">
        <f t="shared" ref="K368:K370" si="483">+L368+M368</f>
        <v>0</v>
      </c>
      <c r="L368" s="276">
        <f t="shared" ref="L368:L370" si="484">+H368+L250</f>
        <v>0</v>
      </c>
      <c r="M368" s="432">
        <f t="shared" ref="M368:M370" si="485">+I368+M250</f>
        <v>0</v>
      </c>
      <c r="N368" s="335" t="str">
        <f t="shared" ref="N368:N370" si="486">IFERROR(K368/E368,"-")</f>
        <v>-</v>
      </c>
      <c r="O368" s="265" t="str">
        <f t="shared" si="480"/>
        <v>-</v>
      </c>
    </row>
    <row r="369" spans="1:15" ht="24" x14ac:dyDescent="0.25">
      <c r="A369" s="274" t="s">
        <v>103</v>
      </c>
      <c r="B369" s="868"/>
      <c r="C369" s="566" t="s">
        <v>428</v>
      </c>
      <c r="D369" s="566" t="s">
        <v>364</v>
      </c>
      <c r="E369" s="680"/>
      <c r="F369" s="681"/>
      <c r="G369" s="331">
        <f t="shared" si="481"/>
        <v>7240</v>
      </c>
      <c r="H369" s="682">
        <v>7040</v>
      </c>
      <c r="I369" s="682">
        <v>200</v>
      </c>
      <c r="J369" s="350" t="str">
        <f t="shared" si="482"/>
        <v>-</v>
      </c>
      <c r="K369" s="651">
        <f t="shared" si="483"/>
        <v>11548</v>
      </c>
      <c r="L369" s="276">
        <f t="shared" si="484"/>
        <v>11200</v>
      </c>
      <c r="M369" s="432">
        <f t="shared" si="485"/>
        <v>348</v>
      </c>
      <c r="N369" s="335" t="str">
        <f t="shared" si="486"/>
        <v>-</v>
      </c>
      <c r="O369" s="265">
        <f>IFERROR(M369/K369,"-")</f>
        <v>3.0135088326983028E-2</v>
      </c>
    </row>
    <row r="370" spans="1:15" ht="24.75" thickBot="1" x14ac:dyDescent="0.3">
      <c r="A370" s="274" t="s">
        <v>103</v>
      </c>
      <c r="B370" s="869"/>
      <c r="C370" s="279" t="s">
        <v>426</v>
      </c>
      <c r="D370" s="279" t="s">
        <v>372</v>
      </c>
      <c r="E370" s="280">
        <v>100000</v>
      </c>
      <c r="F370" s="281"/>
      <c r="G370" s="332">
        <f t="shared" si="481"/>
        <v>0</v>
      </c>
      <c r="H370" s="272"/>
      <c r="I370" s="272"/>
      <c r="J370" s="350" t="str">
        <f t="shared" si="482"/>
        <v>-</v>
      </c>
      <c r="K370" s="652">
        <f t="shared" si="483"/>
        <v>0</v>
      </c>
      <c r="L370" s="525">
        <f t="shared" si="484"/>
        <v>0</v>
      </c>
      <c r="M370" s="458">
        <f t="shared" si="485"/>
        <v>0</v>
      </c>
      <c r="N370" s="336">
        <f t="shared" si="486"/>
        <v>0</v>
      </c>
      <c r="O370" s="342" t="str">
        <f t="shared" ref="O370:O388" si="487">IFERROR(M370/K370,"-")</f>
        <v>-</v>
      </c>
    </row>
    <row r="371" spans="1:15" ht="23.25" thickBot="1" x14ac:dyDescent="0.3">
      <c r="A371" s="274" t="s">
        <v>103</v>
      </c>
      <c r="B371" s="845" t="s">
        <v>44</v>
      </c>
      <c r="C371" s="846"/>
      <c r="D371" s="847"/>
      <c r="E371" s="319">
        <f>SUM(E367:E370)</f>
        <v>100000</v>
      </c>
      <c r="F371" s="284">
        <v>15000</v>
      </c>
      <c r="G371" s="319">
        <f>SUM(G367:G370)</f>
        <v>7240</v>
      </c>
      <c r="H371" s="320">
        <f t="shared" ref="H371:I371" si="488">SUM(H367:H370)</f>
        <v>7040</v>
      </c>
      <c r="I371" s="320">
        <f t="shared" si="488"/>
        <v>200</v>
      </c>
      <c r="J371" s="343">
        <f>+G371/F371</f>
        <v>0.48266666666666669</v>
      </c>
      <c r="K371" s="319">
        <f t="shared" ref="K371" si="489">SUM(K367:K370)</f>
        <v>11548</v>
      </c>
      <c r="L371" s="653">
        <f>SUM(L367:L370)</f>
        <v>11200</v>
      </c>
      <c r="M371" s="654">
        <f>SUM(M367:M370)</f>
        <v>348</v>
      </c>
      <c r="N371" s="337">
        <f>IFERROR(K371/E371,"-")</f>
        <v>0.11548</v>
      </c>
      <c r="O371" s="343">
        <f t="shared" si="487"/>
        <v>3.0135088326983028E-2</v>
      </c>
    </row>
    <row r="372" spans="1:15" ht="24" x14ac:dyDescent="0.25">
      <c r="A372" s="274" t="s">
        <v>103</v>
      </c>
      <c r="B372" s="867" t="s">
        <v>17</v>
      </c>
      <c r="C372" s="269" t="s">
        <v>293</v>
      </c>
      <c r="D372" s="269"/>
      <c r="E372" s="270"/>
      <c r="F372" s="271"/>
      <c r="G372" s="330">
        <f t="shared" ref="G372:G378" si="490">+H372+I372</f>
        <v>0</v>
      </c>
      <c r="H372" s="272">
        <v>0</v>
      </c>
      <c r="I372" s="272">
        <v>0</v>
      </c>
      <c r="J372" s="349" t="str">
        <f>IFERROR(G372/F372,"-")</f>
        <v>-</v>
      </c>
      <c r="K372" s="655">
        <f t="shared" ref="K372:K378" si="491">+L372+M372</f>
        <v>0</v>
      </c>
      <c r="L372" s="522">
        <f t="shared" ref="L372:L378" si="492">+H372+L254</f>
        <v>0</v>
      </c>
      <c r="M372" s="455">
        <f t="shared" ref="M372:M378" si="493">+I372+M254</f>
        <v>0</v>
      </c>
      <c r="N372" s="334" t="str">
        <f t="shared" ref="N372:N378" si="494">IFERROR(K372/E372,"-")</f>
        <v>-</v>
      </c>
      <c r="O372" s="344" t="str">
        <f t="shared" si="487"/>
        <v>-</v>
      </c>
    </row>
    <row r="373" spans="1:15" ht="24" x14ac:dyDescent="0.25">
      <c r="A373" s="274" t="s">
        <v>103</v>
      </c>
      <c r="B373" s="868"/>
      <c r="C373" s="275" t="s">
        <v>342</v>
      </c>
      <c r="D373" s="275" t="s">
        <v>231</v>
      </c>
      <c r="E373" s="276">
        <v>1400000</v>
      </c>
      <c r="F373" s="277"/>
      <c r="G373" s="331">
        <f t="shared" si="490"/>
        <v>0</v>
      </c>
      <c r="H373" s="278">
        <v>0</v>
      </c>
      <c r="I373" s="278">
        <v>0</v>
      </c>
      <c r="J373" s="349" t="str">
        <f t="shared" ref="J373:J378" si="495">IFERROR(G373/F373,"-")</f>
        <v>-</v>
      </c>
      <c r="K373" s="651">
        <f t="shared" si="491"/>
        <v>0</v>
      </c>
      <c r="L373" s="276">
        <f t="shared" si="492"/>
        <v>0</v>
      </c>
      <c r="M373" s="432">
        <f t="shared" si="493"/>
        <v>0</v>
      </c>
      <c r="N373" s="335">
        <f t="shared" si="494"/>
        <v>0</v>
      </c>
      <c r="O373" s="263" t="str">
        <f t="shared" si="487"/>
        <v>-</v>
      </c>
    </row>
    <row r="374" spans="1:15" ht="24" x14ac:dyDescent="0.25">
      <c r="A374" s="274" t="s">
        <v>103</v>
      </c>
      <c r="B374" s="868"/>
      <c r="C374" s="275" t="s">
        <v>365</v>
      </c>
      <c r="D374" s="275" t="s">
        <v>187</v>
      </c>
      <c r="E374" s="276"/>
      <c r="F374" s="277"/>
      <c r="G374" s="331">
        <f t="shared" si="490"/>
        <v>18568</v>
      </c>
      <c r="H374" s="278">
        <v>18360</v>
      </c>
      <c r="I374" s="278">
        <v>208</v>
      </c>
      <c r="J374" s="349" t="str">
        <f t="shared" si="495"/>
        <v>-</v>
      </c>
      <c r="K374" s="651">
        <f t="shared" si="491"/>
        <v>93023</v>
      </c>
      <c r="L374" s="276">
        <f t="shared" si="492"/>
        <v>91800</v>
      </c>
      <c r="M374" s="432">
        <f t="shared" si="493"/>
        <v>1223</v>
      </c>
      <c r="N374" s="335" t="str">
        <f t="shared" si="494"/>
        <v>-</v>
      </c>
      <c r="O374" s="263">
        <f t="shared" si="487"/>
        <v>1.3147286155036927E-2</v>
      </c>
    </row>
    <row r="375" spans="1:15" ht="24" x14ac:dyDescent="0.25">
      <c r="A375" s="274" t="s">
        <v>103</v>
      </c>
      <c r="B375" s="868"/>
      <c r="C375" s="275" t="s">
        <v>479</v>
      </c>
      <c r="D375" s="275" t="s">
        <v>478</v>
      </c>
      <c r="E375" s="276"/>
      <c r="F375" s="277"/>
      <c r="G375" s="331">
        <f t="shared" si="490"/>
        <v>0</v>
      </c>
      <c r="H375" s="278">
        <v>0</v>
      </c>
      <c r="I375" s="278">
        <v>0</v>
      </c>
      <c r="J375" s="349" t="str">
        <f t="shared" si="495"/>
        <v>-</v>
      </c>
      <c r="K375" s="651">
        <f t="shared" si="491"/>
        <v>0</v>
      </c>
      <c r="L375" s="276">
        <f t="shared" si="492"/>
        <v>0</v>
      </c>
      <c r="M375" s="432">
        <f t="shared" si="493"/>
        <v>0</v>
      </c>
      <c r="N375" s="335" t="str">
        <f t="shared" si="494"/>
        <v>-</v>
      </c>
      <c r="O375" s="263" t="str">
        <f t="shared" si="487"/>
        <v>-</v>
      </c>
    </row>
    <row r="376" spans="1:15" ht="24" x14ac:dyDescent="0.25">
      <c r="A376" s="274" t="s">
        <v>103</v>
      </c>
      <c r="B376" s="868"/>
      <c r="C376" s="275" t="s">
        <v>321</v>
      </c>
      <c r="D376" s="275" t="s">
        <v>316</v>
      </c>
      <c r="E376" s="276"/>
      <c r="F376" s="277"/>
      <c r="G376" s="331">
        <f t="shared" si="490"/>
        <v>0</v>
      </c>
      <c r="H376" s="278">
        <v>0</v>
      </c>
      <c r="I376" s="278">
        <v>0</v>
      </c>
      <c r="J376" s="349" t="str">
        <f t="shared" si="495"/>
        <v>-</v>
      </c>
      <c r="K376" s="651">
        <f t="shared" si="491"/>
        <v>0</v>
      </c>
      <c r="L376" s="276">
        <f t="shared" si="492"/>
        <v>0</v>
      </c>
      <c r="M376" s="432">
        <f t="shared" si="493"/>
        <v>0</v>
      </c>
      <c r="N376" s="335" t="str">
        <f t="shared" si="494"/>
        <v>-</v>
      </c>
      <c r="O376" s="263" t="str">
        <f t="shared" si="487"/>
        <v>-</v>
      </c>
    </row>
    <row r="377" spans="1:15" ht="24" x14ac:dyDescent="0.25">
      <c r="A377" s="274" t="s">
        <v>103</v>
      </c>
      <c r="B377" s="868"/>
      <c r="C377" s="275" t="s">
        <v>477</v>
      </c>
      <c r="D377" s="275" t="s">
        <v>189</v>
      </c>
      <c r="E377" s="276"/>
      <c r="F377" s="277"/>
      <c r="G377" s="331">
        <f t="shared" si="490"/>
        <v>0</v>
      </c>
      <c r="H377" s="278">
        <v>0</v>
      </c>
      <c r="I377" s="278">
        <v>0</v>
      </c>
      <c r="J377" s="349" t="str">
        <f t="shared" si="495"/>
        <v>-</v>
      </c>
      <c r="K377" s="651">
        <f t="shared" si="491"/>
        <v>0</v>
      </c>
      <c r="L377" s="276">
        <f t="shared" si="492"/>
        <v>0</v>
      </c>
      <c r="M377" s="432">
        <f t="shared" si="493"/>
        <v>0</v>
      </c>
      <c r="N377" s="335" t="str">
        <f t="shared" si="494"/>
        <v>-</v>
      </c>
      <c r="O377" s="263" t="str">
        <f t="shared" si="487"/>
        <v>-</v>
      </c>
    </row>
    <row r="378" spans="1:15" ht="24.75" thickBot="1" x14ac:dyDescent="0.3">
      <c r="A378" s="274" t="s">
        <v>103</v>
      </c>
      <c r="B378" s="869"/>
      <c r="C378" s="279" t="s">
        <v>339</v>
      </c>
      <c r="D378" s="279" t="s">
        <v>231</v>
      </c>
      <c r="E378" s="280"/>
      <c r="F378" s="281"/>
      <c r="G378" s="332">
        <f t="shared" si="490"/>
        <v>0</v>
      </c>
      <c r="H378" s="278">
        <v>0</v>
      </c>
      <c r="I378" s="278">
        <v>0</v>
      </c>
      <c r="J378" s="349" t="str">
        <f t="shared" si="495"/>
        <v>-</v>
      </c>
      <c r="K378" s="652">
        <f t="shared" si="491"/>
        <v>0</v>
      </c>
      <c r="L378" s="525">
        <f t="shared" si="492"/>
        <v>0</v>
      </c>
      <c r="M378" s="458">
        <f t="shared" si="493"/>
        <v>0</v>
      </c>
      <c r="N378" s="336" t="str">
        <f t="shared" si="494"/>
        <v>-</v>
      </c>
      <c r="O378" s="345" t="str">
        <f t="shared" si="487"/>
        <v>-</v>
      </c>
    </row>
    <row r="379" spans="1:15" ht="23.25" thickBot="1" x14ac:dyDescent="0.3">
      <c r="A379" s="274" t="s">
        <v>103</v>
      </c>
      <c r="B379" s="845" t="s">
        <v>45</v>
      </c>
      <c r="C379" s="846"/>
      <c r="D379" s="847"/>
      <c r="E379" s="319">
        <f>SUM(E372:E378)</f>
        <v>1400000</v>
      </c>
      <c r="F379" s="284">
        <v>100000</v>
      </c>
      <c r="G379" s="319">
        <f>SUM(G372:G378)</f>
        <v>18568</v>
      </c>
      <c r="H379" s="320">
        <f t="shared" ref="H379:I379" si="496">SUM(H372:H378)</f>
        <v>18360</v>
      </c>
      <c r="I379" s="320">
        <f t="shared" si="496"/>
        <v>208</v>
      </c>
      <c r="J379" s="343">
        <f>+G379/F379</f>
        <v>0.18568000000000001</v>
      </c>
      <c r="K379" s="319">
        <f>SUM(K372:K378)</f>
        <v>93023</v>
      </c>
      <c r="L379" s="515">
        <f>SUM(L372:L378)</f>
        <v>91800</v>
      </c>
      <c r="M379" s="650">
        <f t="shared" ref="M379" si="497">SUM(M372:M378)</f>
        <v>1223</v>
      </c>
      <c r="N379" s="337">
        <f>IFERROR(K379/E379,"-")</f>
        <v>6.6445000000000004E-2</v>
      </c>
      <c r="O379" s="343">
        <f t="shared" si="487"/>
        <v>1.3147286155036927E-2</v>
      </c>
    </row>
    <row r="380" spans="1:15" ht="24" x14ac:dyDescent="0.25">
      <c r="A380" s="274" t="s">
        <v>103</v>
      </c>
      <c r="B380" s="867" t="s">
        <v>18</v>
      </c>
      <c r="C380" s="269" t="s">
        <v>311</v>
      </c>
      <c r="D380" s="269" t="s">
        <v>92</v>
      </c>
      <c r="E380" s="270"/>
      <c r="F380" s="271"/>
      <c r="G380" s="330">
        <f t="shared" ref="G380:G386" si="498">+H380+I380</f>
        <v>0</v>
      </c>
      <c r="H380" s="272">
        <v>0</v>
      </c>
      <c r="I380" s="272">
        <v>0</v>
      </c>
      <c r="J380" s="349" t="str">
        <f>IFERROR(G380/F380,"-")</f>
        <v>-</v>
      </c>
      <c r="K380" s="330">
        <f t="shared" ref="K380:K386" si="499">+L380+M380</f>
        <v>0</v>
      </c>
      <c r="L380" s="272">
        <f t="shared" ref="L380:L386" si="500">+H380+L262</f>
        <v>0</v>
      </c>
      <c r="M380" s="273">
        <f t="shared" ref="M380:M386" si="501">+I380+M262</f>
        <v>0</v>
      </c>
      <c r="N380" s="334" t="str">
        <f t="shared" ref="N380:N387" si="502">IFERROR(K380/E380,"-")</f>
        <v>-</v>
      </c>
      <c r="O380" s="344" t="str">
        <f t="shared" si="487"/>
        <v>-</v>
      </c>
    </row>
    <row r="381" spans="1:15" ht="24" x14ac:dyDescent="0.25">
      <c r="A381" s="274" t="s">
        <v>103</v>
      </c>
      <c r="B381" s="868"/>
      <c r="C381" s="275" t="s">
        <v>232</v>
      </c>
      <c r="D381" s="275" t="s">
        <v>233</v>
      </c>
      <c r="E381" s="276"/>
      <c r="F381" s="277"/>
      <c r="G381" s="331">
        <f t="shared" si="498"/>
        <v>0</v>
      </c>
      <c r="H381" s="278">
        <v>0</v>
      </c>
      <c r="I381" s="278">
        <v>0</v>
      </c>
      <c r="J381" s="349" t="str">
        <f t="shared" ref="J381:J386" si="503">IFERROR(G381/F381,"-")</f>
        <v>-</v>
      </c>
      <c r="K381" s="331">
        <f t="shared" si="499"/>
        <v>0</v>
      </c>
      <c r="L381" s="272">
        <f t="shared" si="500"/>
        <v>0</v>
      </c>
      <c r="M381" s="273">
        <f t="shared" si="501"/>
        <v>0</v>
      </c>
      <c r="N381" s="335" t="str">
        <f t="shared" si="502"/>
        <v>-</v>
      </c>
      <c r="O381" s="263" t="str">
        <f t="shared" si="487"/>
        <v>-</v>
      </c>
    </row>
    <row r="382" spans="1:15" ht="24" x14ac:dyDescent="0.25">
      <c r="A382" s="274" t="s">
        <v>103</v>
      </c>
      <c r="B382" s="868"/>
      <c r="C382" s="275" t="s">
        <v>115</v>
      </c>
      <c r="D382" s="275"/>
      <c r="E382" s="276"/>
      <c r="F382" s="277"/>
      <c r="G382" s="331">
        <f t="shared" si="498"/>
        <v>0</v>
      </c>
      <c r="H382" s="278">
        <v>0</v>
      </c>
      <c r="I382" s="278">
        <v>0</v>
      </c>
      <c r="J382" s="349" t="str">
        <f t="shared" si="503"/>
        <v>-</v>
      </c>
      <c r="K382" s="331">
        <f t="shared" si="499"/>
        <v>0</v>
      </c>
      <c r="L382" s="272">
        <f t="shared" si="500"/>
        <v>0</v>
      </c>
      <c r="M382" s="273">
        <f t="shared" si="501"/>
        <v>0</v>
      </c>
      <c r="N382" s="335" t="str">
        <f t="shared" si="502"/>
        <v>-</v>
      </c>
      <c r="O382" s="263" t="str">
        <f t="shared" si="487"/>
        <v>-</v>
      </c>
    </row>
    <row r="383" spans="1:15" ht="24" x14ac:dyDescent="0.25">
      <c r="A383" s="274" t="s">
        <v>103</v>
      </c>
      <c r="B383" s="868"/>
      <c r="C383" s="275" t="s">
        <v>122</v>
      </c>
      <c r="D383" s="275"/>
      <c r="E383" s="276"/>
      <c r="F383" s="277"/>
      <c r="G383" s="331">
        <f t="shared" si="498"/>
        <v>0</v>
      </c>
      <c r="H383" s="278">
        <v>0</v>
      </c>
      <c r="I383" s="278">
        <v>0</v>
      </c>
      <c r="J383" s="349" t="str">
        <f t="shared" si="503"/>
        <v>-</v>
      </c>
      <c r="K383" s="331">
        <f t="shared" si="499"/>
        <v>0</v>
      </c>
      <c r="L383" s="272">
        <f t="shared" si="500"/>
        <v>0</v>
      </c>
      <c r="M383" s="273">
        <f t="shared" si="501"/>
        <v>0</v>
      </c>
      <c r="N383" s="335" t="str">
        <f t="shared" si="502"/>
        <v>-</v>
      </c>
      <c r="O383" s="263" t="str">
        <f t="shared" si="487"/>
        <v>-</v>
      </c>
    </row>
    <row r="384" spans="1:15" ht="24" x14ac:dyDescent="0.25">
      <c r="A384" s="274" t="s">
        <v>103</v>
      </c>
      <c r="B384" s="868"/>
      <c r="C384" s="275" t="s">
        <v>176</v>
      </c>
      <c r="D384" s="275" t="s">
        <v>177</v>
      </c>
      <c r="E384" s="276"/>
      <c r="F384" s="277"/>
      <c r="G384" s="331">
        <f t="shared" si="498"/>
        <v>0</v>
      </c>
      <c r="H384" s="278">
        <v>0</v>
      </c>
      <c r="I384" s="278">
        <v>0</v>
      </c>
      <c r="J384" s="349" t="str">
        <f t="shared" si="503"/>
        <v>-</v>
      </c>
      <c r="K384" s="331">
        <f t="shared" si="499"/>
        <v>0</v>
      </c>
      <c r="L384" s="272">
        <f t="shared" si="500"/>
        <v>0</v>
      </c>
      <c r="M384" s="273">
        <f t="shared" si="501"/>
        <v>0</v>
      </c>
      <c r="N384" s="335" t="str">
        <f t="shared" si="502"/>
        <v>-</v>
      </c>
      <c r="O384" s="263" t="str">
        <f t="shared" si="487"/>
        <v>-</v>
      </c>
    </row>
    <row r="385" spans="1:15" ht="24" x14ac:dyDescent="0.25">
      <c r="A385" s="274" t="s">
        <v>103</v>
      </c>
      <c r="B385" s="868"/>
      <c r="C385" s="275" t="s">
        <v>179</v>
      </c>
      <c r="D385" s="275" t="s">
        <v>178</v>
      </c>
      <c r="E385" s="276"/>
      <c r="F385" s="277"/>
      <c r="G385" s="331">
        <f t="shared" si="498"/>
        <v>0</v>
      </c>
      <c r="H385" s="278">
        <v>0</v>
      </c>
      <c r="I385" s="278">
        <v>0</v>
      </c>
      <c r="J385" s="349" t="str">
        <f t="shared" si="503"/>
        <v>-</v>
      </c>
      <c r="K385" s="331">
        <f t="shared" si="499"/>
        <v>0</v>
      </c>
      <c r="L385" s="272">
        <f t="shared" si="500"/>
        <v>0</v>
      </c>
      <c r="M385" s="273">
        <f t="shared" si="501"/>
        <v>0</v>
      </c>
      <c r="N385" s="335" t="str">
        <f t="shared" si="502"/>
        <v>-</v>
      </c>
      <c r="O385" s="263" t="str">
        <f t="shared" si="487"/>
        <v>-</v>
      </c>
    </row>
    <row r="386" spans="1:15" ht="24.75" thickBot="1" x14ac:dyDescent="0.3">
      <c r="A386" s="274" t="s">
        <v>103</v>
      </c>
      <c r="B386" s="869"/>
      <c r="C386" s="285" t="s">
        <v>180</v>
      </c>
      <c r="D386" s="285" t="s">
        <v>107</v>
      </c>
      <c r="E386" s="280"/>
      <c r="F386" s="281"/>
      <c r="G386" s="332">
        <f t="shared" si="498"/>
        <v>0</v>
      </c>
      <c r="H386" s="282">
        <v>0</v>
      </c>
      <c r="I386" s="282">
        <v>0</v>
      </c>
      <c r="J386" s="349" t="str">
        <f t="shared" si="503"/>
        <v>-</v>
      </c>
      <c r="K386" s="332">
        <f t="shared" si="499"/>
        <v>0</v>
      </c>
      <c r="L386" s="272">
        <f t="shared" si="500"/>
        <v>0</v>
      </c>
      <c r="M386" s="273">
        <f t="shared" si="501"/>
        <v>0</v>
      </c>
      <c r="N386" s="336" t="str">
        <f t="shared" si="502"/>
        <v>-</v>
      </c>
      <c r="O386" s="345" t="str">
        <f t="shared" si="487"/>
        <v>-</v>
      </c>
    </row>
    <row r="387" spans="1:15" ht="23.25" thickBot="1" x14ac:dyDescent="0.3">
      <c r="A387" s="274" t="s">
        <v>103</v>
      </c>
      <c r="B387" s="845" t="s">
        <v>29</v>
      </c>
      <c r="C387" s="870"/>
      <c r="D387" s="871"/>
      <c r="E387" s="364">
        <f t="shared" ref="E387" si="504">SUM(E380:E386)</f>
        <v>0</v>
      </c>
      <c r="F387" s="306">
        <v>80000</v>
      </c>
      <c r="G387" s="364">
        <f>SUM(G380:G386)</f>
        <v>0</v>
      </c>
      <c r="H387" s="363">
        <f t="shared" ref="H387:I387" si="505">SUM(H380:H386)</f>
        <v>0</v>
      </c>
      <c r="I387" s="363">
        <f t="shared" si="505"/>
        <v>0</v>
      </c>
      <c r="J387" s="354">
        <f>+G387/F387</f>
        <v>0</v>
      </c>
      <c r="K387" s="364">
        <f t="shared" ref="K387" si="506">SUM(K380:K386)</f>
        <v>0</v>
      </c>
      <c r="L387" s="363">
        <f>SUM(L380:L386)</f>
        <v>0</v>
      </c>
      <c r="M387" s="365">
        <f t="shared" ref="M387" si="507">SUM(M380:M386)</f>
        <v>0</v>
      </c>
      <c r="N387" s="353" t="str">
        <f t="shared" si="502"/>
        <v>-</v>
      </c>
      <c r="O387" s="354" t="str">
        <f t="shared" si="487"/>
        <v>-</v>
      </c>
    </row>
    <row r="388" spans="1:15" ht="24" x14ac:dyDescent="0.25">
      <c r="A388" s="252" t="s">
        <v>103</v>
      </c>
      <c r="B388" s="872" t="s">
        <v>19</v>
      </c>
      <c r="C388" s="634" t="s">
        <v>234</v>
      </c>
      <c r="D388" s="734" t="s">
        <v>177</v>
      </c>
      <c r="E388" s="745"/>
      <c r="F388" s="725">
        <v>110000</v>
      </c>
      <c r="G388" s="453">
        <f t="shared" ref="G388:G394" si="508">+H388+I388</f>
        <v>0</v>
      </c>
      <c r="H388" s="454">
        <v>0</v>
      </c>
      <c r="I388" s="454">
        <v>0</v>
      </c>
      <c r="J388" s="526">
        <f>IFERROR(G388/F388,"-")</f>
        <v>0</v>
      </c>
      <c r="K388" s="729">
        <f>+L388+M388</f>
        <v>76414</v>
      </c>
      <c r="L388" s="522">
        <f t="shared" ref="L388:L394" si="509">+H388+L270</f>
        <v>76032</v>
      </c>
      <c r="M388" s="725">
        <f t="shared" ref="M388:M394" si="510">+I388+M270</f>
        <v>382</v>
      </c>
      <c r="N388" s="626" t="str">
        <f>IFERROR(K388/E388,"-")</f>
        <v>-</v>
      </c>
      <c r="O388" s="627">
        <f t="shared" si="487"/>
        <v>4.9990839374983642E-3</v>
      </c>
    </row>
    <row r="389" spans="1:15" ht="24" x14ac:dyDescent="0.25">
      <c r="A389" s="252"/>
      <c r="B389" s="873"/>
      <c r="C389" s="727" t="s">
        <v>375</v>
      </c>
      <c r="D389" s="733" t="s">
        <v>421</v>
      </c>
      <c r="E389" s="507">
        <v>1000000</v>
      </c>
      <c r="F389" s="277"/>
      <c r="G389" s="331">
        <f t="shared" si="508"/>
        <v>0</v>
      </c>
      <c r="H389" s="278">
        <v>0</v>
      </c>
      <c r="I389" s="278">
        <v>0</v>
      </c>
      <c r="J389" s="350" t="str">
        <f t="shared" ref="J389:J394" si="511">IFERROR(G389/F389,"-")</f>
        <v>-</v>
      </c>
      <c r="K389" s="730">
        <f>+L389+M389</f>
        <v>0</v>
      </c>
      <c r="L389" s="276">
        <f t="shared" si="509"/>
        <v>0</v>
      </c>
      <c r="M389" s="277">
        <f t="shared" si="510"/>
        <v>0</v>
      </c>
      <c r="N389" s="723">
        <f t="shared" ref="N389:N394" si="512">IFERROR(K389/E389,"-")</f>
        <v>0</v>
      </c>
      <c r="O389" s="263" t="str">
        <f>IFERROR(M389/K389,"-")</f>
        <v>-</v>
      </c>
    </row>
    <row r="390" spans="1:15" ht="24" x14ac:dyDescent="0.25">
      <c r="A390" s="252"/>
      <c r="B390" s="873"/>
      <c r="C390" s="727" t="s">
        <v>234</v>
      </c>
      <c r="D390" s="733" t="s">
        <v>476</v>
      </c>
      <c r="E390" s="507"/>
      <c r="F390" s="277"/>
      <c r="G390" s="331">
        <f t="shared" si="508"/>
        <v>0</v>
      </c>
      <c r="H390" s="278">
        <v>0</v>
      </c>
      <c r="I390" s="278">
        <v>0</v>
      </c>
      <c r="J390" s="350" t="str">
        <f t="shared" si="511"/>
        <v>-</v>
      </c>
      <c r="K390" s="730">
        <f t="shared" ref="K390:K393" si="513">+L390+M390</f>
        <v>0</v>
      </c>
      <c r="L390" s="276">
        <f t="shared" si="509"/>
        <v>0</v>
      </c>
      <c r="M390" s="277">
        <f t="shared" si="510"/>
        <v>0</v>
      </c>
      <c r="N390" s="723" t="str">
        <f t="shared" si="512"/>
        <v>-</v>
      </c>
      <c r="O390" s="263" t="str">
        <f t="shared" ref="O390:O451" si="514">IFERROR(M390/K390,"-")</f>
        <v>-</v>
      </c>
    </row>
    <row r="391" spans="1:15" ht="24" x14ac:dyDescent="0.25">
      <c r="A391" s="252"/>
      <c r="B391" s="873"/>
      <c r="C391" s="727" t="s">
        <v>375</v>
      </c>
      <c r="D391" s="733" t="s">
        <v>476</v>
      </c>
      <c r="E391" s="507"/>
      <c r="F391" s="277"/>
      <c r="G391" s="331">
        <f t="shared" si="508"/>
        <v>0</v>
      </c>
      <c r="H391" s="278">
        <v>0</v>
      </c>
      <c r="I391" s="278">
        <v>0</v>
      </c>
      <c r="J391" s="350" t="str">
        <f t="shared" si="511"/>
        <v>-</v>
      </c>
      <c r="K391" s="730">
        <f t="shared" si="513"/>
        <v>0</v>
      </c>
      <c r="L391" s="276">
        <f t="shared" si="509"/>
        <v>0</v>
      </c>
      <c r="M391" s="277">
        <f t="shared" si="510"/>
        <v>0</v>
      </c>
      <c r="N391" s="723" t="str">
        <f t="shared" si="512"/>
        <v>-</v>
      </c>
      <c r="O391" s="263" t="str">
        <f t="shared" si="514"/>
        <v>-</v>
      </c>
    </row>
    <row r="392" spans="1:15" ht="24" x14ac:dyDescent="0.25">
      <c r="A392" s="252"/>
      <c r="B392" s="873"/>
      <c r="C392" s="727" t="s">
        <v>484</v>
      </c>
      <c r="D392" s="733" t="s">
        <v>476</v>
      </c>
      <c r="E392" s="507"/>
      <c r="F392" s="277"/>
      <c r="G392" s="331">
        <f t="shared" si="508"/>
        <v>8708</v>
      </c>
      <c r="H392" s="278">
        <v>8448</v>
      </c>
      <c r="I392" s="278">
        <v>260</v>
      </c>
      <c r="J392" s="350" t="str">
        <f t="shared" si="511"/>
        <v>-</v>
      </c>
      <c r="K392" s="730">
        <f t="shared" si="513"/>
        <v>17430</v>
      </c>
      <c r="L392" s="276">
        <f t="shared" si="509"/>
        <v>16896</v>
      </c>
      <c r="M392" s="277">
        <f t="shared" si="510"/>
        <v>534</v>
      </c>
      <c r="N392" s="723" t="str">
        <f t="shared" si="512"/>
        <v>-</v>
      </c>
      <c r="O392" s="263">
        <f t="shared" si="514"/>
        <v>3.06368330464716E-2</v>
      </c>
    </row>
    <row r="393" spans="1:15" ht="24" x14ac:dyDescent="0.25">
      <c r="A393" s="252"/>
      <c r="B393" s="873"/>
      <c r="C393" s="727"/>
      <c r="D393" s="733"/>
      <c r="E393" s="507"/>
      <c r="F393" s="277"/>
      <c r="G393" s="331">
        <f t="shared" si="508"/>
        <v>0</v>
      </c>
      <c r="H393" s="278">
        <v>0</v>
      </c>
      <c r="I393" s="278">
        <v>0</v>
      </c>
      <c r="J393" s="350" t="str">
        <f t="shared" si="511"/>
        <v>-</v>
      </c>
      <c r="K393" s="730">
        <f t="shared" si="513"/>
        <v>0</v>
      </c>
      <c r="L393" s="276">
        <f t="shared" si="509"/>
        <v>0</v>
      </c>
      <c r="M393" s="277">
        <f t="shared" si="510"/>
        <v>0</v>
      </c>
      <c r="N393" s="723" t="str">
        <f t="shared" si="512"/>
        <v>-</v>
      </c>
      <c r="O393" s="263" t="str">
        <f t="shared" si="514"/>
        <v>-</v>
      </c>
    </row>
    <row r="394" spans="1:15" ht="24.75" thickBot="1" x14ac:dyDescent="0.3">
      <c r="A394" s="252"/>
      <c r="B394" s="874"/>
      <c r="C394" s="635" t="s">
        <v>340</v>
      </c>
      <c r="D394" s="735"/>
      <c r="E394" s="746">
        <v>150000</v>
      </c>
      <c r="F394" s="726"/>
      <c r="G394" s="456">
        <f t="shared" si="508"/>
        <v>0</v>
      </c>
      <c r="H394" s="457">
        <v>0</v>
      </c>
      <c r="I394" s="457">
        <v>0</v>
      </c>
      <c r="J394" s="527" t="str">
        <f t="shared" si="511"/>
        <v>-</v>
      </c>
      <c r="K394" s="731">
        <f>+L394+M394</f>
        <v>0</v>
      </c>
      <c r="L394" s="525">
        <f t="shared" si="509"/>
        <v>0</v>
      </c>
      <c r="M394" s="726">
        <f t="shared" si="510"/>
        <v>0</v>
      </c>
      <c r="N394" s="724">
        <f t="shared" si="512"/>
        <v>0</v>
      </c>
      <c r="O394" s="264" t="str">
        <f t="shared" si="514"/>
        <v>-</v>
      </c>
    </row>
    <row r="395" spans="1:15" ht="23.25" thickBot="1" x14ac:dyDescent="0.3">
      <c r="A395" s="274" t="s">
        <v>103</v>
      </c>
      <c r="B395" s="875" t="s">
        <v>46</v>
      </c>
      <c r="C395" s="876"/>
      <c r="D395" s="877"/>
      <c r="E395" s="509">
        <f>SUM(E388:E394)</f>
        <v>1150000</v>
      </c>
      <c r="F395" s="728">
        <f t="shared" ref="F395" si="515">SUM(F388)</f>
        <v>110000</v>
      </c>
      <c r="G395" s="509">
        <f>SUM(G388:G394)</f>
        <v>8708</v>
      </c>
      <c r="H395" s="515">
        <f>SUM(H388:H394)</f>
        <v>8448</v>
      </c>
      <c r="I395" s="515">
        <f>SUM(I388:I394)</f>
        <v>260</v>
      </c>
      <c r="J395" s="516">
        <f>+G395/F395</f>
        <v>7.9163636363636367E-2</v>
      </c>
      <c r="K395" s="722">
        <f>SUM(K388:K394)</f>
        <v>93844</v>
      </c>
      <c r="L395" s="515">
        <f>SUM(L388:L394)</f>
        <v>92928</v>
      </c>
      <c r="M395" s="650">
        <f>SUM(M388:M394)</f>
        <v>916</v>
      </c>
      <c r="N395" s="517">
        <f>IFERROR(K395/E395,"-")</f>
        <v>8.1603478260869569E-2</v>
      </c>
      <c r="O395" s="516">
        <f t="shared" si="514"/>
        <v>9.7608797578960828E-3</v>
      </c>
    </row>
    <row r="396" spans="1:15" ht="24" x14ac:dyDescent="0.25">
      <c r="A396" s="274" t="s">
        <v>103</v>
      </c>
      <c r="B396" s="867" t="s">
        <v>20</v>
      </c>
      <c r="C396" s="290" t="s">
        <v>486</v>
      </c>
      <c r="D396" s="757" t="s">
        <v>288</v>
      </c>
      <c r="E396" s="270">
        <v>500000</v>
      </c>
      <c r="F396" s="271"/>
      <c r="G396" s="330">
        <f t="shared" ref="G396:G398" si="516">+H396+I396</f>
        <v>0</v>
      </c>
      <c r="H396" s="272"/>
      <c r="I396" s="272"/>
      <c r="J396" s="349" t="str">
        <f>IFERROR(G396/F396,"-")</f>
        <v>-</v>
      </c>
      <c r="K396" s="330">
        <f t="shared" ref="K396:K398" si="517">+L396+M396</f>
        <v>22641</v>
      </c>
      <c r="L396" s="272">
        <f t="shared" ref="L396:L398" si="518">+H396+L278</f>
        <v>22464</v>
      </c>
      <c r="M396" s="273">
        <f t="shared" ref="M396:M398" si="519">+I396+M278</f>
        <v>177</v>
      </c>
      <c r="N396" s="334">
        <f t="shared" ref="N396:N399" si="520">IFERROR(K396/E396,"-")</f>
        <v>4.5282000000000003E-2</v>
      </c>
      <c r="O396" s="344">
        <f t="shared" si="514"/>
        <v>7.8176758977076977E-3</v>
      </c>
    </row>
    <row r="397" spans="1:15" ht="24" x14ac:dyDescent="0.25">
      <c r="A397" s="274" t="s">
        <v>103</v>
      </c>
      <c r="B397" s="868"/>
      <c r="C397" s="291" t="s">
        <v>114</v>
      </c>
      <c r="D397" s="291"/>
      <c r="E397" s="276"/>
      <c r="F397" s="277"/>
      <c r="G397" s="331">
        <f t="shared" si="516"/>
        <v>0</v>
      </c>
      <c r="H397" s="278">
        <v>0</v>
      </c>
      <c r="I397" s="278">
        <v>0</v>
      </c>
      <c r="J397" s="349" t="str">
        <f t="shared" ref="J397:J398" si="521">IFERROR(G397/F397,"-")</f>
        <v>-</v>
      </c>
      <c r="K397" s="331">
        <f t="shared" si="517"/>
        <v>0</v>
      </c>
      <c r="L397" s="272">
        <f t="shared" si="518"/>
        <v>0</v>
      </c>
      <c r="M397" s="273">
        <f t="shared" si="519"/>
        <v>0</v>
      </c>
      <c r="N397" s="335" t="str">
        <f t="shared" si="520"/>
        <v>-</v>
      </c>
      <c r="O397" s="263" t="str">
        <f t="shared" si="514"/>
        <v>-</v>
      </c>
    </row>
    <row r="398" spans="1:15" ht="24.75" thickBot="1" x14ac:dyDescent="0.3">
      <c r="A398" s="274" t="s">
        <v>103</v>
      </c>
      <c r="B398" s="869"/>
      <c r="C398" s="292" t="s">
        <v>120</v>
      </c>
      <c r="D398" s="292"/>
      <c r="E398" s="280"/>
      <c r="F398" s="281"/>
      <c r="G398" s="332">
        <f t="shared" si="516"/>
        <v>0</v>
      </c>
      <c r="H398" s="282">
        <v>0</v>
      </c>
      <c r="I398" s="282">
        <v>0</v>
      </c>
      <c r="J398" s="349" t="str">
        <f t="shared" si="521"/>
        <v>-</v>
      </c>
      <c r="K398" s="332">
        <f t="shared" si="517"/>
        <v>0</v>
      </c>
      <c r="L398" s="272">
        <f t="shared" si="518"/>
        <v>0</v>
      </c>
      <c r="M398" s="273">
        <f t="shared" si="519"/>
        <v>0</v>
      </c>
      <c r="N398" s="336" t="str">
        <f t="shared" si="520"/>
        <v>-</v>
      </c>
      <c r="O398" s="345" t="str">
        <f t="shared" si="514"/>
        <v>-</v>
      </c>
    </row>
    <row r="399" spans="1:15" ht="23.25" thickBot="1" x14ac:dyDescent="0.3">
      <c r="A399" s="274" t="s">
        <v>103</v>
      </c>
      <c r="B399" s="846" t="s">
        <v>47</v>
      </c>
      <c r="C399" s="846"/>
      <c r="D399" s="878"/>
      <c r="E399" s="319">
        <f t="shared" ref="E399" si="522">SUM(E396:E398)</f>
        <v>500000</v>
      </c>
      <c r="F399" s="284">
        <v>50000</v>
      </c>
      <c r="G399" s="319">
        <f>SUM(G396:G398)</f>
        <v>0</v>
      </c>
      <c r="H399" s="320">
        <f t="shared" ref="H399:I399" si="523">SUM(H396:H398)</f>
        <v>0</v>
      </c>
      <c r="I399" s="320">
        <f t="shared" si="523"/>
        <v>0</v>
      </c>
      <c r="J399" s="343">
        <f>+G399/F399</f>
        <v>0</v>
      </c>
      <c r="K399" s="319">
        <f t="shared" ref="K399:M399" si="524">SUM(K396:K398)</f>
        <v>22641</v>
      </c>
      <c r="L399" s="320">
        <f t="shared" si="524"/>
        <v>22464</v>
      </c>
      <c r="M399" s="321">
        <f t="shared" si="524"/>
        <v>177</v>
      </c>
      <c r="N399" s="337">
        <f t="shared" si="520"/>
        <v>4.5282000000000003E-2</v>
      </c>
      <c r="O399" s="343">
        <f t="shared" si="514"/>
        <v>7.8176758977076977E-3</v>
      </c>
    </row>
    <row r="400" spans="1:15" ht="23.25" thickBot="1" x14ac:dyDescent="0.3">
      <c r="A400" s="274" t="s">
        <v>103</v>
      </c>
      <c r="B400" s="853" t="s">
        <v>21</v>
      </c>
      <c r="C400" s="854"/>
      <c r="D400" s="855"/>
      <c r="E400" s="324">
        <f>+E371+E379+E387+E395+E399</f>
        <v>3150000</v>
      </c>
      <c r="F400" s="325">
        <f>+F371+F379+F387+F395+F399</f>
        <v>355000</v>
      </c>
      <c r="G400" s="324">
        <f>+G371+G379+G387+G395+G399</f>
        <v>34516</v>
      </c>
      <c r="H400" s="322">
        <f>+H371+H379+H387+H395+H399</f>
        <v>33848</v>
      </c>
      <c r="I400" s="322">
        <f>+I371+I379+I387+I395+I399</f>
        <v>668</v>
      </c>
      <c r="J400" s="347">
        <f>+G400/F400</f>
        <v>9.7228169014084501E-2</v>
      </c>
      <c r="K400" s="324">
        <f>+K371+K379+K387+K395+K399</f>
        <v>221056</v>
      </c>
      <c r="L400" s="322">
        <f>+L371+L379+L387+L395+L399</f>
        <v>218392</v>
      </c>
      <c r="M400" s="323">
        <f>+M371+M379+M387+M395+M399</f>
        <v>2664</v>
      </c>
      <c r="N400" s="339">
        <f>IFERROR(K400/E400,"-")</f>
        <v>7.017650793650794E-2</v>
      </c>
      <c r="O400" s="347">
        <f t="shared" si="514"/>
        <v>1.2051244933410539E-2</v>
      </c>
    </row>
    <row r="401" spans="1:15" ht="24" x14ac:dyDescent="0.25">
      <c r="A401" s="274" t="s">
        <v>103</v>
      </c>
      <c r="B401" s="867" t="s">
        <v>398</v>
      </c>
      <c r="C401" s="269" t="s">
        <v>125</v>
      </c>
      <c r="D401" s="269"/>
      <c r="E401" s="270"/>
      <c r="F401" s="271"/>
      <c r="G401" s="330">
        <f t="shared" ref="G401:G404" si="525">+H401+I401</f>
        <v>0</v>
      </c>
      <c r="H401" s="272">
        <v>0</v>
      </c>
      <c r="I401" s="272">
        <v>0</v>
      </c>
      <c r="J401" s="349" t="str">
        <f>IFERROR(G401/F401,"-")</f>
        <v>-</v>
      </c>
      <c r="K401" s="330">
        <f t="shared" ref="K401:K404" si="526">+L401+M401</f>
        <v>0</v>
      </c>
      <c r="L401" s="272">
        <f t="shared" ref="L401:L404" si="527">+H401+L283</f>
        <v>0</v>
      </c>
      <c r="M401" s="273">
        <f t="shared" ref="M401:M404" si="528">+I401+M283</f>
        <v>0</v>
      </c>
      <c r="N401" s="334" t="str">
        <f t="shared" ref="N401:N416" si="529">IFERROR(K401/E401,"-")</f>
        <v>-</v>
      </c>
      <c r="O401" s="344" t="str">
        <f t="shared" si="514"/>
        <v>-</v>
      </c>
    </row>
    <row r="402" spans="1:15" ht="24" x14ac:dyDescent="0.25">
      <c r="A402" s="274" t="s">
        <v>103</v>
      </c>
      <c r="B402" s="868"/>
      <c r="C402" s="294" t="s">
        <v>262</v>
      </c>
      <c r="D402" s="294" t="s">
        <v>181</v>
      </c>
      <c r="E402" s="276"/>
      <c r="F402" s="277"/>
      <c r="G402" s="331">
        <f t="shared" si="525"/>
        <v>0</v>
      </c>
      <c r="H402" s="278">
        <v>0</v>
      </c>
      <c r="I402" s="278">
        <v>0</v>
      </c>
      <c r="J402" s="349" t="str">
        <f t="shared" ref="J402:J404" si="530">IFERROR(G402/F402,"-")</f>
        <v>-</v>
      </c>
      <c r="K402" s="331">
        <f t="shared" si="526"/>
        <v>0</v>
      </c>
      <c r="L402" s="272">
        <f t="shared" si="527"/>
        <v>0</v>
      </c>
      <c r="M402" s="273">
        <f t="shared" si="528"/>
        <v>0</v>
      </c>
      <c r="N402" s="335" t="str">
        <f t="shared" si="529"/>
        <v>-</v>
      </c>
      <c r="O402" s="263" t="str">
        <f t="shared" si="514"/>
        <v>-</v>
      </c>
    </row>
    <row r="403" spans="1:15" ht="24" x14ac:dyDescent="0.25">
      <c r="A403" s="274" t="s">
        <v>103</v>
      </c>
      <c r="B403" s="868"/>
      <c r="C403" s="294" t="s">
        <v>360</v>
      </c>
      <c r="D403" s="294" t="s">
        <v>181</v>
      </c>
      <c r="E403" s="276"/>
      <c r="F403" s="277"/>
      <c r="G403" s="331">
        <f t="shared" si="525"/>
        <v>0</v>
      </c>
      <c r="H403" s="278">
        <v>0</v>
      </c>
      <c r="I403" s="278">
        <v>0</v>
      </c>
      <c r="J403" s="349" t="str">
        <f t="shared" si="530"/>
        <v>-</v>
      </c>
      <c r="K403" s="331">
        <f t="shared" si="526"/>
        <v>0</v>
      </c>
      <c r="L403" s="272">
        <f t="shared" si="527"/>
        <v>0</v>
      </c>
      <c r="M403" s="273">
        <f t="shared" si="528"/>
        <v>0</v>
      </c>
      <c r="N403" s="335" t="str">
        <f t="shared" si="529"/>
        <v>-</v>
      </c>
      <c r="O403" s="263" t="str">
        <f t="shared" si="514"/>
        <v>-</v>
      </c>
    </row>
    <row r="404" spans="1:15" ht="24.75" thickBot="1" x14ac:dyDescent="0.3">
      <c r="A404" s="274" t="s">
        <v>103</v>
      </c>
      <c r="B404" s="869"/>
      <c r="C404" s="279" t="s">
        <v>182</v>
      </c>
      <c r="D404" s="279" t="s">
        <v>93</v>
      </c>
      <c r="E404" s="280"/>
      <c r="F404" s="281"/>
      <c r="G404" s="332">
        <f t="shared" si="525"/>
        <v>2410</v>
      </c>
      <c r="H404" s="278">
        <v>1980</v>
      </c>
      <c r="I404" s="278">
        <v>430</v>
      </c>
      <c r="J404" s="349" t="str">
        <f t="shared" si="530"/>
        <v>-</v>
      </c>
      <c r="K404" s="332">
        <f t="shared" si="526"/>
        <v>12610</v>
      </c>
      <c r="L404" s="272">
        <f t="shared" si="527"/>
        <v>11880</v>
      </c>
      <c r="M404" s="273">
        <f t="shared" si="528"/>
        <v>730</v>
      </c>
      <c r="N404" s="336" t="str">
        <f t="shared" si="529"/>
        <v>-</v>
      </c>
      <c r="O404" s="345">
        <f t="shared" si="514"/>
        <v>5.7890563045202223E-2</v>
      </c>
    </row>
    <row r="405" spans="1:15" ht="23.25" thickBot="1" x14ac:dyDescent="0.3">
      <c r="A405" s="274" t="s">
        <v>103</v>
      </c>
      <c r="B405" s="845" t="s">
        <v>48</v>
      </c>
      <c r="C405" s="846"/>
      <c r="D405" s="847"/>
      <c r="E405" s="283">
        <f>SUM(E401:E404)</f>
        <v>0</v>
      </c>
      <c r="F405" s="284">
        <v>80000</v>
      </c>
      <c r="G405" s="319">
        <f>SUM(G401:G404)</f>
        <v>2410</v>
      </c>
      <c r="H405" s="320">
        <f t="shared" ref="H405:I405" si="531">SUM(H401:H404)</f>
        <v>1980</v>
      </c>
      <c r="I405" s="320">
        <f t="shared" si="531"/>
        <v>430</v>
      </c>
      <c r="J405" s="343">
        <f>+G405/F405</f>
        <v>3.0124999999999999E-2</v>
      </c>
      <c r="K405" s="319">
        <f t="shared" ref="K405" si="532">SUM(K401:K404)</f>
        <v>12610</v>
      </c>
      <c r="L405" s="320">
        <f>SUM(L401:L404)</f>
        <v>11880</v>
      </c>
      <c r="M405" s="321">
        <f t="shared" ref="M405" si="533">SUM(M401:M404)</f>
        <v>730</v>
      </c>
      <c r="N405" s="337" t="str">
        <f t="shared" si="529"/>
        <v>-</v>
      </c>
      <c r="O405" s="343">
        <f t="shared" si="514"/>
        <v>5.7890563045202223E-2</v>
      </c>
    </row>
    <row r="406" spans="1:15" ht="24" x14ac:dyDescent="0.25">
      <c r="A406" s="274" t="s">
        <v>103</v>
      </c>
      <c r="B406" s="867" t="s">
        <v>23</v>
      </c>
      <c r="C406" s="275" t="s">
        <v>473</v>
      </c>
      <c r="D406" s="295" t="s">
        <v>237</v>
      </c>
      <c r="E406" s="270">
        <v>10000</v>
      </c>
      <c r="F406" s="271"/>
      <c r="G406" s="330">
        <f t="shared" ref="G406:G414" si="534">+H406+I406</f>
        <v>0</v>
      </c>
      <c r="H406" s="272">
        <v>0</v>
      </c>
      <c r="I406" s="272">
        <v>0</v>
      </c>
      <c r="J406" s="349" t="str">
        <f>IFERROR(G406/F406,"-")</f>
        <v>-</v>
      </c>
      <c r="K406" s="330">
        <f t="shared" ref="K406:K414" si="535">+L406+M406</f>
        <v>0</v>
      </c>
      <c r="L406" s="272">
        <f t="shared" ref="L406:L414" si="536">+H406+L288</f>
        <v>0</v>
      </c>
      <c r="M406" s="273">
        <f t="shared" ref="M406:M414" si="537">+I406+M288</f>
        <v>0</v>
      </c>
      <c r="N406" s="334">
        <f t="shared" si="529"/>
        <v>0</v>
      </c>
      <c r="O406" s="344" t="str">
        <f t="shared" si="514"/>
        <v>-</v>
      </c>
    </row>
    <row r="407" spans="1:15" ht="24" x14ac:dyDescent="0.25">
      <c r="A407" s="274" t="s">
        <v>103</v>
      </c>
      <c r="B407" s="868"/>
      <c r="C407" s="275" t="s">
        <v>24</v>
      </c>
      <c r="D407" s="275" t="s">
        <v>237</v>
      </c>
      <c r="E407" s="276">
        <v>112000</v>
      </c>
      <c r="F407" s="277"/>
      <c r="G407" s="331">
        <f t="shared" si="534"/>
        <v>8765</v>
      </c>
      <c r="H407" s="278">
        <v>8750</v>
      </c>
      <c r="I407" s="278">
        <v>15</v>
      </c>
      <c r="J407" s="349" t="str">
        <f t="shared" ref="J407:J414" si="538">IFERROR(G407/F407,"-")</f>
        <v>-</v>
      </c>
      <c r="K407" s="331">
        <f t="shared" si="535"/>
        <v>26332</v>
      </c>
      <c r="L407" s="272">
        <f t="shared" si="536"/>
        <v>26250</v>
      </c>
      <c r="M407" s="273">
        <f t="shared" si="537"/>
        <v>82</v>
      </c>
      <c r="N407" s="335">
        <f t="shared" si="529"/>
        <v>0.23510714285714285</v>
      </c>
      <c r="O407" s="263">
        <f t="shared" si="514"/>
        <v>3.1140817256569953E-3</v>
      </c>
    </row>
    <row r="408" spans="1:15" ht="24" x14ac:dyDescent="0.25">
      <c r="A408" s="274" t="s">
        <v>103</v>
      </c>
      <c r="B408" s="868"/>
      <c r="C408" s="275" t="s">
        <v>235</v>
      </c>
      <c r="D408" s="275" t="s">
        <v>237</v>
      </c>
      <c r="E408" s="276">
        <v>40000</v>
      </c>
      <c r="F408" s="277"/>
      <c r="G408" s="331">
        <f t="shared" si="534"/>
        <v>0</v>
      </c>
      <c r="H408" s="278">
        <v>0</v>
      </c>
      <c r="I408" s="278">
        <v>0</v>
      </c>
      <c r="J408" s="349" t="str">
        <f t="shared" si="538"/>
        <v>-</v>
      </c>
      <c r="K408" s="331">
        <f t="shared" si="535"/>
        <v>0</v>
      </c>
      <c r="L408" s="272">
        <f t="shared" si="536"/>
        <v>0</v>
      </c>
      <c r="M408" s="273">
        <f t="shared" si="537"/>
        <v>0</v>
      </c>
      <c r="N408" s="335">
        <f t="shared" si="529"/>
        <v>0</v>
      </c>
      <c r="O408" s="263" t="str">
        <f t="shared" si="514"/>
        <v>-</v>
      </c>
    </row>
    <row r="409" spans="1:15" ht="24" x14ac:dyDescent="0.25">
      <c r="A409" s="274" t="s">
        <v>103</v>
      </c>
      <c r="B409" s="868"/>
      <c r="C409" s="275" t="s">
        <v>238</v>
      </c>
      <c r="D409" s="275" t="s">
        <v>237</v>
      </c>
      <c r="E409" s="276">
        <v>4000</v>
      </c>
      <c r="F409" s="277"/>
      <c r="G409" s="331">
        <f t="shared" si="534"/>
        <v>0</v>
      </c>
      <c r="H409" s="278">
        <v>0</v>
      </c>
      <c r="I409" s="278">
        <v>0</v>
      </c>
      <c r="J409" s="349" t="str">
        <f t="shared" si="538"/>
        <v>-</v>
      </c>
      <c r="K409" s="331">
        <f t="shared" si="535"/>
        <v>0</v>
      </c>
      <c r="L409" s="272">
        <f t="shared" si="536"/>
        <v>0</v>
      </c>
      <c r="M409" s="273">
        <f t="shared" si="537"/>
        <v>0</v>
      </c>
      <c r="N409" s="335">
        <f t="shared" si="529"/>
        <v>0</v>
      </c>
      <c r="O409" s="263" t="str">
        <f t="shared" si="514"/>
        <v>-</v>
      </c>
    </row>
    <row r="410" spans="1:15" ht="24" x14ac:dyDescent="0.25">
      <c r="A410" s="274" t="s">
        <v>103</v>
      </c>
      <c r="B410" s="868"/>
      <c r="C410" s="294" t="s">
        <v>392</v>
      </c>
      <c r="D410" s="275" t="s">
        <v>237</v>
      </c>
      <c r="E410" s="276">
        <v>8500</v>
      </c>
      <c r="F410" s="277"/>
      <c r="G410" s="331">
        <f t="shared" si="534"/>
        <v>0</v>
      </c>
      <c r="H410" s="278">
        <v>0</v>
      </c>
      <c r="I410" s="278">
        <v>0</v>
      </c>
      <c r="J410" s="349" t="str">
        <f t="shared" si="538"/>
        <v>-</v>
      </c>
      <c r="K410" s="331">
        <f t="shared" si="535"/>
        <v>0</v>
      </c>
      <c r="L410" s="272">
        <f t="shared" si="536"/>
        <v>0</v>
      </c>
      <c r="M410" s="273">
        <f t="shared" si="537"/>
        <v>0</v>
      </c>
      <c r="N410" s="335">
        <f t="shared" si="529"/>
        <v>0</v>
      </c>
      <c r="O410" s="263" t="str">
        <f t="shared" si="514"/>
        <v>-</v>
      </c>
    </row>
    <row r="411" spans="1:15" ht="24" x14ac:dyDescent="0.25">
      <c r="A411" s="274" t="s">
        <v>103</v>
      </c>
      <c r="B411" s="868"/>
      <c r="C411" s="294" t="s">
        <v>420</v>
      </c>
      <c r="D411" s="275" t="s">
        <v>237</v>
      </c>
      <c r="E411" s="276">
        <v>10000</v>
      </c>
      <c r="F411" s="277"/>
      <c r="G411" s="331">
        <f t="shared" si="534"/>
        <v>0</v>
      </c>
      <c r="H411" s="278">
        <v>0</v>
      </c>
      <c r="I411" s="278">
        <v>0</v>
      </c>
      <c r="J411" s="349" t="str">
        <f t="shared" si="538"/>
        <v>-</v>
      </c>
      <c r="K411" s="331">
        <f t="shared" si="535"/>
        <v>0</v>
      </c>
      <c r="L411" s="272">
        <f t="shared" si="536"/>
        <v>0</v>
      </c>
      <c r="M411" s="273">
        <f t="shared" si="537"/>
        <v>0</v>
      </c>
      <c r="N411" s="335">
        <f t="shared" si="529"/>
        <v>0</v>
      </c>
      <c r="O411" s="263" t="str">
        <f t="shared" si="514"/>
        <v>-</v>
      </c>
    </row>
    <row r="412" spans="1:15" ht="24" x14ac:dyDescent="0.25">
      <c r="A412" s="274" t="s">
        <v>103</v>
      </c>
      <c r="B412" s="868"/>
      <c r="C412" s="294" t="s">
        <v>240</v>
      </c>
      <c r="D412" s="275" t="s">
        <v>242</v>
      </c>
      <c r="E412" s="276"/>
      <c r="F412" s="277"/>
      <c r="G412" s="331">
        <f t="shared" si="534"/>
        <v>0</v>
      </c>
      <c r="H412" s="278">
        <v>0</v>
      </c>
      <c r="I412" s="278">
        <v>0</v>
      </c>
      <c r="J412" s="349" t="str">
        <f t="shared" si="538"/>
        <v>-</v>
      </c>
      <c r="K412" s="331">
        <f t="shared" si="535"/>
        <v>0</v>
      </c>
      <c r="L412" s="272">
        <f t="shared" si="536"/>
        <v>0</v>
      </c>
      <c r="M412" s="273">
        <f t="shared" si="537"/>
        <v>0</v>
      </c>
      <c r="N412" s="335" t="str">
        <f t="shared" si="529"/>
        <v>-</v>
      </c>
      <c r="O412" s="263" t="str">
        <f t="shared" si="514"/>
        <v>-</v>
      </c>
    </row>
    <row r="413" spans="1:15" ht="24" x14ac:dyDescent="0.25">
      <c r="A413" s="274"/>
      <c r="B413" s="869"/>
      <c r="C413" s="294" t="s">
        <v>481</v>
      </c>
      <c r="D413" s="275" t="s">
        <v>237</v>
      </c>
      <c r="E413" s="280">
        <v>6000</v>
      </c>
      <c r="F413" s="281"/>
      <c r="G413" s="331">
        <f t="shared" si="534"/>
        <v>0</v>
      </c>
      <c r="H413" s="278">
        <v>0</v>
      </c>
      <c r="I413" s="278">
        <v>0</v>
      </c>
      <c r="J413" s="349" t="str">
        <f t="shared" si="538"/>
        <v>-</v>
      </c>
      <c r="K413" s="331">
        <f t="shared" si="535"/>
        <v>0</v>
      </c>
      <c r="L413" s="272">
        <f t="shared" si="536"/>
        <v>0</v>
      </c>
      <c r="M413" s="273">
        <f t="shared" si="537"/>
        <v>0</v>
      </c>
      <c r="N413" s="335">
        <f t="shared" si="529"/>
        <v>0</v>
      </c>
      <c r="O413" s="263" t="str">
        <f t="shared" si="514"/>
        <v>-</v>
      </c>
    </row>
    <row r="414" spans="1:15" ht="24.75" thickBot="1" x14ac:dyDescent="0.3">
      <c r="A414" s="274" t="s">
        <v>103</v>
      </c>
      <c r="B414" s="869"/>
      <c r="C414" s="294" t="s">
        <v>241</v>
      </c>
      <c r="D414" s="275" t="s">
        <v>237</v>
      </c>
      <c r="E414" s="280">
        <v>5000</v>
      </c>
      <c r="F414" s="281"/>
      <c r="G414" s="332">
        <f t="shared" si="534"/>
        <v>0</v>
      </c>
      <c r="H414" s="278">
        <v>0</v>
      </c>
      <c r="I414" s="278">
        <v>0</v>
      </c>
      <c r="J414" s="349" t="str">
        <f t="shared" si="538"/>
        <v>-</v>
      </c>
      <c r="K414" s="332">
        <f t="shared" si="535"/>
        <v>0</v>
      </c>
      <c r="L414" s="272">
        <f t="shared" si="536"/>
        <v>0</v>
      </c>
      <c r="M414" s="273">
        <f t="shared" si="537"/>
        <v>0</v>
      </c>
      <c r="N414" s="336">
        <f t="shared" si="529"/>
        <v>0</v>
      </c>
      <c r="O414" s="345" t="str">
        <f t="shared" si="514"/>
        <v>-</v>
      </c>
    </row>
    <row r="415" spans="1:15" ht="23.25" thickBot="1" x14ac:dyDescent="0.3">
      <c r="A415" s="274" t="s">
        <v>103</v>
      </c>
      <c r="B415" s="845" t="s">
        <v>49</v>
      </c>
      <c r="C415" s="846"/>
      <c r="D415" s="847"/>
      <c r="E415" s="283">
        <f>SUM(E406:E414)</f>
        <v>195500</v>
      </c>
      <c r="F415" s="284">
        <v>14000</v>
      </c>
      <c r="G415" s="319">
        <f>SUM(G406:G414)</f>
        <v>8765</v>
      </c>
      <c r="H415" s="320">
        <f t="shared" ref="H415:I415" si="539">SUM(H406:H414)</f>
        <v>8750</v>
      </c>
      <c r="I415" s="320">
        <f t="shared" si="539"/>
        <v>15</v>
      </c>
      <c r="J415" s="343">
        <f>+G416/F416</f>
        <v>0.11888297872340425</v>
      </c>
      <c r="K415" s="319">
        <f>SUM(K406:K414)</f>
        <v>26332</v>
      </c>
      <c r="L415" s="320">
        <f>SUM(L406:L414)</f>
        <v>26250</v>
      </c>
      <c r="M415" s="320">
        <f>SUM(M406:M414)</f>
        <v>82</v>
      </c>
      <c r="N415" s="337">
        <f t="shared" si="529"/>
        <v>0.13469053708439899</v>
      </c>
      <c r="O415" s="343">
        <f t="shared" si="514"/>
        <v>3.1140817256569953E-3</v>
      </c>
    </row>
    <row r="416" spans="1:15" ht="23.25" thickBot="1" x14ac:dyDescent="0.3">
      <c r="A416" s="274" t="s">
        <v>103</v>
      </c>
      <c r="B416" s="853" t="s">
        <v>25</v>
      </c>
      <c r="C416" s="854"/>
      <c r="D416" s="855"/>
      <c r="E416" s="324">
        <f t="shared" ref="E416:F416" si="540">+E405+E415</f>
        <v>195500</v>
      </c>
      <c r="F416" s="325">
        <f t="shared" si="540"/>
        <v>94000</v>
      </c>
      <c r="G416" s="324">
        <f>+G405+G415</f>
        <v>11175</v>
      </c>
      <c r="H416" s="322">
        <f t="shared" ref="H416:I416" si="541">+H405+H415</f>
        <v>10730</v>
      </c>
      <c r="I416" s="322">
        <f t="shared" si="541"/>
        <v>445</v>
      </c>
      <c r="J416" s="347" t="str">
        <f>IFERROR(G416/#REF!,"-")</f>
        <v>-</v>
      </c>
      <c r="K416" s="324">
        <f t="shared" ref="K416" si="542">+K405+K415</f>
        <v>38942</v>
      </c>
      <c r="L416" s="322">
        <f>+L405+L415</f>
        <v>38130</v>
      </c>
      <c r="M416" s="323">
        <f t="shared" ref="M416" si="543">+M405+M415</f>
        <v>812</v>
      </c>
      <c r="N416" s="339">
        <f t="shared" si="529"/>
        <v>0.1991918158567775</v>
      </c>
      <c r="O416" s="347">
        <f t="shared" si="514"/>
        <v>2.085152277746392E-2</v>
      </c>
    </row>
    <row r="417" spans="1:15" ht="23.25" thickBot="1" x14ac:dyDescent="0.3">
      <c r="A417" s="274" t="s">
        <v>103</v>
      </c>
      <c r="B417" s="839" t="s">
        <v>172</v>
      </c>
      <c r="C417" s="840"/>
      <c r="D417" s="865"/>
      <c r="E417" s="328">
        <f>+E400+E416</f>
        <v>3345500</v>
      </c>
      <c r="F417" s="329">
        <f t="shared" ref="F417:I417" si="544">+F400+F416</f>
        <v>449000</v>
      </c>
      <c r="G417" s="328">
        <f t="shared" si="544"/>
        <v>45691</v>
      </c>
      <c r="H417" s="326">
        <f t="shared" si="544"/>
        <v>44578</v>
      </c>
      <c r="I417" s="326">
        <f t="shared" si="544"/>
        <v>1113</v>
      </c>
      <c r="J417" s="348">
        <f>+G417/F417</f>
        <v>0.10176169265033408</v>
      </c>
      <c r="K417" s="328">
        <f>+K400+K416</f>
        <v>259998</v>
      </c>
      <c r="L417" s="326">
        <f t="shared" ref="L417:M417" si="545">+L400+L416</f>
        <v>256522</v>
      </c>
      <c r="M417" s="327">
        <f t="shared" si="545"/>
        <v>3476</v>
      </c>
      <c r="N417" s="340">
        <f>IFERROR(K417/E417,"-")</f>
        <v>7.7715737557913611E-2</v>
      </c>
      <c r="O417" s="348">
        <f t="shared" si="514"/>
        <v>1.336933361025854E-2</v>
      </c>
    </row>
    <row r="418" spans="1:15" ht="24" x14ac:dyDescent="0.25">
      <c r="A418" s="268" t="s">
        <v>101</v>
      </c>
      <c r="B418" s="849" t="s">
        <v>26</v>
      </c>
      <c r="C418" s="736" t="s">
        <v>296</v>
      </c>
      <c r="D418" s="741" t="s">
        <v>177</v>
      </c>
      <c r="E418" s="738">
        <v>2047672</v>
      </c>
      <c r="F418" s="271"/>
      <c r="G418" s="330">
        <f t="shared" ref="G418:G427" si="546">+H418+I418</f>
        <v>0</v>
      </c>
      <c r="H418" s="272">
        <v>0</v>
      </c>
      <c r="I418" s="272">
        <v>0</v>
      </c>
      <c r="J418" s="349" t="str">
        <f>IFERROR(G418/F418,"-")</f>
        <v>-</v>
      </c>
      <c r="K418" s="330">
        <f t="shared" ref="K418:K427" si="547">+L418+M418</f>
        <v>0</v>
      </c>
      <c r="L418" s="272">
        <f t="shared" ref="L418:L427" si="548">+H418+L300</f>
        <v>0</v>
      </c>
      <c r="M418" s="273">
        <f t="shared" ref="M418:M427" si="549">+I418+M300</f>
        <v>0</v>
      </c>
      <c r="N418" s="334">
        <f t="shared" ref="N418:N436" si="550">IFERROR(K418/E418,"-")</f>
        <v>0</v>
      </c>
      <c r="O418" s="344" t="str">
        <f t="shared" si="514"/>
        <v>-</v>
      </c>
    </row>
    <row r="419" spans="1:15" ht="24" x14ac:dyDescent="0.25">
      <c r="A419" s="274" t="s">
        <v>101</v>
      </c>
      <c r="B419" s="849"/>
      <c r="C419" s="253" t="s">
        <v>422</v>
      </c>
      <c r="D419" s="742" t="s">
        <v>421</v>
      </c>
      <c r="E419" s="507"/>
      <c r="F419" s="277"/>
      <c r="G419" s="331">
        <f t="shared" si="546"/>
        <v>0</v>
      </c>
      <c r="H419" s="278">
        <v>0</v>
      </c>
      <c r="I419" s="278">
        <v>0</v>
      </c>
      <c r="J419" s="349" t="str">
        <f t="shared" ref="J419:J427" si="551">IFERROR(G419/F419,"-")</f>
        <v>-</v>
      </c>
      <c r="K419" s="331">
        <f t="shared" si="547"/>
        <v>0</v>
      </c>
      <c r="L419" s="272">
        <f t="shared" si="548"/>
        <v>0</v>
      </c>
      <c r="M419" s="273">
        <f t="shared" si="549"/>
        <v>0</v>
      </c>
      <c r="N419" s="335" t="str">
        <f t="shared" si="550"/>
        <v>-</v>
      </c>
      <c r="O419" s="263" t="str">
        <f t="shared" si="514"/>
        <v>-</v>
      </c>
    </row>
    <row r="420" spans="1:15" ht="24" x14ac:dyDescent="0.25">
      <c r="A420" s="274" t="s">
        <v>101</v>
      </c>
      <c r="B420" s="849"/>
      <c r="C420" s="721" t="s">
        <v>27</v>
      </c>
      <c r="D420" s="742" t="s">
        <v>332</v>
      </c>
      <c r="E420" s="739"/>
      <c r="F420" s="281"/>
      <c r="G420" s="331">
        <f t="shared" si="546"/>
        <v>0</v>
      </c>
      <c r="H420" s="278">
        <v>0</v>
      </c>
      <c r="I420" s="278">
        <v>0</v>
      </c>
      <c r="J420" s="349" t="str">
        <f t="shared" si="551"/>
        <v>-</v>
      </c>
      <c r="K420" s="331">
        <f t="shared" si="547"/>
        <v>0</v>
      </c>
      <c r="L420" s="272">
        <f t="shared" si="548"/>
        <v>0</v>
      </c>
      <c r="M420" s="273">
        <f t="shared" si="549"/>
        <v>0</v>
      </c>
      <c r="N420" s="335" t="str">
        <f t="shared" si="550"/>
        <v>-</v>
      </c>
      <c r="O420" s="263" t="str">
        <f t="shared" si="514"/>
        <v>-</v>
      </c>
    </row>
    <row r="421" spans="1:15" ht="24" x14ac:dyDescent="0.25">
      <c r="A421" s="274" t="s">
        <v>101</v>
      </c>
      <c r="B421" s="849"/>
      <c r="C421" s="721" t="s">
        <v>27</v>
      </c>
      <c r="D421" s="743" t="s">
        <v>468</v>
      </c>
      <c r="E421" s="739"/>
      <c r="F421" s="281"/>
      <c r="G421" s="331">
        <f t="shared" si="546"/>
        <v>0</v>
      </c>
      <c r="H421" s="278">
        <v>0</v>
      </c>
      <c r="I421" s="278">
        <v>0</v>
      </c>
      <c r="J421" s="349" t="str">
        <f t="shared" si="551"/>
        <v>-</v>
      </c>
      <c r="K421" s="331">
        <f t="shared" si="547"/>
        <v>0</v>
      </c>
      <c r="L421" s="272">
        <f t="shared" si="548"/>
        <v>0</v>
      </c>
      <c r="M421" s="273">
        <f t="shared" si="549"/>
        <v>0</v>
      </c>
      <c r="N421" s="335" t="str">
        <f t="shared" si="550"/>
        <v>-</v>
      </c>
      <c r="O421" s="263" t="str">
        <f t="shared" si="514"/>
        <v>-</v>
      </c>
    </row>
    <row r="422" spans="1:15" ht="24" x14ac:dyDescent="0.25">
      <c r="A422" s="274" t="s">
        <v>101</v>
      </c>
      <c r="B422" s="849"/>
      <c r="C422" s="736" t="s">
        <v>475</v>
      </c>
      <c r="D422" s="742" t="s">
        <v>233</v>
      </c>
      <c r="E422" s="739"/>
      <c r="F422" s="281"/>
      <c r="G422" s="331">
        <f t="shared" si="546"/>
        <v>0</v>
      </c>
      <c r="H422" s="278">
        <v>0</v>
      </c>
      <c r="I422" s="278">
        <v>0</v>
      </c>
      <c r="J422" s="349" t="str">
        <f t="shared" si="551"/>
        <v>-</v>
      </c>
      <c r="K422" s="331">
        <f t="shared" si="547"/>
        <v>0</v>
      </c>
      <c r="L422" s="272">
        <f t="shared" si="548"/>
        <v>0</v>
      </c>
      <c r="M422" s="273">
        <f t="shared" si="549"/>
        <v>0</v>
      </c>
      <c r="N422" s="335" t="str">
        <f t="shared" si="550"/>
        <v>-</v>
      </c>
      <c r="O422" s="263" t="str">
        <f t="shared" si="514"/>
        <v>-</v>
      </c>
    </row>
    <row r="423" spans="1:15" ht="24" x14ac:dyDescent="0.25">
      <c r="A423" s="274"/>
      <c r="B423" s="849"/>
      <c r="C423" s="721" t="s">
        <v>485</v>
      </c>
      <c r="D423" s="742" t="s">
        <v>502</v>
      </c>
      <c r="E423" s="739"/>
      <c r="F423" s="281"/>
      <c r="G423" s="332">
        <f t="shared" si="546"/>
        <v>0</v>
      </c>
      <c r="H423" s="278"/>
      <c r="I423" s="278"/>
      <c r="J423" s="349" t="str">
        <f t="shared" si="551"/>
        <v>-</v>
      </c>
      <c r="K423" s="332">
        <f t="shared" si="547"/>
        <v>37292</v>
      </c>
      <c r="L423" s="272">
        <f t="shared" si="548"/>
        <v>35802</v>
      </c>
      <c r="M423" s="273">
        <f t="shared" si="549"/>
        <v>1490</v>
      </c>
      <c r="N423" s="335" t="str">
        <f t="shared" si="550"/>
        <v>-</v>
      </c>
      <c r="O423" s="263">
        <f t="shared" si="514"/>
        <v>3.9954950123350853E-2</v>
      </c>
    </row>
    <row r="424" spans="1:15" ht="24" x14ac:dyDescent="0.25">
      <c r="A424" s="274"/>
      <c r="B424" s="849"/>
      <c r="C424" s="721" t="s">
        <v>331</v>
      </c>
      <c r="D424" s="742" t="s">
        <v>502</v>
      </c>
      <c r="E424" s="739"/>
      <c r="F424" s="281"/>
      <c r="G424" s="332">
        <f t="shared" si="546"/>
        <v>40520</v>
      </c>
      <c r="H424" s="278">
        <v>39780</v>
      </c>
      <c r="I424" s="278">
        <v>740</v>
      </c>
      <c r="J424" s="349" t="str">
        <f t="shared" si="551"/>
        <v>-</v>
      </c>
      <c r="K424" s="332">
        <f t="shared" si="547"/>
        <v>141200</v>
      </c>
      <c r="L424" s="272">
        <f t="shared" si="548"/>
        <v>139230</v>
      </c>
      <c r="M424" s="273">
        <f t="shared" si="549"/>
        <v>1970</v>
      </c>
      <c r="N424" s="335" t="str">
        <f t="shared" si="550"/>
        <v>-</v>
      </c>
      <c r="O424" s="263">
        <f t="shared" si="514"/>
        <v>1.395184135977337E-2</v>
      </c>
    </row>
    <row r="425" spans="1:15" ht="24" x14ac:dyDescent="0.25">
      <c r="A425" s="274"/>
      <c r="B425" s="849"/>
      <c r="C425" s="721" t="s">
        <v>429</v>
      </c>
      <c r="D425" s="742" t="s">
        <v>480</v>
      </c>
      <c r="E425" s="739"/>
      <c r="F425" s="281"/>
      <c r="G425" s="332">
        <f t="shared" si="546"/>
        <v>0</v>
      </c>
      <c r="H425" s="278">
        <v>0</v>
      </c>
      <c r="I425" s="278">
        <v>0</v>
      </c>
      <c r="J425" s="349" t="str">
        <f t="shared" si="551"/>
        <v>-</v>
      </c>
      <c r="K425" s="332">
        <f t="shared" si="547"/>
        <v>0</v>
      </c>
      <c r="L425" s="272">
        <f t="shared" si="548"/>
        <v>0</v>
      </c>
      <c r="M425" s="272">
        <f t="shared" si="549"/>
        <v>0</v>
      </c>
      <c r="N425" s="335" t="str">
        <f t="shared" si="550"/>
        <v>-</v>
      </c>
      <c r="O425" s="263" t="str">
        <f t="shared" si="514"/>
        <v>-</v>
      </c>
    </row>
    <row r="426" spans="1:15" ht="24" x14ac:dyDescent="0.25">
      <c r="A426" s="274"/>
      <c r="B426" s="849"/>
      <c r="C426" s="721" t="s">
        <v>380</v>
      </c>
      <c r="D426" s="742" t="s">
        <v>364</v>
      </c>
      <c r="E426" s="739"/>
      <c r="F426" s="281"/>
      <c r="G426" s="332">
        <f t="shared" si="546"/>
        <v>0</v>
      </c>
      <c r="H426" s="278">
        <v>0</v>
      </c>
      <c r="I426" s="278">
        <v>0</v>
      </c>
      <c r="J426" s="349" t="str">
        <f t="shared" si="551"/>
        <v>-</v>
      </c>
      <c r="K426" s="332">
        <f t="shared" si="547"/>
        <v>0</v>
      </c>
      <c r="L426" s="272">
        <f t="shared" si="548"/>
        <v>0</v>
      </c>
      <c r="M426" s="273">
        <f t="shared" si="549"/>
        <v>0</v>
      </c>
      <c r="N426" s="335" t="str">
        <f t="shared" si="550"/>
        <v>-</v>
      </c>
      <c r="O426" s="263" t="str">
        <f t="shared" si="514"/>
        <v>-</v>
      </c>
    </row>
    <row r="427" spans="1:15" ht="24.75" thickBot="1" x14ac:dyDescent="0.3">
      <c r="A427" s="274" t="s">
        <v>101</v>
      </c>
      <c r="B427" s="849"/>
      <c r="C427" s="737" t="s">
        <v>504</v>
      </c>
      <c r="D427" s="744" t="s">
        <v>288</v>
      </c>
      <c r="E427" s="739"/>
      <c r="F427" s="281"/>
      <c r="G427" s="332">
        <f t="shared" si="546"/>
        <v>0</v>
      </c>
      <c r="H427" s="278"/>
      <c r="I427" s="278"/>
      <c r="J427" s="349" t="str">
        <f t="shared" si="551"/>
        <v>-</v>
      </c>
      <c r="K427" s="332">
        <f t="shared" si="547"/>
        <v>109171</v>
      </c>
      <c r="L427" s="272">
        <f t="shared" si="548"/>
        <v>107406</v>
      </c>
      <c r="M427" s="273">
        <f t="shared" si="549"/>
        <v>1765</v>
      </c>
      <c r="N427" s="335" t="str">
        <f t="shared" si="550"/>
        <v>-</v>
      </c>
      <c r="O427" s="345">
        <f t="shared" si="514"/>
        <v>1.6167297175989959E-2</v>
      </c>
    </row>
    <row r="428" spans="1:15" ht="23.25" thickBot="1" x14ac:dyDescent="0.3">
      <c r="A428" s="274" t="s">
        <v>101</v>
      </c>
      <c r="B428" s="866"/>
      <c r="C428" s="300"/>
      <c r="D428" s="740" t="s">
        <v>52</v>
      </c>
      <c r="E428" s="283">
        <f>SUM(E418:E427)</f>
        <v>2047672</v>
      </c>
      <c r="F428" s="284">
        <v>160000</v>
      </c>
      <c r="G428" s="319">
        <f>SUM(G418:G427)</f>
        <v>40520</v>
      </c>
      <c r="H428" s="320">
        <f>SUM(H418:H427)</f>
        <v>39780</v>
      </c>
      <c r="I428" s="320">
        <f>SUM(I418:I427)</f>
        <v>740</v>
      </c>
      <c r="J428" s="343">
        <f>+G428/F428</f>
        <v>0.25324999999999998</v>
      </c>
      <c r="K428" s="319">
        <f>SUM(K418:K427)</f>
        <v>287663</v>
      </c>
      <c r="L428" s="320">
        <f>SUM(L418:L427)</f>
        <v>282438</v>
      </c>
      <c r="M428" s="321">
        <f>SUM(M418:M427)</f>
        <v>5225</v>
      </c>
      <c r="N428" s="337">
        <f t="shared" si="550"/>
        <v>0.14048294844096124</v>
      </c>
      <c r="O428" s="343">
        <f t="shared" si="514"/>
        <v>1.8163615063459673E-2</v>
      </c>
    </row>
    <row r="429" spans="1:15" ht="24" x14ac:dyDescent="0.25">
      <c r="A429" s="274" t="s">
        <v>101</v>
      </c>
      <c r="B429" s="848" t="s">
        <v>28</v>
      </c>
      <c r="C429" s="298" t="s">
        <v>27</v>
      </c>
      <c r="D429" s="296" t="s">
        <v>468</v>
      </c>
      <c r="E429" s="270"/>
      <c r="F429" s="271"/>
      <c r="G429" s="330">
        <f t="shared" ref="G429:G433" si="552">+H429+I429</f>
        <v>0</v>
      </c>
      <c r="H429" s="272">
        <v>0</v>
      </c>
      <c r="I429" s="272">
        <v>0</v>
      </c>
      <c r="J429" s="349" t="str">
        <f>IFERROR(G429/F429,"-")</f>
        <v>-</v>
      </c>
      <c r="K429" s="330">
        <f t="shared" ref="K429:K435" si="553">+L429+M429</f>
        <v>0</v>
      </c>
      <c r="L429" s="272">
        <f t="shared" ref="L429:L435" si="554">+H429+L311</f>
        <v>0</v>
      </c>
      <c r="M429" s="273">
        <f t="shared" ref="M429:M435" si="555">+I429+M311</f>
        <v>0</v>
      </c>
      <c r="N429" s="334" t="str">
        <f t="shared" si="550"/>
        <v>-</v>
      </c>
      <c r="O429" s="344" t="str">
        <f t="shared" si="514"/>
        <v>-</v>
      </c>
    </row>
    <row r="430" spans="1:15" ht="24" x14ac:dyDescent="0.25">
      <c r="A430" s="274" t="s">
        <v>101</v>
      </c>
      <c r="B430" s="849"/>
      <c r="C430" s="298" t="s">
        <v>383</v>
      </c>
      <c r="D430" s="298" t="s">
        <v>332</v>
      </c>
      <c r="E430" s="276"/>
      <c r="F430" s="277"/>
      <c r="G430" s="331">
        <f t="shared" si="552"/>
        <v>0</v>
      </c>
      <c r="H430" s="278">
        <v>0</v>
      </c>
      <c r="I430" s="278">
        <v>0</v>
      </c>
      <c r="J430" s="349" t="str">
        <f t="shared" ref="J430:J435" si="556">IFERROR(G430/F430,"-")</f>
        <v>-</v>
      </c>
      <c r="K430" s="331">
        <f t="shared" si="553"/>
        <v>0</v>
      </c>
      <c r="L430" s="272">
        <f t="shared" si="554"/>
        <v>0</v>
      </c>
      <c r="M430" s="273">
        <f t="shared" si="555"/>
        <v>0</v>
      </c>
      <c r="N430" s="335" t="str">
        <f t="shared" si="550"/>
        <v>-</v>
      </c>
      <c r="O430" s="263" t="str">
        <f t="shared" si="514"/>
        <v>-</v>
      </c>
    </row>
    <row r="431" spans="1:15" ht="24" x14ac:dyDescent="0.25">
      <c r="A431" s="274" t="s">
        <v>101</v>
      </c>
      <c r="B431" s="849"/>
      <c r="C431" s="298" t="s">
        <v>27</v>
      </c>
      <c r="D431" s="298" t="s">
        <v>332</v>
      </c>
      <c r="E431" s="276"/>
      <c r="F431" s="277"/>
      <c r="G431" s="331">
        <f t="shared" si="552"/>
        <v>0</v>
      </c>
      <c r="H431" s="278">
        <v>0</v>
      </c>
      <c r="I431" s="278">
        <v>0</v>
      </c>
      <c r="J431" s="349" t="str">
        <f t="shared" si="556"/>
        <v>-</v>
      </c>
      <c r="K431" s="331">
        <f t="shared" si="553"/>
        <v>0</v>
      </c>
      <c r="L431" s="272">
        <f t="shared" si="554"/>
        <v>0</v>
      </c>
      <c r="M431" s="273">
        <f t="shared" si="555"/>
        <v>0</v>
      </c>
      <c r="N431" s="335" t="str">
        <f t="shared" si="550"/>
        <v>-</v>
      </c>
      <c r="O431" s="263" t="str">
        <f t="shared" si="514"/>
        <v>-</v>
      </c>
    </row>
    <row r="432" spans="1:15" ht="24" x14ac:dyDescent="0.25">
      <c r="A432" s="274"/>
      <c r="B432" s="849"/>
      <c r="C432" s="298" t="s">
        <v>454</v>
      </c>
      <c r="D432" s="298" t="s">
        <v>332</v>
      </c>
      <c r="E432" s="280"/>
      <c r="F432" s="281"/>
      <c r="G432" s="331">
        <f t="shared" si="552"/>
        <v>0</v>
      </c>
      <c r="H432" s="278">
        <v>0</v>
      </c>
      <c r="I432" s="278">
        <v>0</v>
      </c>
      <c r="J432" s="349" t="str">
        <f t="shared" si="556"/>
        <v>-</v>
      </c>
      <c r="K432" s="331">
        <f t="shared" si="553"/>
        <v>0</v>
      </c>
      <c r="L432" s="272">
        <f t="shared" si="554"/>
        <v>0</v>
      </c>
      <c r="M432" s="273">
        <f t="shared" si="555"/>
        <v>0</v>
      </c>
      <c r="N432" s="335" t="str">
        <f t="shared" si="550"/>
        <v>-</v>
      </c>
      <c r="O432" s="263" t="str">
        <f t="shared" si="514"/>
        <v>-</v>
      </c>
    </row>
    <row r="433" spans="1:15" ht="24" x14ac:dyDescent="0.25">
      <c r="A433" s="274" t="s">
        <v>101</v>
      </c>
      <c r="B433" s="849"/>
      <c r="C433" s="298" t="s">
        <v>503</v>
      </c>
      <c r="D433" s="742" t="s">
        <v>502</v>
      </c>
      <c r="E433" s="280"/>
      <c r="F433" s="281"/>
      <c r="G433" s="332">
        <f t="shared" si="552"/>
        <v>0</v>
      </c>
      <c r="H433" s="278"/>
      <c r="I433" s="278"/>
      <c r="J433" s="349" t="str">
        <f t="shared" si="556"/>
        <v>-</v>
      </c>
      <c r="K433" s="332">
        <f t="shared" si="553"/>
        <v>81337</v>
      </c>
      <c r="L433" s="272">
        <f t="shared" si="554"/>
        <v>79560</v>
      </c>
      <c r="M433" s="806">
        <f t="shared" si="555"/>
        <v>1777</v>
      </c>
      <c r="N433" s="336" t="str">
        <f t="shared" si="550"/>
        <v>-</v>
      </c>
      <c r="O433" s="345">
        <f t="shared" si="514"/>
        <v>2.1847375733061215E-2</v>
      </c>
    </row>
    <row r="434" spans="1:15" ht="24" x14ac:dyDescent="0.25">
      <c r="A434" s="274"/>
      <c r="B434" s="849"/>
      <c r="C434" s="298" t="s">
        <v>452</v>
      </c>
      <c r="D434" s="742" t="s">
        <v>502</v>
      </c>
      <c r="E434" s="280"/>
      <c r="F434" s="281"/>
      <c r="G434" s="332"/>
      <c r="H434" s="278">
        <v>151164</v>
      </c>
      <c r="I434" s="278">
        <v>1243</v>
      </c>
      <c r="J434" s="349" t="str">
        <f t="shared" si="556"/>
        <v>-</v>
      </c>
      <c r="K434" s="332">
        <f t="shared" si="553"/>
        <v>244798</v>
      </c>
      <c r="L434" s="272">
        <f t="shared" si="554"/>
        <v>242658</v>
      </c>
      <c r="M434" s="674">
        <f t="shared" si="555"/>
        <v>2140</v>
      </c>
      <c r="N434" s="336" t="str">
        <f t="shared" si="550"/>
        <v>-</v>
      </c>
      <c r="O434" s="345">
        <f t="shared" si="514"/>
        <v>8.7419014861232526E-3</v>
      </c>
    </row>
    <row r="435" spans="1:15" ht="24.75" thickBot="1" x14ac:dyDescent="0.3">
      <c r="A435" s="274" t="s">
        <v>101</v>
      </c>
      <c r="B435" s="849"/>
      <c r="C435" s="737" t="s">
        <v>504</v>
      </c>
      <c r="D435" s="299" t="s">
        <v>178</v>
      </c>
      <c r="E435" s="280"/>
      <c r="F435" s="281"/>
      <c r="G435" s="332">
        <f t="shared" ref="G435" si="557">+H435+I435</f>
        <v>0</v>
      </c>
      <c r="H435" s="278"/>
      <c r="I435" s="278"/>
      <c r="J435" s="349" t="str">
        <f t="shared" si="556"/>
        <v>-</v>
      </c>
      <c r="K435" s="332">
        <f t="shared" si="553"/>
        <v>72892</v>
      </c>
      <c r="L435" s="272">
        <f t="shared" si="554"/>
        <v>71604</v>
      </c>
      <c r="M435" s="806">
        <f t="shared" si="555"/>
        <v>1288</v>
      </c>
      <c r="N435" s="336" t="str">
        <f t="shared" si="550"/>
        <v>-</v>
      </c>
      <c r="O435" s="345">
        <f t="shared" si="514"/>
        <v>1.7669977500960325E-2</v>
      </c>
    </row>
    <row r="436" spans="1:15" ht="23.25" thickBot="1" x14ac:dyDescent="0.3">
      <c r="A436" s="274" t="s">
        <v>101</v>
      </c>
      <c r="B436" s="849"/>
      <c r="C436" s="303"/>
      <c r="D436" s="304" t="s">
        <v>52</v>
      </c>
      <c r="E436" s="305">
        <f>SUM(E429:E435)</f>
        <v>0</v>
      </c>
      <c r="F436" s="306">
        <v>80000</v>
      </c>
      <c r="G436" s="364">
        <f>SUM(G429:G435)</f>
        <v>0</v>
      </c>
      <c r="H436" s="363">
        <f>SUM(H429:H435)</f>
        <v>151164</v>
      </c>
      <c r="I436" s="363">
        <f>SUM(I429:I435)</f>
        <v>1243</v>
      </c>
      <c r="J436" s="354">
        <f>+G436/F436</f>
        <v>0</v>
      </c>
      <c r="K436" s="364">
        <f>SUM(K429:K435)</f>
        <v>399027</v>
      </c>
      <c r="L436" s="363">
        <f>SUM(L429:L435)</f>
        <v>393822</v>
      </c>
      <c r="M436" s="365">
        <f>SUM(M429:M435)</f>
        <v>5205</v>
      </c>
      <c r="N436" s="353" t="str">
        <f t="shared" si="550"/>
        <v>-</v>
      </c>
      <c r="O436" s="354">
        <f t="shared" si="514"/>
        <v>1.3044230089693179E-2</v>
      </c>
    </row>
    <row r="437" spans="1:15" ht="23.25" thickBot="1" x14ac:dyDescent="0.3">
      <c r="A437" s="816" t="s">
        <v>101</v>
      </c>
      <c r="B437" s="850" t="s">
        <v>162</v>
      </c>
      <c r="C437" s="851"/>
      <c r="D437" s="852"/>
      <c r="E437" s="307">
        <f>+E436+E428</f>
        <v>2047672</v>
      </c>
      <c r="F437" s="308">
        <f>+F436+F428</f>
        <v>240000</v>
      </c>
      <c r="G437" s="367">
        <f>+G428+G436</f>
        <v>40520</v>
      </c>
      <c r="H437" s="366">
        <f>+H428+H436</f>
        <v>190944</v>
      </c>
      <c r="I437" s="366">
        <f>+I428+I436</f>
        <v>1983</v>
      </c>
      <c r="J437" s="356">
        <f>+G437/F437</f>
        <v>0.16883333333333334</v>
      </c>
      <c r="K437" s="367">
        <f>+K428+K436</f>
        <v>686690</v>
      </c>
      <c r="L437" s="366">
        <f>+L428+L436</f>
        <v>676260</v>
      </c>
      <c r="M437" s="368">
        <f>+M428+M436</f>
        <v>10430</v>
      </c>
      <c r="N437" s="355">
        <f>IFERROR(K437/E437,"-")</f>
        <v>0.33535156021081503</v>
      </c>
      <c r="O437" s="356">
        <f t="shared" si="514"/>
        <v>1.5188804263932779E-2</v>
      </c>
    </row>
    <row r="438" spans="1:15" ht="24" x14ac:dyDescent="0.25">
      <c r="A438" s="274" t="s">
        <v>101</v>
      </c>
      <c r="B438" s="849" t="s">
        <v>30</v>
      </c>
      <c r="C438" s="302" t="s">
        <v>441</v>
      </c>
      <c r="D438" s="298" t="s">
        <v>468</v>
      </c>
      <c r="E438" s="270">
        <v>1120000</v>
      </c>
      <c r="F438" s="271"/>
      <c r="G438" s="330">
        <f t="shared" ref="G438:G440" si="558">+H438+I438</f>
        <v>0</v>
      </c>
      <c r="H438" s="272">
        <v>0</v>
      </c>
      <c r="I438" s="272">
        <v>0</v>
      </c>
      <c r="J438" s="349" t="str">
        <f>IFERROR(G438/F438,"-")</f>
        <v>-</v>
      </c>
      <c r="K438" s="330">
        <f t="shared" ref="K438:K440" si="559">+L438+M438</f>
        <v>0</v>
      </c>
      <c r="L438" s="272">
        <f t="shared" ref="L438:L440" si="560">+H438+L320</f>
        <v>0</v>
      </c>
      <c r="M438" s="273">
        <f t="shared" ref="M438:M440" si="561">+I438+M320</f>
        <v>0</v>
      </c>
      <c r="N438" s="334">
        <f t="shared" ref="N438:N451" si="562">IFERROR(K438/E438,"-")</f>
        <v>0</v>
      </c>
      <c r="O438" s="344" t="str">
        <f t="shared" si="514"/>
        <v>-</v>
      </c>
    </row>
    <row r="439" spans="1:15" ht="24" x14ac:dyDescent="0.25">
      <c r="A439" s="274" t="s">
        <v>101</v>
      </c>
      <c r="B439" s="849"/>
      <c r="C439" s="299" t="s">
        <v>482</v>
      </c>
      <c r="D439" s="302" t="s">
        <v>476</v>
      </c>
      <c r="E439" s="276"/>
      <c r="F439" s="277"/>
      <c r="G439" s="331">
        <f t="shared" si="558"/>
        <v>0</v>
      </c>
      <c r="H439" s="278">
        <v>0</v>
      </c>
      <c r="I439" s="278">
        <v>0</v>
      </c>
      <c r="J439" s="349" t="str">
        <f t="shared" ref="J439:J440" si="563">IFERROR(G439/F439,"-")</f>
        <v>-</v>
      </c>
      <c r="K439" s="331">
        <f t="shared" si="559"/>
        <v>0</v>
      </c>
      <c r="L439" s="272">
        <f t="shared" si="560"/>
        <v>0</v>
      </c>
      <c r="M439" s="273">
        <f t="shared" si="561"/>
        <v>0</v>
      </c>
      <c r="N439" s="335" t="str">
        <f t="shared" si="562"/>
        <v>-</v>
      </c>
      <c r="O439" s="263" t="str">
        <f t="shared" si="514"/>
        <v>-</v>
      </c>
    </row>
    <row r="440" spans="1:15" ht="24.75" thickBot="1" x14ac:dyDescent="0.3">
      <c r="A440" s="274" t="s">
        <v>101</v>
      </c>
      <c r="B440" s="849"/>
      <c r="C440" s="299" t="s">
        <v>290</v>
      </c>
      <c r="D440" s="299" t="s">
        <v>364</v>
      </c>
      <c r="E440" s="280"/>
      <c r="F440" s="281"/>
      <c r="G440" s="332">
        <f t="shared" si="558"/>
        <v>0</v>
      </c>
      <c r="H440" s="282">
        <v>0</v>
      </c>
      <c r="I440" s="282">
        <v>0</v>
      </c>
      <c r="J440" s="349" t="str">
        <f t="shared" si="563"/>
        <v>-</v>
      </c>
      <c r="K440" s="332">
        <f t="shared" si="559"/>
        <v>4844</v>
      </c>
      <c r="L440" s="272">
        <f t="shared" si="560"/>
        <v>3744</v>
      </c>
      <c r="M440" s="273">
        <f t="shared" si="561"/>
        <v>1100</v>
      </c>
      <c r="N440" s="336" t="str">
        <f t="shared" si="562"/>
        <v>-</v>
      </c>
      <c r="O440" s="345">
        <f t="shared" si="514"/>
        <v>0.22708505367464904</v>
      </c>
    </row>
    <row r="441" spans="1:15" ht="23.25" thickBot="1" x14ac:dyDescent="0.3">
      <c r="A441" s="274" t="s">
        <v>101</v>
      </c>
      <c r="B441" s="849"/>
      <c r="C441" s="300"/>
      <c r="D441" s="301" t="s">
        <v>50</v>
      </c>
      <c r="E441" s="283">
        <f>SUM(E438:E440)</f>
        <v>1120000</v>
      </c>
      <c r="F441" s="284">
        <v>50000</v>
      </c>
      <c r="G441" s="319">
        <f>SUM(G438:G440)</f>
        <v>0</v>
      </c>
      <c r="H441" s="320">
        <f>SUM(H438:H440)</f>
        <v>0</v>
      </c>
      <c r="I441" s="320">
        <f>SUM(I438:I440)</f>
        <v>0</v>
      </c>
      <c r="J441" s="343">
        <f>+G441/F441</f>
        <v>0</v>
      </c>
      <c r="K441" s="319">
        <f>SUM(K438:K440)</f>
        <v>4844</v>
      </c>
      <c r="L441" s="320">
        <f>SUM(L438:L440)</f>
        <v>3744</v>
      </c>
      <c r="M441" s="321">
        <f>SUM(M438:M440)</f>
        <v>1100</v>
      </c>
      <c r="N441" s="337">
        <f t="shared" si="562"/>
        <v>4.3249999999999999E-3</v>
      </c>
      <c r="O441" s="343">
        <f t="shared" si="514"/>
        <v>0.22708505367464904</v>
      </c>
    </row>
    <row r="442" spans="1:15" ht="24" x14ac:dyDescent="0.25">
      <c r="A442" s="274" t="s">
        <v>101</v>
      </c>
      <c r="B442" s="849"/>
      <c r="C442" s="296" t="s">
        <v>430</v>
      </c>
      <c r="D442" s="296" t="s">
        <v>92</v>
      </c>
      <c r="E442" s="270"/>
      <c r="F442" s="271"/>
      <c r="G442" s="330">
        <f t="shared" ref="G442:G447" si="564">+H442+I442</f>
        <v>0</v>
      </c>
      <c r="H442" s="272">
        <v>0</v>
      </c>
      <c r="I442" s="272">
        <v>0</v>
      </c>
      <c r="J442" s="349" t="str">
        <f>IFERROR(G442/F442,"-")</f>
        <v>-</v>
      </c>
      <c r="K442" s="330">
        <f t="shared" ref="K442:K447" si="565">+L442+M442</f>
        <v>0</v>
      </c>
      <c r="L442" s="272">
        <f t="shared" ref="L442:L447" si="566">+H442+L324</f>
        <v>0</v>
      </c>
      <c r="M442" s="273">
        <f t="shared" ref="M442:M447" si="567">+I442+M324</f>
        <v>0</v>
      </c>
      <c r="N442" s="334" t="str">
        <f t="shared" si="562"/>
        <v>-</v>
      </c>
      <c r="O442" s="344" t="str">
        <f t="shared" si="514"/>
        <v>-</v>
      </c>
    </row>
    <row r="443" spans="1:15" ht="24" x14ac:dyDescent="0.25">
      <c r="A443" s="274"/>
      <c r="B443" s="849"/>
      <c r="C443" s="302" t="s">
        <v>444</v>
      </c>
      <c r="D443" s="298" t="s">
        <v>332</v>
      </c>
      <c r="E443" s="270"/>
      <c r="F443" s="271"/>
      <c r="G443" s="330">
        <f t="shared" si="564"/>
        <v>0</v>
      </c>
      <c r="H443" s="272">
        <v>0</v>
      </c>
      <c r="I443" s="272">
        <v>0</v>
      </c>
      <c r="J443" s="349" t="str">
        <f t="shared" ref="J443:J447" si="568">IFERROR(G443/F443,"-")</f>
        <v>-</v>
      </c>
      <c r="K443" s="330">
        <f t="shared" si="565"/>
        <v>0</v>
      </c>
      <c r="L443" s="272">
        <f t="shared" si="566"/>
        <v>0</v>
      </c>
      <c r="M443" s="273">
        <f t="shared" si="567"/>
        <v>0</v>
      </c>
      <c r="N443" s="335" t="str">
        <f t="shared" si="562"/>
        <v>-</v>
      </c>
      <c r="O443" s="344" t="str">
        <f t="shared" si="514"/>
        <v>-</v>
      </c>
    </row>
    <row r="444" spans="1:15" ht="24" x14ac:dyDescent="0.25">
      <c r="A444" s="274"/>
      <c r="B444" s="849"/>
      <c r="C444" s="302" t="s">
        <v>447</v>
      </c>
      <c r="D444" s="298" t="s">
        <v>332</v>
      </c>
      <c r="E444" s="270"/>
      <c r="F444" s="271"/>
      <c r="G444" s="330">
        <f t="shared" si="564"/>
        <v>0</v>
      </c>
      <c r="H444" s="272">
        <v>0</v>
      </c>
      <c r="I444" s="272">
        <v>0</v>
      </c>
      <c r="J444" s="349" t="str">
        <f t="shared" si="568"/>
        <v>-</v>
      </c>
      <c r="K444" s="330">
        <f t="shared" si="565"/>
        <v>0</v>
      </c>
      <c r="L444" s="272">
        <f t="shared" si="566"/>
        <v>0</v>
      </c>
      <c r="M444" s="273">
        <f t="shared" si="567"/>
        <v>0</v>
      </c>
      <c r="N444" s="335" t="str">
        <f t="shared" si="562"/>
        <v>-</v>
      </c>
      <c r="O444" s="344" t="str">
        <f t="shared" si="514"/>
        <v>-</v>
      </c>
    </row>
    <row r="445" spans="1:15" ht="24" x14ac:dyDescent="0.25">
      <c r="A445" s="274" t="s">
        <v>101</v>
      </c>
      <c r="B445" s="849"/>
      <c r="C445" s="302" t="s">
        <v>474</v>
      </c>
      <c r="D445" s="299" t="s">
        <v>421</v>
      </c>
      <c r="E445" s="276"/>
      <c r="F445" s="277"/>
      <c r="G445" s="331">
        <f t="shared" si="564"/>
        <v>0</v>
      </c>
      <c r="H445" s="278">
        <v>0</v>
      </c>
      <c r="I445" s="272">
        <v>0</v>
      </c>
      <c r="J445" s="349" t="str">
        <f t="shared" si="568"/>
        <v>-</v>
      </c>
      <c r="K445" s="331">
        <f t="shared" si="565"/>
        <v>0</v>
      </c>
      <c r="L445" s="272">
        <f t="shared" si="566"/>
        <v>0</v>
      </c>
      <c r="M445" s="273">
        <f t="shared" si="567"/>
        <v>0</v>
      </c>
      <c r="N445" s="335" t="str">
        <f t="shared" si="562"/>
        <v>-</v>
      </c>
      <c r="O445" s="263" t="str">
        <f t="shared" si="514"/>
        <v>-</v>
      </c>
    </row>
    <row r="446" spans="1:15" ht="24" x14ac:dyDescent="0.25">
      <c r="A446" s="274"/>
      <c r="B446" s="849"/>
      <c r="C446" s="299" t="s">
        <v>453</v>
      </c>
      <c r="D446" s="299" t="s">
        <v>364</v>
      </c>
      <c r="E446" s="280"/>
      <c r="F446" s="281"/>
      <c r="G446" s="332">
        <f t="shared" si="564"/>
        <v>0</v>
      </c>
      <c r="H446" s="282">
        <v>0</v>
      </c>
      <c r="I446" s="278">
        <v>0</v>
      </c>
      <c r="J446" s="349" t="str">
        <f t="shared" si="568"/>
        <v>-</v>
      </c>
      <c r="K446" s="331">
        <f t="shared" si="565"/>
        <v>0</v>
      </c>
      <c r="L446" s="272">
        <f t="shared" si="566"/>
        <v>0</v>
      </c>
      <c r="M446" s="272">
        <f t="shared" si="567"/>
        <v>0</v>
      </c>
      <c r="N446" s="335" t="str">
        <f t="shared" si="562"/>
        <v>-</v>
      </c>
      <c r="O446" s="263" t="str">
        <f t="shared" si="514"/>
        <v>-</v>
      </c>
    </row>
    <row r="447" spans="1:15" ht="24.75" thickBot="1" x14ac:dyDescent="0.3">
      <c r="A447" s="274" t="s">
        <v>101</v>
      </c>
      <c r="B447" s="849"/>
      <c r="C447" s="299" t="s">
        <v>431</v>
      </c>
      <c r="D447" s="299" t="s">
        <v>421</v>
      </c>
      <c r="E447" s="280"/>
      <c r="F447" s="281"/>
      <c r="G447" s="332">
        <f t="shared" si="564"/>
        <v>0</v>
      </c>
      <c r="H447" s="282">
        <v>0</v>
      </c>
      <c r="I447" s="272">
        <v>0</v>
      </c>
      <c r="J447" s="349" t="str">
        <f t="shared" si="568"/>
        <v>-</v>
      </c>
      <c r="K447" s="332">
        <f t="shared" si="565"/>
        <v>0</v>
      </c>
      <c r="L447" s="272">
        <f t="shared" si="566"/>
        <v>0</v>
      </c>
      <c r="M447" s="273">
        <f t="shared" si="567"/>
        <v>0</v>
      </c>
      <c r="N447" s="336" t="str">
        <f t="shared" si="562"/>
        <v>-</v>
      </c>
      <c r="O447" s="345" t="str">
        <f t="shared" si="514"/>
        <v>-</v>
      </c>
    </row>
    <row r="448" spans="1:15" ht="23.25" thickBot="1" x14ac:dyDescent="0.3">
      <c r="A448" s="274" t="s">
        <v>101</v>
      </c>
      <c r="B448" s="849"/>
      <c r="C448" s="303"/>
      <c r="D448" s="304" t="s">
        <v>51</v>
      </c>
      <c r="E448" s="305">
        <f>SUM(E442:E447)</f>
        <v>0</v>
      </c>
      <c r="F448" s="306">
        <v>50000</v>
      </c>
      <c r="G448" s="364">
        <f>SUM(G442:G447)</f>
        <v>0</v>
      </c>
      <c r="H448" s="363">
        <f t="shared" ref="H448:I448" si="569">SUM(H442:H447)</f>
        <v>0</v>
      </c>
      <c r="I448" s="363">
        <f t="shared" si="569"/>
        <v>0</v>
      </c>
      <c r="J448" s="354">
        <f>+G448/F448</f>
        <v>0</v>
      </c>
      <c r="K448" s="364">
        <f t="shared" ref="K448:M448" si="570">SUM(K442:K447)</f>
        <v>0</v>
      </c>
      <c r="L448" s="363">
        <f t="shared" si="570"/>
        <v>0</v>
      </c>
      <c r="M448" s="365">
        <f t="shared" si="570"/>
        <v>0</v>
      </c>
      <c r="N448" s="353" t="str">
        <f t="shared" si="562"/>
        <v>-</v>
      </c>
      <c r="O448" s="354" t="str">
        <f t="shared" si="514"/>
        <v>-</v>
      </c>
    </row>
    <row r="449" spans="1:15" ht="23.25" thickBot="1" x14ac:dyDescent="0.3">
      <c r="A449" s="274" t="s">
        <v>101</v>
      </c>
      <c r="B449" s="850" t="s">
        <v>163</v>
      </c>
      <c r="C449" s="851"/>
      <c r="D449" s="852"/>
      <c r="E449" s="307">
        <f>+E448+E441</f>
        <v>1120000</v>
      </c>
      <c r="F449" s="308">
        <v>50000</v>
      </c>
      <c r="G449" s="367">
        <f>+G441+G448</f>
        <v>0</v>
      </c>
      <c r="H449" s="366">
        <f t="shared" ref="H449:I449" si="571">+H441+H448</f>
        <v>0</v>
      </c>
      <c r="I449" s="366">
        <f t="shared" si="571"/>
        <v>0</v>
      </c>
      <c r="J449" s="356">
        <f>+G449/F449</f>
        <v>0</v>
      </c>
      <c r="K449" s="367">
        <f t="shared" ref="K449:M449" si="572">+K441+K448</f>
        <v>4844</v>
      </c>
      <c r="L449" s="366">
        <f t="shared" si="572"/>
        <v>3744</v>
      </c>
      <c r="M449" s="368">
        <f t="shared" si="572"/>
        <v>1100</v>
      </c>
      <c r="N449" s="355">
        <f t="shared" si="562"/>
        <v>4.3249999999999999E-3</v>
      </c>
      <c r="O449" s="356">
        <f t="shared" si="514"/>
        <v>0.22708505367464904</v>
      </c>
    </row>
    <row r="450" spans="1:15" ht="24.75" thickBot="1" x14ac:dyDescent="0.3">
      <c r="A450" s="274" t="s">
        <v>101</v>
      </c>
      <c r="B450" s="591" t="s">
        <v>32</v>
      </c>
      <c r="C450" s="811"/>
      <c r="D450" s="309" t="s">
        <v>32</v>
      </c>
      <c r="E450" s="286">
        <v>0</v>
      </c>
      <c r="F450" s="287">
        <v>110000</v>
      </c>
      <c r="G450" s="333">
        <f t="shared" ref="G450" si="573">+H450+I450</f>
        <v>0</v>
      </c>
      <c r="H450" s="288">
        <v>0</v>
      </c>
      <c r="I450" s="288">
        <v>0</v>
      </c>
      <c r="J450" s="352">
        <f>IFERROR(G450/F450,"-")</f>
        <v>0</v>
      </c>
      <c r="K450" s="333">
        <f>+L450+M450</f>
        <v>0</v>
      </c>
      <c r="L450" s="288">
        <f>+H450+L332</f>
        <v>0</v>
      </c>
      <c r="M450" s="289">
        <f>+I450+M332</f>
        <v>0</v>
      </c>
      <c r="N450" s="338" t="str">
        <f t="shared" si="562"/>
        <v>-</v>
      </c>
      <c r="O450" s="346" t="str">
        <f t="shared" si="514"/>
        <v>-</v>
      </c>
    </row>
    <row r="451" spans="1:15" ht="23.25" thickBot="1" x14ac:dyDescent="0.3">
      <c r="A451" s="274" t="s">
        <v>101</v>
      </c>
      <c r="B451" s="853" t="s">
        <v>21</v>
      </c>
      <c r="C451" s="854"/>
      <c r="D451" s="855"/>
      <c r="E451" s="324">
        <f>+E437+E449+E450</f>
        <v>3167672</v>
      </c>
      <c r="F451" s="325">
        <f>+F437+F449+F450</f>
        <v>400000</v>
      </c>
      <c r="G451" s="324">
        <f>+G437+G449+G450</f>
        <v>40520</v>
      </c>
      <c r="H451" s="322">
        <f>+H437+H449+H450</f>
        <v>190944</v>
      </c>
      <c r="I451" s="322">
        <f>+I437+I449+I450</f>
        <v>1983</v>
      </c>
      <c r="J451" s="347">
        <f>+G451/F451</f>
        <v>0.1013</v>
      </c>
      <c r="K451" s="324">
        <f>+K437+K449+K450</f>
        <v>691534</v>
      </c>
      <c r="L451" s="322">
        <f>+L437+L449+L450</f>
        <v>680004</v>
      </c>
      <c r="M451" s="323">
        <f>+M437+M449+M450</f>
        <v>11530</v>
      </c>
      <c r="N451" s="339">
        <f t="shared" si="562"/>
        <v>0.21830985026227462</v>
      </c>
      <c r="O451" s="347">
        <f t="shared" si="514"/>
        <v>1.6673077534871749E-2</v>
      </c>
    </row>
    <row r="452" spans="1:15" ht="23.25" thickBot="1" x14ac:dyDescent="0.3">
      <c r="A452" s="274" t="s">
        <v>101</v>
      </c>
      <c r="B452" s="839" t="s">
        <v>171</v>
      </c>
      <c r="C452" s="840"/>
      <c r="D452" s="841"/>
      <c r="E452" s="328">
        <f>+E451</f>
        <v>3167672</v>
      </c>
      <c r="F452" s="329">
        <f t="shared" ref="F452:I452" si="574">+F451</f>
        <v>400000</v>
      </c>
      <c r="G452" s="328">
        <f t="shared" si="574"/>
        <v>40520</v>
      </c>
      <c r="H452" s="326">
        <f t="shared" si="574"/>
        <v>190944</v>
      </c>
      <c r="I452" s="326">
        <f t="shared" si="574"/>
        <v>1983</v>
      </c>
      <c r="J452" s="732">
        <f>+G452/F452</f>
        <v>0.1013</v>
      </c>
      <c r="K452" s="328">
        <f>+K451</f>
        <v>691534</v>
      </c>
      <c r="L452" s="326">
        <f t="shared" ref="L452" si="575">+L451</f>
        <v>680004</v>
      </c>
      <c r="M452" s="327">
        <f>+M451</f>
        <v>11530</v>
      </c>
      <c r="N452" s="340">
        <f t="shared" ref="N452:O452" si="576">+N451</f>
        <v>0.21830985026227462</v>
      </c>
      <c r="O452" s="348">
        <f t="shared" si="576"/>
        <v>1.6673077534871749E-2</v>
      </c>
    </row>
    <row r="453" spans="1:15" ht="24" x14ac:dyDescent="0.25">
      <c r="A453" s="268" t="s">
        <v>102</v>
      </c>
      <c r="B453" s="842" t="s">
        <v>399</v>
      </c>
      <c r="C453" s="310" t="s">
        <v>113</v>
      </c>
      <c r="D453" s="310"/>
      <c r="E453" s="270">
        <v>2000</v>
      </c>
      <c r="F453" s="271"/>
      <c r="G453" s="330">
        <f t="shared" ref="G453:G455" si="577">+H453+I453</f>
        <v>0</v>
      </c>
      <c r="H453" s="272">
        <v>0</v>
      </c>
      <c r="I453" s="272">
        <v>0</v>
      </c>
      <c r="J453" s="349" t="str">
        <f>IFERROR(G453/F453,"-")</f>
        <v>-</v>
      </c>
      <c r="K453" s="330">
        <f t="shared" ref="K453:K455" si="578">+L453+M453</f>
        <v>0</v>
      </c>
      <c r="L453" s="272">
        <f t="shared" ref="L453:L455" si="579">+H453+L335</f>
        <v>0</v>
      </c>
      <c r="M453" s="273">
        <f t="shared" ref="M453:M455" si="580">+I453+M335</f>
        <v>0</v>
      </c>
      <c r="N453" s="334">
        <f t="shared" ref="N453:N460" si="581">IFERROR(K453/E453,"-")</f>
        <v>0</v>
      </c>
      <c r="O453" s="344" t="str">
        <f t="shared" ref="O453:O478" si="582">IFERROR(M453/K453,"-")</f>
        <v>-</v>
      </c>
    </row>
    <row r="454" spans="1:15" ht="24" x14ac:dyDescent="0.25">
      <c r="A454" s="274" t="s">
        <v>102</v>
      </c>
      <c r="B454" s="843"/>
      <c r="C454" s="311" t="s">
        <v>246</v>
      </c>
      <c r="D454" s="311"/>
      <c r="E454" s="276"/>
      <c r="F454" s="277"/>
      <c r="G454" s="331">
        <f t="shared" si="577"/>
        <v>0</v>
      </c>
      <c r="H454" s="278">
        <v>0</v>
      </c>
      <c r="I454" s="278">
        <v>0</v>
      </c>
      <c r="J454" s="349" t="str">
        <f t="shared" ref="J454:J455" si="583">IFERROR(G454/F454,"-")</f>
        <v>-</v>
      </c>
      <c r="K454" s="331">
        <f t="shared" si="578"/>
        <v>0</v>
      </c>
      <c r="L454" s="272">
        <f t="shared" si="579"/>
        <v>0</v>
      </c>
      <c r="M454" s="273">
        <f t="shared" si="580"/>
        <v>0</v>
      </c>
      <c r="N454" s="335" t="str">
        <f t="shared" si="581"/>
        <v>-</v>
      </c>
      <c r="O454" s="263" t="str">
        <f t="shared" si="582"/>
        <v>-</v>
      </c>
    </row>
    <row r="455" spans="1:15" ht="24.75" thickBot="1" x14ac:dyDescent="0.3">
      <c r="A455" s="274" t="s">
        <v>102</v>
      </c>
      <c r="B455" s="844"/>
      <c r="C455" s="312" t="s">
        <v>33</v>
      </c>
      <c r="D455" s="312"/>
      <c r="E455" s="280"/>
      <c r="F455" s="281"/>
      <c r="G455" s="332">
        <f t="shared" si="577"/>
        <v>0</v>
      </c>
      <c r="H455" s="282">
        <v>0</v>
      </c>
      <c r="I455" s="282">
        <v>0</v>
      </c>
      <c r="J455" s="349" t="str">
        <f t="shared" si="583"/>
        <v>-</v>
      </c>
      <c r="K455" s="332">
        <f t="shared" si="578"/>
        <v>0</v>
      </c>
      <c r="L455" s="272">
        <f t="shared" si="579"/>
        <v>0</v>
      </c>
      <c r="M455" s="273">
        <f t="shared" si="580"/>
        <v>0</v>
      </c>
      <c r="N455" s="336" t="str">
        <f t="shared" si="581"/>
        <v>-</v>
      </c>
      <c r="O455" s="345" t="str">
        <f t="shared" si="582"/>
        <v>-</v>
      </c>
    </row>
    <row r="456" spans="1:15" ht="23.25" thickBot="1" x14ac:dyDescent="0.3">
      <c r="A456" s="274" t="s">
        <v>102</v>
      </c>
      <c r="B456" s="845" t="s">
        <v>34</v>
      </c>
      <c r="C456" s="846"/>
      <c r="D456" s="847"/>
      <c r="E456" s="283">
        <f>SUM(E453:E455)</f>
        <v>2000</v>
      </c>
      <c r="F456" s="284">
        <v>6500</v>
      </c>
      <c r="G456" s="319">
        <f>SUM(G453:G455)</f>
        <v>0</v>
      </c>
      <c r="H456" s="320">
        <f t="shared" ref="H456:I456" si="584">SUM(H453:H455)</f>
        <v>0</v>
      </c>
      <c r="I456" s="320">
        <f t="shared" si="584"/>
        <v>0</v>
      </c>
      <c r="J456" s="343">
        <f>IFERROR(G456/F456,"-")</f>
        <v>0</v>
      </c>
      <c r="K456" s="319">
        <f t="shared" ref="K456:M456" si="585">SUM(K453:K455)</f>
        <v>0</v>
      </c>
      <c r="L456" s="320">
        <f t="shared" si="585"/>
        <v>0</v>
      </c>
      <c r="M456" s="321">
        <f t="shared" si="585"/>
        <v>0</v>
      </c>
      <c r="N456" s="337">
        <f t="shared" si="581"/>
        <v>0</v>
      </c>
      <c r="O456" s="343" t="str">
        <f t="shared" si="582"/>
        <v>-</v>
      </c>
    </row>
    <row r="457" spans="1:15" ht="24" x14ac:dyDescent="0.25">
      <c r="A457" s="274" t="s">
        <v>102</v>
      </c>
      <c r="B457" s="842" t="s">
        <v>35</v>
      </c>
      <c r="C457" s="310" t="s">
        <v>113</v>
      </c>
      <c r="D457" s="310"/>
      <c r="E457" s="270">
        <v>106160</v>
      </c>
      <c r="F457" s="271"/>
      <c r="G457" s="330">
        <f t="shared" ref="G457:G460" si="586">+H457+I457</f>
        <v>0</v>
      </c>
      <c r="H457" s="272">
        <v>0</v>
      </c>
      <c r="I457" s="272">
        <v>0</v>
      </c>
      <c r="J457" s="349" t="str">
        <f>IFERROR(G457/F457,"-")</f>
        <v>-</v>
      </c>
      <c r="K457" s="330">
        <f t="shared" ref="K457:K460" si="587">+L457+M457</f>
        <v>0</v>
      </c>
      <c r="L457" s="272">
        <f t="shared" ref="L457:L460" si="588">+H457+L339</f>
        <v>0</v>
      </c>
      <c r="M457" s="273">
        <f t="shared" ref="M457:M460" si="589">+I457+M339</f>
        <v>0</v>
      </c>
      <c r="N457" s="334">
        <f t="shared" si="581"/>
        <v>0</v>
      </c>
      <c r="O457" s="344" t="str">
        <f t="shared" si="582"/>
        <v>-</v>
      </c>
    </row>
    <row r="458" spans="1:15" ht="24" x14ac:dyDescent="0.25">
      <c r="A458" s="274" t="s">
        <v>102</v>
      </c>
      <c r="B458" s="843"/>
      <c r="C458" s="311" t="s">
        <v>246</v>
      </c>
      <c r="D458" s="311"/>
      <c r="E458" s="276">
        <v>10000</v>
      </c>
      <c r="F458" s="277"/>
      <c r="G458" s="331">
        <f t="shared" si="586"/>
        <v>0</v>
      </c>
      <c r="H458" s="278">
        <v>0</v>
      </c>
      <c r="I458" s="278">
        <v>0</v>
      </c>
      <c r="J458" s="349" t="str">
        <f t="shared" ref="J458:J460" si="590">IFERROR(G458/F458,"-")</f>
        <v>-</v>
      </c>
      <c r="K458" s="331">
        <f t="shared" si="587"/>
        <v>0</v>
      </c>
      <c r="L458" s="272">
        <f t="shared" si="588"/>
        <v>0</v>
      </c>
      <c r="M458" s="273">
        <f t="shared" si="589"/>
        <v>0</v>
      </c>
      <c r="N458" s="335">
        <f t="shared" si="581"/>
        <v>0</v>
      </c>
      <c r="O458" s="263" t="str">
        <f t="shared" si="582"/>
        <v>-</v>
      </c>
    </row>
    <row r="459" spans="1:15" ht="24" x14ac:dyDescent="0.25">
      <c r="A459" s="274" t="s">
        <v>102</v>
      </c>
      <c r="B459" s="843"/>
      <c r="C459" s="311" t="s">
        <v>469</v>
      </c>
      <c r="D459" s="311"/>
      <c r="E459" s="276"/>
      <c r="F459" s="277"/>
      <c r="G459" s="331">
        <f t="shared" si="586"/>
        <v>0</v>
      </c>
      <c r="H459" s="278">
        <v>0</v>
      </c>
      <c r="I459" s="278">
        <v>0</v>
      </c>
      <c r="J459" s="349" t="str">
        <f t="shared" si="590"/>
        <v>-</v>
      </c>
      <c r="K459" s="331">
        <f t="shared" si="587"/>
        <v>0</v>
      </c>
      <c r="L459" s="272">
        <f t="shared" si="588"/>
        <v>0</v>
      </c>
      <c r="M459" s="273">
        <f t="shared" si="589"/>
        <v>0</v>
      </c>
      <c r="N459" s="335" t="str">
        <f t="shared" si="581"/>
        <v>-</v>
      </c>
      <c r="O459" s="263" t="str">
        <f t="shared" si="582"/>
        <v>-</v>
      </c>
    </row>
    <row r="460" spans="1:15" ht="24.75" thickBot="1" x14ac:dyDescent="0.3">
      <c r="A460" s="274" t="s">
        <v>102</v>
      </c>
      <c r="B460" s="844"/>
      <c r="C460" s="312" t="s">
        <v>36</v>
      </c>
      <c r="D460" s="312"/>
      <c r="E460" s="280"/>
      <c r="F460" s="281"/>
      <c r="G460" s="332">
        <f t="shared" si="586"/>
        <v>0</v>
      </c>
      <c r="H460" s="278">
        <v>0</v>
      </c>
      <c r="I460" s="278">
        <v>0</v>
      </c>
      <c r="J460" s="349" t="str">
        <f t="shared" si="590"/>
        <v>-</v>
      </c>
      <c r="K460" s="332">
        <f t="shared" si="587"/>
        <v>0</v>
      </c>
      <c r="L460" s="272">
        <f t="shared" si="588"/>
        <v>0</v>
      </c>
      <c r="M460" s="273">
        <f t="shared" si="589"/>
        <v>0</v>
      </c>
      <c r="N460" s="336" t="str">
        <f t="shared" si="581"/>
        <v>-</v>
      </c>
      <c r="O460" s="345" t="str">
        <f t="shared" si="582"/>
        <v>-</v>
      </c>
    </row>
    <row r="461" spans="1:15" ht="23.25" thickBot="1" x14ac:dyDescent="0.3">
      <c r="A461" s="274" t="s">
        <v>102</v>
      </c>
      <c r="B461" s="845" t="s">
        <v>37</v>
      </c>
      <c r="C461" s="846"/>
      <c r="D461" s="847"/>
      <c r="E461" s="283">
        <f>SUM(E457:E460)</f>
        <v>116160</v>
      </c>
      <c r="F461" s="284">
        <v>6500</v>
      </c>
      <c r="G461" s="319">
        <f>SUM(G457:G460)</f>
        <v>0</v>
      </c>
      <c r="H461" s="320">
        <f t="shared" ref="H461:I461" si="591">SUM(H457:H460)</f>
        <v>0</v>
      </c>
      <c r="I461" s="320">
        <f t="shared" si="591"/>
        <v>0</v>
      </c>
      <c r="J461" s="343">
        <f>IFERROR(G461/F461,"-")</f>
        <v>0</v>
      </c>
      <c r="K461" s="319">
        <f t="shared" ref="K461:M461" si="592">SUM(K457:K460)</f>
        <v>0</v>
      </c>
      <c r="L461" s="320">
        <f t="shared" si="592"/>
        <v>0</v>
      </c>
      <c r="M461" s="321">
        <f t="shared" si="592"/>
        <v>0</v>
      </c>
      <c r="N461" s="337">
        <f>IFERROR(K461/E461,"-")</f>
        <v>0</v>
      </c>
      <c r="O461" s="343" t="str">
        <f t="shared" si="582"/>
        <v>-</v>
      </c>
    </row>
    <row r="462" spans="1:15" ht="24" x14ac:dyDescent="0.25">
      <c r="A462" s="274" t="s">
        <v>102</v>
      </c>
      <c r="B462" s="842" t="s">
        <v>400</v>
      </c>
      <c r="C462" s="313" t="s">
        <v>116</v>
      </c>
      <c r="D462" s="313"/>
      <c r="E462" s="270">
        <v>22000</v>
      </c>
      <c r="F462" s="271"/>
      <c r="G462" s="330">
        <f t="shared" ref="G462:G463" si="593">+H462+I462</f>
        <v>0</v>
      </c>
      <c r="H462" s="272">
        <v>0</v>
      </c>
      <c r="I462" s="272">
        <v>0</v>
      </c>
      <c r="J462" s="349" t="str">
        <f>IFERROR(G462/F462,"-")</f>
        <v>-</v>
      </c>
      <c r="K462" s="330">
        <f t="shared" ref="K462:K463" si="594">+L462+M462</f>
        <v>0</v>
      </c>
      <c r="L462" s="272">
        <f t="shared" ref="L462:L463" si="595">+H462+L344</f>
        <v>0</v>
      </c>
      <c r="M462" s="273">
        <f t="shared" ref="M462:M463" si="596">+I462+M344</f>
        <v>0</v>
      </c>
      <c r="N462" s="334">
        <f t="shared" ref="N462:N478" si="597">IFERROR(K462/E462,"-")</f>
        <v>0</v>
      </c>
      <c r="O462" s="344" t="str">
        <f t="shared" si="582"/>
        <v>-</v>
      </c>
    </row>
    <row r="463" spans="1:15" ht="24.75" thickBot="1" x14ac:dyDescent="0.3">
      <c r="A463" s="274" t="s">
        <v>102</v>
      </c>
      <c r="B463" s="844"/>
      <c r="C463" s="285" t="s">
        <v>132</v>
      </c>
      <c r="D463" s="285"/>
      <c r="E463" s="280">
        <v>9000</v>
      </c>
      <c r="F463" s="281"/>
      <c r="G463" s="332">
        <f t="shared" si="593"/>
        <v>0</v>
      </c>
      <c r="H463" s="282">
        <v>0</v>
      </c>
      <c r="I463" s="282">
        <v>0</v>
      </c>
      <c r="J463" s="349" t="str">
        <f>IFERROR(G463/F463,"-")</f>
        <v>-</v>
      </c>
      <c r="K463" s="332">
        <f t="shared" si="594"/>
        <v>0</v>
      </c>
      <c r="L463" s="272">
        <f t="shared" si="595"/>
        <v>0</v>
      </c>
      <c r="M463" s="273">
        <f t="shared" si="596"/>
        <v>0</v>
      </c>
      <c r="N463" s="336">
        <f t="shared" si="597"/>
        <v>0</v>
      </c>
      <c r="O463" s="345" t="str">
        <f t="shared" si="582"/>
        <v>-</v>
      </c>
    </row>
    <row r="464" spans="1:15" ht="23.25" thickBot="1" x14ac:dyDescent="0.3">
      <c r="A464" s="816" t="s">
        <v>102</v>
      </c>
      <c r="B464" s="845" t="s">
        <v>38</v>
      </c>
      <c r="C464" s="846"/>
      <c r="D464" s="847"/>
      <c r="E464" s="283">
        <f>SUM(E462:E463)</f>
        <v>31000</v>
      </c>
      <c r="F464" s="284">
        <v>2800</v>
      </c>
      <c r="G464" s="319">
        <f>SUM(G462:G463)</f>
        <v>0</v>
      </c>
      <c r="H464" s="320">
        <f t="shared" ref="H464:I464" si="598">SUM(H462:H463)</f>
        <v>0</v>
      </c>
      <c r="I464" s="320">
        <f t="shared" si="598"/>
        <v>0</v>
      </c>
      <c r="J464" s="343" t="str">
        <f>IFERROR(G464/F454,"-")</f>
        <v>-</v>
      </c>
      <c r="K464" s="319">
        <f t="shared" ref="K464:M464" si="599">SUM(K462:K463)</f>
        <v>0</v>
      </c>
      <c r="L464" s="320">
        <f t="shared" si="599"/>
        <v>0</v>
      </c>
      <c r="M464" s="321">
        <f t="shared" si="599"/>
        <v>0</v>
      </c>
      <c r="N464" s="337">
        <f t="shared" si="597"/>
        <v>0</v>
      </c>
      <c r="O464" s="343" t="str">
        <f t="shared" si="582"/>
        <v>-</v>
      </c>
    </row>
    <row r="465" spans="1:15" ht="24" x14ac:dyDescent="0.25">
      <c r="A465" s="274" t="s">
        <v>102</v>
      </c>
      <c r="B465" s="842" t="s">
        <v>401</v>
      </c>
      <c r="C465" s="269" t="s">
        <v>305</v>
      </c>
      <c r="D465" s="269"/>
      <c r="E465" s="270">
        <v>978200</v>
      </c>
      <c r="F465" s="314"/>
      <c r="G465" s="330">
        <f t="shared" ref="G465:G469" si="600">+H465+I465</f>
        <v>63774</v>
      </c>
      <c r="H465" s="272">
        <v>63132</v>
      </c>
      <c r="I465" s="272">
        <v>642</v>
      </c>
      <c r="J465" s="369" t="str">
        <f>IFERROR(G465/F465,"-")</f>
        <v>-</v>
      </c>
      <c r="K465" s="330">
        <f t="shared" ref="K465:K469" si="601">+L465+M465</f>
        <v>182141</v>
      </c>
      <c r="L465" s="272">
        <f t="shared" ref="L465:L469" si="602">+H465+L347</f>
        <v>179820</v>
      </c>
      <c r="M465" s="272">
        <f t="shared" ref="M465:M469" si="603">+I465+M347</f>
        <v>2321</v>
      </c>
      <c r="N465" s="357">
        <f t="shared" si="597"/>
        <v>0.18620016356573299</v>
      </c>
      <c r="O465" s="358">
        <f t="shared" si="582"/>
        <v>1.2742875025392416E-2</v>
      </c>
    </row>
    <row r="466" spans="1:15" ht="24" x14ac:dyDescent="0.25">
      <c r="A466" s="274" t="s">
        <v>102</v>
      </c>
      <c r="B466" s="843"/>
      <c r="C466" s="269" t="s">
        <v>306</v>
      </c>
      <c r="D466" s="275"/>
      <c r="E466" s="276"/>
      <c r="F466" s="315"/>
      <c r="G466" s="331">
        <f t="shared" si="600"/>
        <v>0</v>
      </c>
      <c r="H466" s="278">
        <v>0</v>
      </c>
      <c r="I466" s="278">
        <v>0</v>
      </c>
      <c r="J466" s="369" t="str">
        <f t="shared" ref="J466:J469" si="604">IFERROR(G466/F466,"-")</f>
        <v>-</v>
      </c>
      <c r="K466" s="331">
        <f t="shared" si="601"/>
        <v>0</v>
      </c>
      <c r="L466" s="272">
        <f t="shared" si="602"/>
        <v>0</v>
      </c>
      <c r="M466" s="273">
        <f t="shared" si="603"/>
        <v>0</v>
      </c>
      <c r="N466" s="359" t="str">
        <f t="shared" si="597"/>
        <v>-</v>
      </c>
      <c r="O466" s="360" t="str">
        <f t="shared" si="582"/>
        <v>-</v>
      </c>
    </row>
    <row r="467" spans="1:15" ht="24" x14ac:dyDescent="0.25">
      <c r="A467" s="274" t="s">
        <v>102</v>
      </c>
      <c r="B467" s="843"/>
      <c r="C467" s="275" t="s">
        <v>343</v>
      </c>
      <c r="D467" s="275"/>
      <c r="E467" s="276">
        <v>75000</v>
      </c>
      <c r="F467" s="315"/>
      <c r="G467" s="331">
        <f t="shared" si="600"/>
        <v>0</v>
      </c>
      <c r="H467" s="278"/>
      <c r="I467" s="278"/>
      <c r="J467" s="369" t="str">
        <f t="shared" si="604"/>
        <v>-</v>
      </c>
      <c r="K467" s="331">
        <f t="shared" si="601"/>
        <v>40870</v>
      </c>
      <c r="L467" s="272">
        <f t="shared" si="602"/>
        <v>40296</v>
      </c>
      <c r="M467" s="273">
        <f t="shared" si="603"/>
        <v>574</v>
      </c>
      <c r="N467" s="359">
        <f t="shared" si="597"/>
        <v>0.54493333333333338</v>
      </c>
      <c r="O467" s="360">
        <f t="shared" si="582"/>
        <v>1.4044531441154881E-2</v>
      </c>
    </row>
    <row r="468" spans="1:15" ht="24" x14ac:dyDescent="0.25">
      <c r="A468" s="274" t="s">
        <v>102</v>
      </c>
      <c r="B468" s="843"/>
      <c r="C468" s="275" t="s">
        <v>157</v>
      </c>
      <c r="D468" s="275"/>
      <c r="E468" s="276">
        <v>70040</v>
      </c>
      <c r="F468" s="315"/>
      <c r="G468" s="331">
        <f t="shared" si="600"/>
        <v>0</v>
      </c>
      <c r="H468" s="278">
        <v>0</v>
      </c>
      <c r="I468" s="278">
        <v>0</v>
      </c>
      <c r="J468" s="369" t="str">
        <f t="shared" si="604"/>
        <v>-</v>
      </c>
      <c r="K468" s="331">
        <f t="shared" si="601"/>
        <v>0</v>
      </c>
      <c r="L468" s="272">
        <f t="shared" si="602"/>
        <v>0</v>
      </c>
      <c r="M468" s="273">
        <f t="shared" si="603"/>
        <v>0</v>
      </c>
      <c r="N468" s="359">
        <f t="shared" si="597"/>
        <v>0</v>
      </c>
      <c r="O468" s="360" t="str">
        <f t="shared" si="582"/>
        <v>-</v>
      </c>
    </row>
    <row r="469" spans="1:15" ht="24.75" thickBot="1" x14ac:dyDescent="0.3">
      <c r="A469" s="274" t="s">
        <v>102</v>
      </c>
      <c r="B469" s="844"/>
      <c r="C469" s="279" t="s">
        <v>158</v>
      </c>
      <c r="D469" s="279"/>
      <c r="E469" s="280"/>
      <c r="F469" s="316"/>
      <c r="G469" s="332">
        <f t="shared" si="600"/>
        <v>0</v>
      </c>
      <c r="H469" s="278">
        <v>0</v>
      </c>
      <c r="I469" s="278">
        <v>0</v>
      </c>
      <c r="J469" s="369" t="str">
        <f t="shared" si="604"/>
        <v>-</v>
      </c>
      <c r="K469" s="332">
        <f t="shared" si="601"/>
        <v>0</v>
      </c>
      <c r="L469" s="272">
        <f t="shared" si="602"/>
        <v>0</v>
      </c>
      <c r="M469" s="273">
        <f t="shared" si="603"/>
        <v>0</v>
      </c>
      <c r="N469" s="361" t="str">
        <f t="shared" si="597"/>
        <v>-</v>
      </c>
      <c r="O469" s="362" t="str">
        <f t="shared" si="582"/>
        <v>-</v>
      </c>
    </row>
    <row r="470" spans="1:15" ht="23.25" thickBot="1" x14ac:dyDescent="0.3">
      <c r="A470" s="274" t="s">
        <v>102</v>
      </c>
      <c r="B470" s="845" t="s">
        <v>39</v>
      </c>
      <c r="C470" s="846"/>
      <c r="D470" s="847"/>
      <c r="E470" s="319">
        <f>SUM(E465:E469)</f>
        <v>1123240</v>
      </c>
      <c r="F470" s="284">
        <v>25000</v>
      </c>
      <c r="G470" s="319">
        <f>SUM(G465:G469)</f>
        <v>63774</v>
      </c>
      <c r="H470" s="320">
        <f>SUM(H465:H469)</f>
        <v>63132</v>
      </c>
      <c r="I470" s="320">
        <f>SUM(I465:I469)</f>
        <v>642</v>
      </c>
      <c r="J470" s="343">
        <f>IFERROR(G470/F470,"-")</f>
        <v>2.5509599999999999</v>
      </c>
      <c r="K470" s="319">
        <f>SUM(K465:K469)</f>
        <v>223011</v>
      </c>
      <c r="L470" s="320">
        <f>SUM(L465:L469)</f>
        <v>220116</v>
      </c>
      <c r="M470" s="321">
        <f>SUM(M465:M469)</f>
        <v>2895</v>
      </c>
      <c r="N470" s="337">
        <f t="shared" si="597"/>
        <v>0.19854260888145009</v>
      </c>
      <c r="O470" s="343">
        <f t="shared" si="582"/>
        <v>1.2981422441045509E-2</v>
      </c>
    </row>
    <row r="471" spans="1:15" ht="24" x14ac:dyDescent="0.25">
      <c r="A471" s="274" t="s">
        <v>102</v>
      </c>
      <c r="B471" s="842" t="s">
        <v>402</v>
      </c>
      <c r="C471" s="269" t="s">
        <v>186</v>
      </c>
      <c r="D471" s="269"/>
      <c r="E471" s="270"/>
      <c r="F471" s="271"/>
      <c r="G471" s="330">
        <f t="shared" ref="G471:G473" si="605">+H471+I471</f>
        <v>0</v>
      </c>
      <c r="H471" s="272">
        <v>0</v>
      </c>
      <c r="I471" s="272">
        <v>0</v>
      </c>
      <c r="J471" s="349" t="str">
        <f>IFERROR(G471/F471,"-")</f>
        <v>-</v>
      </c>
      <c r="K471" s="330">
        <f t="shared" ref="K471:K473" si="606">+L471+M471</f>
        <v>0</v>
      </c>
      <c r="L471" s="272">
        <f t="shared" ref="L471:L473" si="607">+H471+L353</f>
        <v>0</v>
      </c>
      <c r="M471" s="273">
        <f t="shared" ref="M471:M473" si="608">+I471+M353</f>
        <v>0</v>
      </c>
      <c r="N471" s="334" t="str">
        <f t="shared" si="597"/>
        <v>-</v>
      </c>
      <c r="O471" s="344" t="str">
        <f t="shared" si="582"/>
        <v>-</v>
      </c>
    </row>
    <row r="472" spans="1:15" ht="24" x14ac:dyDescent="0.25">
      <c r="A472" s="274" t="s">
        <v>102</v>
      </c>
      <c r="B472" s="843"/>
      <c r="C472" s="275" t="s">
        <v>470</v>
      </c>
      <c r="D472" s="275"/>
      <c r="E472" s="276"/>
      <c r="F472" s="277"/>
      <c r="G472" s="331">
        <f t="shared" si="605"/>
        <v>0</v>
      </c>
      <c r="H472" s="278">
        <v>0</v>
      </c>
      <c r="I472" s="278">
        <v>0</v>
      </c>
      <c r="J472" s="349" t="str">
        <f t="shared" ref="J472:J473" si="609">IFERROR(G472/F472,"-")</f>
        <v>-</v>
      </c>
      <c r="K472" s="331">
        <f t="shared" si="606"/>
        <v>0</v>
      </c>
      <c r="L472" s="674">
        <f t="shared" si="607"/>
        <v>0</v>
      </c>
      <c r="M472" s="273">
        <f t="shared" si="608"/>
        <v>0</v>
      </c>
      <c r="N472" s="359" t="str">
        <f t="shared" si="597"/>
        <v>-</v>
      </c>
      <c r="O472" s="360" t="str">
        <f t="shared" si="582"/>
        <v>-</v>
      </c>
    </row>
    <row r="473" spans="1:15" ht="24.75" thickBot="1" x14ac:dyDescent="0.3">
      <c r="A473" s="274" t="s">
        <v>102</v>
      </c>
      <c r="B473" s="844"/>
      <c r="C473" s="279" t="s">
        <v>471</v>
      </c>
      <c r="D473" s="279"/>
      <c r="E473" s="280"/>
      <c r="F473" s="281"/>
      <c r="G473" s="332">
        <f t="shared" si="605"/>
        <v>0</v>
      </c>
      <c r="H473" s="278">
        <v>0</v>
      </c>
      <c r="I473" s="278">
        <v>0</v>
      </c>
      <c r="J473" s="349" t="str">
        <f t="shared" si="609"/>
        <v>-</v>
      </c>
      <c r="K473" s="332">
        <f t="shared" si="606"/>
        <v>0</v>
      </c>
      <c r="L473" s="272">
        <f t="shared" si="607"/>
        <v>0</v>
      </c>
      <c r="M473" s="273">
        <f t="shared" si="608"/>
        <v>0</v>
      </c>
      <c r="N473" s="361" t="str">
        <f t="shared" si="597"/>
        <v>-</v>
      </c>
      <c r="O473" s="362" t="str">
        <f t="shared" si="582"/>
        <v>-</v>
      </c>
    </row>
    <row r="474" spans="1:15" ht="23.25" thickBot="1" x14ac:dyDescent="0.3">
      <c r="A474" s="274" t="s">
        <v>102</v>
      </c>
      <c r="B474" s="862" t="s">
        <v>41</v>
      </c>
      <c r="C474" s="863"/>
      <c r="D474" s="864"/>
      <c r="E474" s="319">
        <f>SUM(E471:E473)</f>
        <v>0</v>
      </c>
      <c r="F474" s="284"/>
      <c r="G474" s="319">
        <f>SUM(G471:G473)</f>
        <v>0</v>
      </c>
      <c r="H474" s="320">
        <f t="shared" ref="H474:I474" si="610">SUM(H471:H473)</f>
        <v>0</v>
      </c>
      <c r="I474" s="320">
        <f t="shared" si="610"/>
        <v>0</v>
      </c>
      <c r="J474" s="343" t="str">
        <f>IFERROR(G474/F474,"-")</f>
        <v>-</v>
      </c>
      <c r="K474" s="319">
        <f t="shared" ref="K474:M474" si="611">SUM(K471:K473)</f>
        <v>0</v>
      </c>
      <c r="L474" s="363">
        <f t="shared" si="611"/>
        <v>0</v>
      </c>
      <c r="M474" s="365">
        <f t="shared" si="611"/>
        <v>0</v>
      </c>
      <c r="N474" s="337" t="str">
        <f t="shared" si="597"/>
        <v>-</v>
      </c>
      <c r="O474" s="343" t="str">
        <f t="shared" si="582"/>
        <v>-</v>
      </c>
    </row>
    <row r="475" spans="1:15" ht="24.75" thickBot="1" x14ac:dyDescent="0.3">
      <c r="A475" s="274" t="s">
        <v>102</v>
      </c>
      <c r="B475" s="842" t="s">
        <v>42</v>
      </c>
      <c r="C475" s="269" t="s">
        <v>160</v>
      </c>
      <c r="D475" s="269"/>
      <c r="E475" s="270"/>
      <c r="F475" s="271"/>
      <c r="G475" s="330">
        <f t="shared" ref="G475:G476" si="612">+H475+I475</f>
        <v>0</v>
      </c>
      <c r="H475" s="272"/>
      <c r="I475" s="272"/>
      <c r="J475" s="369" t="str">
        <f>IFERROR(G475/F475,"-")</f>
        <v>-</v>
      </c>
      <c r="K475" s="656">
        <f t="shared" ref="K475:K476" si="613">+L475+M475</f>
        <v>18234</v>
      </c>
      <c r="L475" s="649">
        <f t="shared" ref="L475:L476" si="614">+H475+L357</f>
        <v>17920</v>
      </c>
      <c r="M475" s="649">
        <f t="shared" ref="M475:M476" si="615">+I475+M357</f>
        <v>314</v>
      </c>
      <c r="N475" s="357" t="str">
        <f t="shared" si="597"/>
        <v>-</v>
      </c>
      <c r="O475" s="358">
        <f t="shared" si="582"/>
        <v>1.7220576944170233E-2</v>
      </c>
    </row>
    <row r="476" spans="1:15" ht="24.75" thickBot="1" x14ac:dyDescent="0.3">
      <c r="A476" s="274" t="s">
        <v>102</v>
      </c>
      <c r="B476" s="844"/>
      <c r="C476" s="279" t="s">
        <v>161</v>
      </c>
      <c r="D476" s="279"/>
      <c r="E476" s="280"/>
      <c r="F476" s="281"/>
      <c r="G476" s="332">
        <f t="shared" si="612"/>
        <v>0</v>
      </c>
      <c r="H476" s="282">
        <v>0</v>
      </c>
      <c r="I476" s="282">
        <v>0</v>
      </c>
      <c r="J476" s="371" t="str">
        <f>IFERROR(G476/F476,"-")</f>
        <v>-</v>
      </c>
      <c r="K476" s="657">
        <f t="shared" si="613"/>
        <v>0</v>
      </c>
      <c r="L476" s="649">
        <f t="shared" si="614"/>
        <v>0</v>
      </c>
      <c r="M476" s="649">
        <f t="shared" si="615"/>
        <v>0</v>
      </c>
      <c r="N476" s="361" t="str">
        <f t="shared" si="597"/>
        <v>-</v>
      </c>
      <c r="O476" s="362" t="str">
        <f t="shared" si="582"/>
        <v>-</v>
      </c>
    </row>
    <row r="477" spans="1:15" ht="23.25" thickBot="1" x14ac:dyDescent="0.3">
      <c r="A477" s="274" t="s">
        <v>102</v>
      </c>
      <c r="B477" s="862" t="s">
        <v>43</v>
      </c>
      <c r="C477" s="863"/>
      <c r="D477" s="864"/>
      <c r="E477" s="283">
        <f>SUM(E475:E476)</f>
        <v>0</v>
      </c>
      <c r="F477" s="284">
        <v>25000</v>
      </c>
      <c r="G477" s="319">
        <f>SUM(G475:G476)</f>
        <v>0</v>
      </c>
      <c r="H477" s="320">
        <f t="shared" ref="H477:I477" si="616">SUM(H475:H476)</f>
        <v>0</v>
      </c>
      <c r="I477" s="320">
        <f t="shared" si="616"/>
        <v>0</v>
      </c>
      <c r="J477" s="343">
        <f>IFERROR(G477/F477,"-")</f>
        <v>0</v>
      </c>
      <c r="K477" s="719">
        <f t="shared" ref="K477:M477" si="617">SUM(K475:K476)</f>
        <v>18234</v>
      </c>
      <c r="L477" s="720">
        <f t="shared" si="617"/>
        <v>17920</v>
      </c>
      <c r="M477" s="720">
        <f t="shared" si="617"/>
        <v>314</v>
      </c>
      <c r="N477" s="337" t="str">
        <f t="shared" si="597"/>
        <v>-</v>
      </c>
      <c r="O477" s="343">
        <f t="shared" si="582"/>
        <v>1.7220576944170233E-2</v>
      </c>
    </row>
    <row r="478" spans="1:15" ht="23.25" thickBot="1" x14ac:dyDescent="0.3">
      <c r="A478" s="274" t="s">
        <v>102</v>
      </c>
      <c r="B478" s="856" t="s">
        <v>25</v>
      </c>
      <c r="C478" s="857"/>
      <c r="D478" s="858"/>
      <c r="E478" s="324">
        <f t="shared" ref="E478:F478" si="618">+E456+E461+E464+E470+E474+E477</f>
        <v>1272400</v>
      </c>
      <c r="F478" s="325">
        <f t="shared" si="618"/>
        <v>65800</v>
      </c>
      <c r="G478" s="324">
        <f>+G456+G461+G464+G470+G474+G477</f>
        <v>63774</v>
      </c>
      <c r="H478" s="322">
        <f>+H456+H461+H464+H470+H474+H477</f>
        <v>63132</v>
      </c>
      <c r="I478" s="322">
        <f t="shared" ref="I478" si="619">+I456+I461+I464+I470+I474+I477</f>
        <v>642</v>
      </c>
      <c r="J478" s="347">
        <f>IFERROR(G478/F478,"-")</f>
        <v>0.96920972644376902</v>
      </c>
      <c r="K478" s="324">
        <f>+K456+K461+K464+K470+K474+K477</f>
        <v>241245</v>
      </c>
      <c r="L478" s="718">
        <f t="shared" ref="L478:M478" si="620">+L456+L461+L464+L470+L474+L477</f>
        <v>238036</v>
      </c>
      <c r="M478" s="323">
        <f t="shared" si="620"/>
        <v>3209</v>
      </c>
      <c r="N478" s="339">
        <f t="shared" si="597"/>
        <v>0.18959839673058787</v>
      </c>
      <c r="O478" s="347">
        <f t="shared" si="582"/>
        <v>1.3301830089742792E-2</v>
      </c>
    </row>
    <row r="479" spans="1:15" ht="23.25" thickBot="1" x14ac:dyDescent="0.3">
      <c r="A479" s="317" t="s">
        <v>102</v>
      </c>
      <c r="B479" s="840" t="s">
        <v>173</v>
      </c>
      <c r="C479" s="840"/>
      <c r="D479" s="841"/>
      <c r="E479" s="328">
        <f>+E478</f>
        <v>1272400</v>
      </c>
      <c r="F479" s="329">
        <f t="shared" ref="F479:I479" si="621">+F478</f>
        <v>65800</v>
      </c>
      <c r="G479" s="328">
        <f t="shared" si="621"/>
        <v>63774</v>
      </c>
      <c r="H479" s="326">
        <f t="shared" si="621"/>
        <v>63132</v>
      </c>
      <c r="I479" s="326">
        <f t="shared" si="621"/>
        <v>642</v>
      </c>
      <c r="J479" s="348">
        <f>+G479/F479</f>
        <v>0.96920972644376902</v>
      </c>
      <c r="K479" s="328">
        <f t="shared" ref="K479:O479" si="622">+K478</f>
        <v>241245</v>
      </c>
      <c r="L479" s="326">
        <f t="shared" si="622"/>
        <v>238036</v>
      </c>
      <c r="M479" s="327">
        <f t="shared" si="622"/>
        <v>3209</v>
      </c>
      <c r="N479" s="340">
        <f t="shared" si="622"/>
        <v>0.18959839673058787</v>
      </c>
      <c r="O479" s="348">
        <f t="shared" si="622"/>
        <v>1.3301830089742792E-2</v>
      </c>
    </row>
    <row r="480" spans="1:15" ht="26.25" thickBot="1" x14ac:dyDescent="0.3">
      <c r="A480" s="318"/>
      <c r="B480" s="859" t="s">
        <v>174</v>
      </c>
      <c r="C480" s="860"/>
      <c r="D480" s="861"/>
      <c r="E480" s="372">
        <f>+E417+E452+E479</f>
        <v>7785572</v>
      </c>
      <c r="F480" s="372">
        <f>+F417+F452+F479</f>
        <v>914800</v>
      </c>
      <c r="G480" s="372">
        <f>+G417+G452+G479</f>
        <v>149985</v>
      </c>
      <c r="H480" s="372">
        <f>+H417+H452+H479</f>
        <v>298654</v>
      </c>
      <c r="I480" s="372">
        <f>+I417+I452+I479</f>
        <v>3738</v>
      </c>
      <c r="J480" s="373">
        <f>IFERROR(G480/F480,"-")</f>
        <v>0.1639538696982947</v>
      </c>
      <c r="K480" s="372">
        <f>+K417+K452+K479</f>
        <v>1192777</v>
      </c>
      <c r="L480" s="372">
        <f>+L417+L452+L479</f>
        <v>1174562</v>
      </c>
      <c r="M480" s="372">
        <f>+M417+M452+M479</f>
        <v>18215</v>
      </c>
      <c r="N480" s="373">
        <f>IFERROR(K480/E480,"-")</f>
        <v>0.15320351542571309</v>
      </c>
      <c r="O480" s="373">
        <f>IFERROR(M480/K480,"-")</f>
        <v>1.5271085877745798E-2</v>
      </c>
    </row>
    <row r="481" spans="1:15" ht="24.6" customHeight="1" thickBot="1" x14ac:dyDescent="0.3">
      <c r="A481" s="230"/>
      <c r="B481" s="230"/>
      <c r="C481" s="230"/>
      <c r="D481" s="230"/>
      <c r="E481" s="232"/>
      <c r="F481" s="232"/>
      <c r="G481" s="451"/>
      <c r="H481" s="452"/>
      <c r="I481" s="452"/>
      <c r="J481" s="452"/>
      <c r="K481" s="232"/>
      <c r="L481" s="232"/>
      <c r="M481" s="232"/>
      <c r="N481" s="234"/>
      <c r="O481" s="234"/>
    </row>
    <row r="482" spans="1:15" ht="22.5" x14ac:dyDescent="0.25">
      <c r="A482" s="881" t="s">
        <v>1</v>
      </c>
      <c r="B482" s="884" t="s">
        <v>2</v>
      </c>
      <c r="C482" s="887" t="s">
        <v>394</v>
      </c>
      <c r="D482" s="887" t="s">
        <v>395</v>
      </c>
      <c r="E482" s="890" t="s">
        <v>4</v>
      </c>
      <c r="F482" s="891"/>
      <c r="G482" s="891"/>
      <c r="H482" s="891"/>
      <c r="I482" s="891"/>
      <c r="J482" s="891"/>
      <c r="K482" s="891"/>
      <c r="L482" s="891"/>
      <c r="M482" s="891"/>
      <c r="N482" s="891"/>
      <c r="O482" s="892"/>
    </row>
    <row r="483" spans="1:15" ht="22.5" x14ac:dyDescent="0.25">
      <c r="A483" s="882"/>
      <c r="B483" s="885"/>
      <c r="C483" s="888"/>
      <c r="D483" s="888"/>
      <c r="E483" s="893" t="s">
        <v>7</v>
      </c>
      <c r="F483" s="895" t="s">
        <v>108</v>
      </c>
      <c r="G483" s="897" t="s">
        <v>523</v>
      </c>
      <c r="H483" s="898"/>
      <c r="I483" s="898"/>
      <c r="J483" s="899"/>
      <c r="K483" s="900" t="s">
        <v>396</v>
      </c>
      <c r="L483" s="901"/>
      <c r="M483" s="902"/>
      <c r="N483" s="903" t="s">
        <v>397</v>
      </c>
      <c r="O483" s="905" t="s">
        <v>164</v>
      </c>
    </row>
    <row r="484" spans="1:15" ht="41.25" thickBot="1" x14ac:dyDescent="0.3">
      <c r="A484" s="883"/>
      <c r="B484" s="886"/>
      <c r="C484" s="889"/>
      <c r="D484" s="889"/>
      <c r="E484" s="894"/>
      <c r="F484" s="896"/>
      <c r="G484" s="448" t="s">
        <v>13</v>
      </c>
      <c r="H484" s="449" t="s">
        <v>14</v>
      </c>
      <c r="I484" s="449" t="s">
        <v>15</v>
      </c>
      <c r="J484" s="450" t="s">
        <v>166</v>
      </c>
      <c r="K484" s="641" t="s">
        <v>13</v>
      </c>
      <c r="L484" s="639" t="s">
        <v>14</v>
      </c>
      <c r="M484" s="640" t="s">
        <v>15</v>
      </c>
      <c r="N484" s="904"/>
      <c r="O484" s="906"/>
    </row>
    <row r="485" spans="1:15" ht="24" x14ac:dyDescent="0.25">
      <c r="A485" s="268" t="s">
        <v>103</v>
      </c>
      <c r="B485" s="867" t="s">
        <v>16</v>
      </c>
      <c r="C485" s="269" t="s">
        <v>483</v>
      </c>
      <c r="D485" s="269" t="s">
        <v>367</v>
      </c>
      <c r="E485" s="270"/>
      <c r="F485" s="271"/>
      <c r="G485" s="330">
        <f>+H485+I485</f>
        <v>0</v>
      </c>
      <c r="H485" s="272">
        <v>0</v>
      </c>
      <c r="I485" s="272">
        <v>0</v>
      </c>
      <c r="J485" s="350" t="str">
        <f>IFERROR(G485/F485,"-")</f>
        <v>-</v>
      </c>
      <c r="K485" s="655">
        <f>+L485+M485</f>
        <v>0</v>
      </c>
      <c r="L485" s="522">
        <f>+H485+L367</f>
        <v>0</v>
      </c>
      <c r="M485" s="455">
        <f>+I485+M367</f>
        <v>0</v>
      </c>
      <c r="N485" s="334" t="str">
        <f>IFERROR(K485/E485,"-")</f>
        <v>-</v>
      </c>
      <c r="O485" s="341" t="str">
        <f t="shared" ref="O485:O486" si="623">IFERROR(M485/K485,"-")</f>
        <v>-</v>
      </c>
    </row>
    <row r="486" spans="1:15" ht="24" x14ac:dyDescent="0.25">
      <c r="A486" s="274" t="s">
        <v>103</v>
      </c>
      <c r="B486" s="868"/>
      <c r="C486" s="275" t="s">
        <v>374</v>
      </c>
      <c r="D486" s="275" t="s">
        <v>373</v>
      </c>
      <c r="E486" s="276"/>
      <c r="F486" s="277"/>
      <c r="G486" s="331">
        <f t="shared" ref="G486:G488" si="624">+H486+I486</f>
        <v>0</v>
      </c>
      <c r="H486" s="278"/>
      <c r="I486" s="278"/>
      <c r="J486" s="350" t="str">
        <f t="shared" ref="J486:J488" si="625">IFERROR(G486/F486,"-")</f>
        <v>-</v>
      </c>
      <c r="K486" s="651">
        <f t="shared" ref="K486:K488" si="626">+L486+M486</f>
        <v>0</v>
      </c>
      <c r="L486" s="276">
        <f t="shared" ref="L486:L488" si="627">+H486+L368</f>
        <v>0</v>
      </c>
      <c r="M486" s="432">
        <f t="shared" ref="M486:M488" si="628">+I486+M368</f>
        <v>0</v>
      </c>
      <c r="N486" s="335" t="str">
        <f t="shared" ref="N486:N488" si="629">IFERROR(K486/E486,"-")</f>
        <v>-</v>
      </c>
      <c r="O486" s="265" t="str">
        <f t="shared" si="623"/>
        <v>-</v>
      </c>
    </row>
    <row r="487" spans="1:15" ht="24" x14ac:dyDescent="0.25">
      <c r="A487" s="274" t="s">
        <v>103</v>
      </c>
      <c r="B487" s="868"/>
      <c r="C487" s="566" t="s">
        <v>428</v>
      </c>
      <c r="D487" s="566" t="s">
        <v>364</v>
      </c>
      <c r="E487" s="680"/>
      <c r="F487" s="681"/>
      <c r="G487" s="331">
        <f t="shared" si="624"/>
        <v>13813</v>
      </c>
      <c r="H487" s="682">
        <v>13760</v>
      </c>
      <c r="I487" s="682">
        <v>53</v>
      </c>
      <c r="J487" s="350" t="str">
        <f t="shared" si="625"/>
        <v>-</v>
      </c>
      <c r="K487" s="651">
        <f t="shared" si="626"/>
        <v>25361</v>
      </c>
      <c r="L487" s="276">
        <f t="shared" si="627"/>
        <v>24960</v>
      </c>
      <c r="M487" s="432">
        <f t="shared" si="628"/>
        <v>401</v>
      </c>
      <c r="N487" s="335" t="str">
        <f t="shared" si="629"/>
        <v>-</v>
      </c>
      <c r="O487" s="265">
        <f>IFERROR(M487/K487,"-")</f>
        <v>1.5811679350183353E-2</v>
      </c>
    </row>
    <row r="488" spans="1:15" ht="24.75" thickBot="1" x14ac:dyDescent="0.3">
      <c r="A488" s="274" t="s">
        <v>103</v>
      </c>
      <c r="B488" s="869"/>
      <c r="C488" s="279" t="s">
        <v>426</v>
      </c>
      <c r="D488" s="279" t="s">
        <v>372</v>
      </c>
      <c r="E488" s="280">
        <v>100000</v>
      </c>
      <c r="F488" s="281"/>
      <c r="G488" s="332">
        <f t="shared" si="624"/>
        <v>0</v>
      </c>
      <c r="H488" s="272"/>
      <c r="I488" s="272"/>
      <c r="J488" s="350" t="str">
        <f t="shared" si="625"/>
        <v>-</v>
      </c>
      <c r="K488" s="652">
        <f t="shared" si="626"/>
        <v>0</v>
      </c>
      <c r="L488" s="525">
        <f t="shared" si="627"/>
        <v>0</v>
      </c>
      <c r="M488" s="458">
        <f t="shared" si="628"/>
        <v>0</v>
      </c>
      <c r="N488" s="336">
        <f t="shared" si="629"/>
        <v>0</v>
      </c>
      <c r="O488" s="342" t="str">
        <f t="shared" ref="O488:O506" si="630">IFERROR(M488/K488,"-")</f>
        <v>-</v>
      </c>
    </row>
    <row r="489" spans="1:15" ht="23.25" thickBot="1" x14ac:dyDescent="0.3">
      <c r="A489" s="274" t="s">
        <v>103</v>
      </c>
      <c r="B489" s="845" t="s">
        <v>44</v>
      </c>
      <c r="C489" s="846"/>
      <c r="D489" s="847"/>
      <c r="E489" s="319">
        <f>SUM(E485:E488)</f>
        <v>100000</v>
      </c>
      <c r="F489" s="284">
        <v>15000</v>
      </c>
      <c r="G489" s="319">
        <f>SUM(G485:G488)</f>
        <v>13813</v>
      </c>
      <c r="H489" s="320">
        <f t="shared" ref="H489:I489" si="631">SUM(H485:H488)</f>
        <v>13760</v>
      </c>
      <c r="I489" s="320">
        <f t="shared" si="631"/>
        <v>53</v>
      </c>
      <c r="J489" s="343">
        <f>+G489/F489</f>
        <v>0.92086666666666661</v>
      </c>
      <c r="K489" s="319">
        <f t="shared" ref="K489" si="632">SUM(K485:K488)</f>
        <v>25361</v>
      </c>
      <c r="L489" s="653">
        <f>SUM(L485:L488)</f>
        <v>24960</v>
      </c>
      <c r="M489" s="654">
        <f>SUM(M485:M488)</f>
        <v>401</v>
      </c>
      <c r="N489" s="337">
        <f>IFERROR(K489/E489,"-")</f>
        <v>0.25361</v>
      </c>
      <c r="O489" s="343">
        <f t="shared" si="630"/>
        <v>1.5811679350183353E-2</v>
      </c>
    </row>
    <row r="490" spans="1:15" ht="24" x14ac:dyDescent="0.25">
      <c r="A490" s="274" t="s">
        <v>103</v>
      </c>
      <c r="B490" s="867" t="s">
        <v>17</v>
      </c>
      <c r="C490" s="269" t="s">
        <v>293</v>
      </c>
      <c r="D490" s="269"/>
      <c r="E490" s="270"/>
      <c r="F490" s="271"/>
      <c r="G490" s="330">
        <f t="shared" ref="G490:G496" si="633">+H490+I490</f>
        <v>0</v>
      </c>
      <c r="H490" s="272">
        <v>0</v>
      </c>
      <c r="I490" s="272">
        <v>0</v>
      </c>
      <c r="J490" s="349" t="str">
        <f>IFERROR(G490/F490,"-")</f>
        <v>-</v>
      </c>
      <c r="K490" s="655">
        <f t="shared" ref="K490:K496" si="634">+L490+M490</f>
        <v>0</v>
      </c>
      <c r="L490" s="522">
        <f t="shared" ref="L490:L496" si="635">+H490+L372</f>
        <v>0</v>
      </c>
      <c r="M490" s="455">
        <f t="shared" ref="M490:M496" si="636">+I490+M372</f>
        <v>0</v>
      </c>
      <c r="N490" s="334" t="str">
        <f t="shared" ref="N490:N496" si="637">IFERROR(K490/E490,"-")</f>
        <v>-</v>
      </c>
      <c r="O490" s="344" t="str">
        <f t="shared" si="630"/>
        <v>-</v>
      </c>
    </row>
    <row r="491" spans="1:15" ht="24" x14ac:dyDescent="0.25">
      <c r="A491" s="274" t="s">
        <v>103</v>
      </c>
      <c r="B491" s="868"/>
      <c r="C491" s="275" t="s">
        <v>342</v>
      </c>
      <c r="D491" s="275" t="s">
        <v>231</v>
      </c>
      <c r="E491" s="276">
        <v>1400000</v>
      </c>
      <c r="F491" s="277"/>
      <c r="G491" s="331">
        <f t="shared" si="633"/>
        <v>0</v>
      </c>
      <c r="H491" s="278">
        <v>0</v>
      </c>
      <c r="I491" s="278">
        <v>0</v>
      </c>
      <c r="J491" s="349" t="str">
        <f t="shared" ref="J491:J496" si="638">IFERROR(G491/F491,"-")</f>
        <v>-</v>
      </c>
      <c r="K491" s="651">
        <f t="shared" si="634"/>
        <v>0</v>
      </c>
      <c r="L491" s="276">
        <f t="shared" si="635"/>
        <v>0</v>
      </c>
      <c r="M491" s="432">
        <f t="shared" si="636"/>
        <v>0</v>
      </c>
      <c r="N491" s="335">
        <f t="shared" si="637"/>
        <v>0</v>
      </c>
      <c r="O491" s="263" t="str">
        <f t="shared" si="630"/>
        <v>-</v>
      </c>
    </row>
    <row r="492" spans="1:15" ht="24" x14ac:dyDescent="0.25">
      <c r="A492" s="274" t="s">
        <v>103</v>
      </c>
      <c r="B492" s="868"/>
      <c r="C492" s="275" t="s">
        <v>365</v>
      </c>
      <c r="D492" s="275" t="s">
        <v>187</v>
      </c>
      <c r="E492" s="276"/>
      <c r="F492" s="277"/>
      <c r="G492" s="331">
        <f t="shared" si="633"/>
        <v>0</v>
      </c>
      <c r="H492" s="278"/>
      <c r="I492" s="278"/>
      <c r="J492" s="349" t="str">
        <f t="shared" si="638"/>
        <v>-</v>
      </c>
      <c r="K492" s="651">
        <f t="shared" si="634"/>
        <v>93023</v>
      </c>
      <c r="L492" s="276">
        <f t="shared" si="635"/>
        <v>91800</v>
      </c>
      <c r="M492" s="432">
        <f t="shared" si="636"/>
        <v>1223</v>
      </c>
      <c r="N492" s="335" t="str">
        <f t="shared" si="637"/>
        <v>-</v>
      </c>
      <c r="O492" s="263">
        <f t="shared" si="630"/>
        <v>1.3147286155036927E-2</v>
      </c>
    </row>
    <row r="493" spans="1:15" ht="24" x14ac:dyDescent="0.25">
      <c r="A493" s="274" t="s">
        <v>103</v>
      </c>
      <c r="B493" s="868"/>
      <c r="C493" s="275" t="s">
        <v>479</v>
      </c>
      <c r="D493" s="275" t="s">
        <v>478</v>
      </c>
      <c r="E493" s="276"/>
      <c r="F493" s="277"/>
      <c r="G493" s="331">
        <f t="shared" si="633"/>
        <v>0</v>
      </c>
      <c r="H493" s="278">
        <v>0</v>
      </c>
      <c r="I493" s="278">
        <v>0</v>
      </c>
      <c r="J493" s="349" t="str">
        <f t="shared" si="638"/>
        <v>-</v>
      </c>
      <c r="K493" s="651">
        <f t="shared" si="634"/>
        <v>0</v>
      </c>
      <c r="L493" s="276">
        <f t="shared" si="635"/>
        <v>0</v>
      </c>
      <c r="M493" s="432">
        <f t="shared" si="636"/>
        <v>0</v>
      </c>
      <c r="N493" s="335" t="str">
        <f t="shared" si="637"/>
        <v>-</v>
      </c>
      <c r="O493" s="263" t="str">
        <f t="shared" si="630"/>
        <v>-</v>
      </c>
    </row>
    <row r="494" spans="1:15" ht="24" x14ac:dyDescent="0.25">
      <c r="A494" s="274" t="s">
        <v>103</v>
      </c>
      <c r="B494" s="868"/>
      <c r="C494" s="275" t="s">
        <v>321</v>
      </c>
      <c r="D494" s="275" t="s">
        <v>316</v>
      </c>
      <c r="E494" s="276"/>
      <c r="F494" s="277"/>
      <c r="G494" s="331">
        <f t="shared" si="633"/>
        <v>0</v>
      </c>
      <c r="H494" s="278">
        <v>0</v>
      </c>
      <c r="I494" s="278">
        <v>0</v>
      </c>
      <c r="J494" s="349" t="str">
        <f t="shared" si="638"/>
        <v>-</v>
      </c>
      <c r="K494" s="651">
        <f t="shared" si="634"/>
        <v>0</v>
      </c>
      <c r="L494" s="276">
        <f t="shared" si="635"/>
        <v>0</v>
      </c>
      <c r="M494" s="432">
        <f t="shared" si="636"/>
        <v>0</v>
      </c>
      <c r="N494" s="335" t="str">
        <f t="shared" si="637"/>
        <v>-</v>
      </c>
      <c r="O494" s="263" t="str">
        <f t="shared" si="630"/>
        <v>-</v>
      </c>
    </row>
    <row r="495" spans="1:15" ht="24" x14ac:dyDescent="0.25">
      <c r="A495" s="274" t="s">
        <v>103</v>
      </c>
      <c r="B495" s="868"/>
      <c r="C495" s="275" t="s">
        <v>477</v>
      </c>
      <c r="D495" s="275" t="s">
        <v>189</v>
      </c>
      <c r="E495" s="276"/>
      <c r="F495" s="277"/>
      <c r="G495" s="331">
        <f t="shared" si="633"/>
        <v>0</v>
      </c>
      <c r="H495" s="278">
        <v>0</v>
      </c>
      <c r="I495" s="278">
        <v>0</v>
      </c>
      <c r="J495" s="349" t="str">
        <f t="shared" si="638"/>
        <v>-</v>
      </c>
      <c r="K495" s="651">
        <f t="shared" si="634"/>
        <v>0</v>
      </c>
      <c r="L495" s="276">
        <f t="shared" si="635"/>
        <v>0</v>
      </c>
      <c r="M495" s="432">
        <f t="shared" si="636"/>
        <v>0</v>
      </c>
      <c r="N495" s="335" t="str">
        <f t="shared" si="637"/>
        <v>-</v>
      </c>
      <c r="O495" s="263" t="str">
        <f t="shared" si="630"/>
        <v>-</v>
      </c>
    </row>
    <row r="496" spans="1:15" ht="24.75" thickBot="1" x14ac:dyDescent="0.3">
      <c r="A496" s="274" t="s">
        <v>103</v>
      </c>
      <c r="B496" s="869"/>
      <c r="C496" s="279" t="s">
        <v>339</v>
      </c>
      <c r="D496" s="279" t="s">
        <v>231</v>
      </c>
      <c r="E496" s="280"/>
      <c r="F496" s="281"/>
      <c r="G496" s="332">
        <f t="shared" si="633"/>
        <v>0</v>
      </c>
      <c r="H496" s="278">
        <v>0</v>
      </c>
      <c r="I496" s="278">
        <v>0</v>
      </c>
      <c r="J496" s="349" t="str">
        <f t="shared" si="638"/>
        <v>-</v>
      </c>
      <c r="K496" s="652">
        <f t="shared" si="634"/>
        <v>0</v>
      </c>
      <c r="L496" s="525">
        <f t="shared" si="635"/>
        <v>0</v>
      </c>
      <c r="M496" s="458">
        <f t="shared" si="636"/>
        <v>0</v>
      </c>
      <c r="N496" s="336" t="str">
        <f t="shared" si="637"/>
        <v>-</v>
      </c>
      <c r="O496" s="345" t="str">
        <f t="shared" si="630"/>
        <v>-</v>
      </c>
    </row>
    <row r="497" spans="1:15" ht="23.25" thickBot="1" x14ac:dyDescent="0.3">
      <c r="A497" s="274" t="s">
        <v>103</v>
      </c>
      <c r="B497" s="845" t="s">
        <v>45</v>
      </c>
      <c r="C497" s="846"/>
      <c r="D497" s="847"/>
      <c r="E497" s="319">
        <f>SUM(E490:E496)</f>
        <v>1400000</v>
      </c>
      <c r="F497" s="284">
        <v>100000</v>
      </c>
      <c r="G497" s="319">
        <f>SUM(G490:G496)</f>
        <v>0</v>
      </c>
      <c r="H497" s="320">
        <f t="shared" ref="H497:I497" si="639">SUM(H490:H496)</f>
        <v>0</v>
      </c>
      <c r="I497" s="320">
        <f t="shared" si="639"/>
        <v>0</v>
      </c>
      <c r="J497" s="343">
        <f>+G497/F497</f>
        <v>0</v>
      </c>
      <c r="K497" s="319">
        <f>SUM(K490:K496)</f>
        <v>93023</v>
      </c>
      <c r="L497" s="515">
        <f>SUM(L490:L496)</f>
        <v>91800</v>
      </c>
      <c r="M497" s="650">
        <f t="shared" ref="M497" si="640">SUM(M490:M496)</f>
        <v>1223</v>
      </c>
      <c r="N497" s="337">
        <f>IFERROR(K497/E497,"-")</f>
        <v>6.6445000000000004E-2</v>
      </c>
      <c r="O497" s="343">
        <f t="shared" si="630"/>
        <v>1.3147286155036927E-2</v>
      </c>
    </row>
    <row r="498" spans="1:15" ht="24" x14ac:dyDescent="0.25">
      <c r="A498" s="274" t="s">
        <v>103</v>
      </c>
      <c r="B498" s="867" t="s">
        <v>18</v>
      </c>
      <c r="C498" s="269" t="s">
        <v>311</v>
      </c>
      <c r="D498" s="269" t="s">
        <v>92</v>
      </c>
      <c r="E498" s="270"/>
      <c r="F498" s="271"/>
      <c r="G498" s="330">
        <f t="shared" ref="G498:G504" si="641">+H498+I498</f>
        <v>0</v>
      </c>
      <c r="H498" s="272">
        <v>0</v>
      </c>
      <c r="I498" s="272">
        <v>0</v>
      </c>
      <c r="J498" s="349" t="str">
        <f>IFERROR(G498/F498,"-")</f>
        <v>-</v>
      </c>
      <c r="K498" s="330">
        <f t="shared" ref="K498:K504" si="642">+L498+M498</f>
        <v>0</v>
      </c>
      <c r="L498" s="272">
        <f t="shared" ref="L498:L504" si="643">+H498+L380</f>
        <v>0</v>
      </c>
      <c r="M498" s="273">
        <f t="shared" ref="M498:M504" si="644">+I498+M380</f>
        <v>0</v>
      </c>
      <c r="N498" s="334" t="str">
        <f t="shared" ref="N498:N505" si="645">IFERROR(K498/E498,"-")</f>
        <v>-</v>
      </c>
      <c r="O498" s="344" t="str">
        <f t="shared" si="630"/>
        <v>-</v>
      </c>
    </row>
    <row r="499" spans="1:15" ht="24" x14ac:dyDescent="0.25">
      <c r="A499" s="274" t="s">
        <v>103</v>
      </c>
      <c r="B499" s="868"/>
      <c r="C499" s="275" t="s">
        <v>232</v>
      </c>
      <c r="D499" s="275" t="s">
        <v>233</v>
      </c>
      <c r="E499" s="276"/>
      <c r="F499" s="277"/>
      <c r="G499" s="331">
        <f t="shared" si="641"/>
        <v>0</v>
      </c>
      <c r="H499" s="278">
        <v>0</v>
      </c>
      <c r="I499" s="278">
        <v>0</v>
      </c>
      <c r="J499" s="349" t="str">
        <f t="shared" ref="J499:J504" si="646">IFERROR(G499/F499,"-")</f>
        <v>-</v>
      </c>
      <c r="K499" s="331">
        <f t="shared" si="642"/>
        <v>0</v>
      </c>
      <c r="L499" s="272">
        <f t="shared" si="643"/>
        <v>0</v>
      </c>
      <c r="M499" s="273">
        <f t="shared" si="644"/>
        <v>0</v>
      </c>
      <c r="N499" s="335" t="str">
        <f t="shared" si="645"/>
        <v>-</v>
      </c>
      <c r="O499" s="263" t="str">
        <f t="shared" si="630"/>
        <v>-</v>
      </c>
    </row>
    <row r="500" spans="1:15" ht="24" x14ac:dyDescent="0.25">
      <c r="A500" s="274" t="s">
        <v>103</v>
      </c>
      <c r="B500" s="868"/>
      <c r="C500" s="275" t="s">
        <v>115</v>
      </c>
      <c r="D500" s="275"/>
      <c r="E500" s="276"/>
      <c r="F500" s="277"/>
      <c r="G500" s="331">
        <f t="shared" si="641"/>
        <v>0</v>
      </c>
      <c r="H500" s="278">
        <v>0</v>
      </c>
      <c r="I500" s="278">
        <v>0</v>
      </c>
      <c r="J500" s="349" t="str">
        <f t="shared" si="646"/>
        <v>-</v>
      </c>
      <c r="K500" s="331">
        <f t="shared" si="642"/>
        <v>0</v>
      </c>
      <c r="L500" s="272">
        <f t="shared" si="643"/>
        <v>0</v>
      </c>
      <c r="M500" s="273">
        <f t="shared" si="644"/>
        <v>0</v>
      </c>
      <c r="N500" s="335" t="str">
        <f t="shared" si="645"/>
        <v>-</v>
      </c>
      <c r="O500" s="263" t="str">
        <f t="shared" si="630"/>
        <v>-</v>
      </c>
    </row>
    <row r="501" spans="1:15" ht="24" x14ac:dyDescent="0.25">
      <c r="A501" s="274" t="s">
        <v>103</v>
      </c>
      <c r="B501" s="868"/>
      <c r="C501" s="275" t="s">
        <v>122</v>
      </c>
      <c r="D501" s="275"/>
      <c r="E501" s="276"/>
      <c r="F501" s="277"/>
      <c r="G501" s="331">
        <f t="shared" si="641"/>
        <v>0</v>
      </c>
      <c r="H501" s="278">
        <v>0</v>
      </c>
      <c r="I501" s="278">
        <v>0</v>
      </c>
      <c r="J501" s="349" t="str">
        <f t="shared" si="646"/>
        <v>-</v>
      </c>
      <c r="K501" s="331">
        <f t="shared" si="642"/>
        <v>0</v>
      </c>
      <c r="L501" s="272">
        <f t="shared" si="643"/>
        <v>0</v>
      </c>
      <c r="M501" s="273">
        <f t="shared" si="644"/>
        <v>0</v>
      </c>
      <c r="N501" s="335" t="str">
        <f t="shared" si="645"/>
        <v>-</v>
      </c>
      <c r="O501" s="263" t="str">
        <f t="shared" si="630"/>
        <v>-</v>
      </c>
    </row>
    <row r="502" spans="1:15" ht="24" x14ac:dyDescent="0.25">
      <c r="A502" s="274" t="s">
        <v>103</v>
      </c>
      <c r="B502" s="868"/>
      <c r="C502" s="275" t="s">
        <v>176</v>
      </c>
      <c r="D502" s="275" t="s">
        <v>177</v>
      </c>
      <c r="E502" s="276"/>
      <c r="F502" s="277"/>
      <c r="G502" s="331">
        <f t="shared" si="641"/>
        <v>0</v>
      </c>
      <c r="H502" s="278">
        <v>0</v>
      </c>
      <c r="I502" s="278">
        <v>0</v>
      </c>
      <c r="J502" s="349" t="str">
        <f t="shared" si="646"/>
        <v>-</v>
      </c>
      <c r="K502" s="331">
        <f t="shared" si="642"/>
        <v>0</v>
      </c>
      <c r="L502" s="272">
        <f t="shared" si="643"/>
        <v>0</v>
      </c>
      <c r="M502" s="273">
        <f t="shared" si="644"/>
        <v>0</v>
      </c>
      <c r="N502" s="335" t="str">
        <f t="shared" si="645"/>
        <v>-</v>
      </c>
      <c r="O502" s="263" t="str">
        <f t="shared" si="630"/>
        <v>-</v>
      </c>
    </row>
    <row r="503" spans="1:15" ht="24" x14ac:dyDescent="0.25">
      <c r="A503" s="274" t="s">
        <v>103</v>
      </c>
      <c r="B503" s="868"/>
      <c r="C503" s="275" t="s">
        <v>179</v>
      </c>
      <c r="D503" s="275" t="s">
        <v>178</v>
      </c>
      <c r="E503" s="276"/>
      <c r="F503" s="277"/>
      <c r="G503" s="331">
        <f t="shared" si="641"/>
        <v>0</v>
      </c>
      <c r="H503" s="278">
        <v>0</v>
      </c>
      <c r="I503" s="278">
        <v>0</v>
      </c>
      <c r="J503" s="349" t="str">
        <f t="shared" si="646"/>
        <v>-</v>
      </c>
      <c r="K503" s="331">
        <f t="shared" si="642"/>
        <v>0</v>
      </c>
      <c r="L503" s="272">
        <f t="shared" si="643"/>
        <v>0</v>
      </c>
      <c r="M503" s="273">
        <f t="shared" si="644"/>
        <v>0</v>
      </c>
      <c r="N503" s="335" t="str">
        <f t="shared" si="645"/>
        <v>-</v>
      </c>
      <c r="O503" s="263" t="str">
        <f t="shared" si="630"/>
        <v>-</v>
      </c>
    </row>
    <row r="504" spans="1:15" ht="24.75" thickBot="1" x14ac:dyDescent="0.3">
      <c r="A504" s="274" t="s">
        <v>103</v>
      </c>
      <c r="B504" s="869"/>
      <c r="C504" s="285" t="s">
        <v>180</v>
      </c>
      <c r="D504" s="285" t="s">
        <v>107</v>
      </c>
      <c r="E504" s="280"/>
      <c r="F504" s="281"/>
      <c r="G504" s="332">
        <f t="shared" si="641"/>
        <v>0</v>
      </c>
      <c r="H504" s="282">
        <v>0</v>
      </c>
      <c r="I504" s="282">
        <v>0</v>
      </c>
      <c r="J504" s="349" t="str">
        <f t="shared" si="646"/>
        <v>-</v>
      </c>
      <c r="K504" s="332">
        <f t="shared" si="642"/>
        <v>0</v>
      </c>
      <c r="L504" s="272">
        <f t="shared" si="643"/>
        <v>0</v>
      </c>
      <c r="M504" s="273">
        <f t="shared" si="644"/>
        <v>0</v>
      </c>
      <c r="N504" s="336" t="str">
        <f t="shared" si="645"/>
        <v>-</v>
      </c>
      <c r="O504" s="345" t="str">
        <f t="shared" si="630"/>
        <v>-</v>
      </c>
    </row>
    <row r="505" spans="1:15" ht="23.25" thickBot="1" x14ac:dyDescent="0.3">
      <c r="A505" s="274" t="s">
        <v>103</v>
      </c>
      <c r="B505" s="845" t="s">
        <v>29</v>
      </c>
      <c r="C505" s="870"/>
      <c r="D505" s="871"/>
      <c r="E505" s="364">
        <f t="shared" ref="E505" si="647">SUM(E498:E504)</f>
        <v>0</v>
      </c>
      <c r="F505" s="306">
        <v>80000</v>
      </c>
      <c r="G505" s="364">
        <f>SUM(G498:G504)</f>
        <v>0</v>
      </c>
      <c r="H505" s="363">
        <f t="shared" ref="H505:I505" si="648">SUM(H498:H504)</f>
        <v>0</v>
      </c>
      <c r="I505" s="363">
        <f t="shared" si="648"/>
        <v>0</v>
      </c>
      <c r="J505" s="354">
        <f>+G505/F505</f>
        <v>0</v>
      </c>
      <c r="K505" s="364">
        <f t="shared" ref="K505" si="649">SUM(K498:K504)</f>
        <v>0</v>
      </c>
      <c r="L505" s="363">
        <f>SUM(L498:L504)</f>
        <v>0</v>
      </c>
      <c r="M505" s="365">
        <f t="shared" ref="M505" si="650">SUM(M498:M504)</f>
        <v>0</v>
      </c>
      <c r="N505" s="353" t="str">
        <f t="shared" si="645"/>
        <v>-</v>
      </c>
      <c r="O505" s="354" t="str">
        <f t="shared" si="630"/>
        <v>-</v>
      </c>
    </row>
    <row r="506" spans="1:15" ht="24" x14ac:dyDescent="0.25">
      <c r="A506" s="252" t="s">
        <v>103</v>
      </c>
      <c r="B506" s="872" t="s">
        <v>19</v>
      </c>
      <c r="C506" s="634" t="s">
        <v>234</v>
      </c>
      <c r="D506" s="734" t="s">
        <v>177</v>
      </c>
      <c r="E506" s="745"/>
      <c r="F506" s="725">
        <v>110000</v>
      </c>
      <c r="G506" s="453">
        <f t="shared" ref="G506:G512" si="651">+H506+I506</f>
        <v>0</v>
      </c>
      <c r="H506" s="454">
        <v>0</v>
      </c>
      <c r="I506" s="454">
        <v>0</v>
      </c>
      <c r="J506" s="526">
        <f>IFERROR(G506/F506,"-")</f>
        <v>0</v>
      </c>
      <c r="K506" s="729">
        <f>+L506+M506</f>
        <v>76414</v>
      </c>
      <c r="L506" s="522">
        <f t="shared" ref="L506:L512" si="652">+H506+L388</f>
        <v>76032</v>
      </c>
      <c r="M506" s="725">
        <f t="shared" ref="M506:M512" si="653">+I506+M388</f>
        <v>382</v>
      </c>
      <c r="N506" s="626" t="str">
        <f>IFERROR(K506/E506,"-")</f>
        <v>-</v>
      </c>
      <c r="O506" s="627">
        <f t="shared" si="630"/>
        <v>4.9990839374983642E-3</v>
      </c>
    </row>
    <row r="507" spans="1:15" ht="24" x14ac:dyDescent="0.25">
      <c r="A507" s="252"/>
      <c r="B507" s="873"/>
      <c r="C507" s="727" t="s">
        <v>375</v>
      </c>
      <c r="D507" s="733" t="s">
        <v>421</v>
      </c>
      <c r="E507" s="507">
        <v>1000000</v>
      </c>
      <c r="F507" s="277"/>
      <c r="G507" s="331">
        <f t="shared" si="651"/>
        <v>0</v>
      </c>
      <c r="H507" s="278">
        <v>0</v>
      </c>
      <c r="I507" s="278">
        <v>0</v>
      </c>
      <c r="J507" s="350" t="str">
        <f t="shared" ref="J507:J512" si="654">IFERROR(G507/F507,"-")</f>
        <v>-</v>
      </c>
      <c r="K507" s="730">
        <f>+L507+M507</f>
        <v>0</v>
      </c>
      <c r="L507" s="276">
        <f t="shared" si="652"/>
        <v>0</v>
      </c>
      <c r="M507" s="277">
        <f t="shared" si="653"/>
        <v>0</v>
      </c>
      <c r="N507" s="723">
        <f t="shared" ref="N507:N512" si="655">IFERROR(K507/E507,"-")</f>
        <v>0</v>
      </c>
      <c r="O507" s="263" t="str">
        <f>IFERROR(M507/K507,"-")</f>
        <v>-</v>
      </c>
    </row>
    <row r="508" spans="1:15" ht="24" x14ac:dyDescent="0.25">
      <c r="A508" s="252"/>
      <c r="B508" s="873"/>
      <c r="C508" s="727" t="s">
        <v>234</v>
      </c>
      <c r="D508" s="733" t="s">
        <v>476</v>
      </c>
      <c r="E508" s="507"/>
      <c r="F508" s="277"/>
      <c r="G508" s="331">
        <f t="shared" si="651"/>
        <v>0</v>
      </c>
      <c r="H508" s="278">
        <v>0</v>
      </c>
      <c r="I508" s="278">
        <v>0</v>
      </c>
      <c r="J508" s="350" t="str">
        <f t="shared" si="654"/>
        <v>-</v>
      </c>
      <c r="K508" s="730">
        <f t="shared" ref="K508:K511" si="656">+L508+M508</f>
        <v>0</v>
      </c>
      <c r="L508" s="276">
        <f t="shared" si="652"/>
        <v>0</v>
      </c>
      <c r="M508" s="277">
        <f t="shared" si="653"/>
        <v>0</v>
      </c>
      <c r="N508" s="723" t="str">
        <f t="shared" si="655"/>
        <v>-</v>
      </c>
      <c r="O508" s="263" t="str">
        <f t="shared" ref="O508:O569" si="657">IFERROR(M508/K508,"-")</f>
        <v>-</v>
      </c>
    </row>
    <row r="509" spans="1:15" ht="24" x14ac:dyDescent="0.25">
      <c r="A509" s="252"/>
      <c r="B509" s="873"/>
      <c r="C509" s="727" t="s">
        <v>375</v>
      </c>
      <c r="D509" s="733" t="s">
        <v>476</v>
      </c>
      <c r="E509" s="507"/>
      <c r="F509" s="277"/>
      <c r="G509" s="331">
        <f t="shared" si="651"/>
        <v>0</v>
      </c>
      <c r="H509" s="278">
        <v>0</v>
      </c>
      <c r="I509" s="278">
        <v>0</v>
      </c>
      <c r="J509" s="350" t="str">
        <f t="shared" si="654"/>
        <v>-</v>
      </c>
      <c r="K509" s="730">
        <f t="shared" si="656"/>
        <v>0</v>
      </c>
      <c r="L509" s="276">
        <f t="shared" si="652"/>
        <v>0</v>
      </c>
      <c r="M509" s="277">
        <f t="shared" si="653"/>
        <v>0</v>
      </c>
      <c r="N509" s="723" t="str">
        <f t="shared" si="655"/>
        <v>-</v>
      </c>
      <c r="O509" s="263" t="str">
        <f t="shared" si="657"/>
        <v>-</v>
      </c>
    </row>
    <row r="510" spans="1:15" ht="24" x14ac:dyDescent="0.25">
      <c r="A510" s="252"/>
      <c r="B510" s="873"/>
      <c r="C510" s="727" t="s">
        <v>484</v>
      </c>
      <c r="D510" s="733" t="s">
        <v>476</v>
      </c>
      <c r="E510" s="507"/>
      <c r="F510" s="277"/>
      <c r="G510" s="331">
        <f t="shared" si="651"/>
        <v>17176</v>
      </c>
      <c r="H510" s="278">
        <v>16896</v>
      </c>
      <c r="I510" s="278">
        <v>280</v>
      </c>
      <c r="J510" s="350" t="str">
        <f t="shared" si="654"/>
        <v>-</v>
      </c>
      <c r="K510" s="730">
        <f t="shared" si="656"/>
        <v>34606</v>
      </c>
      <c r="L510" s="276">
        <f t="shared" si="652"/>
        <v>33792</v>
      </c>
      <c r="M510" s="277">
        <f t="shared" si="653"/>
        <v>814</v>
      </c>
      <c r="N510" s="723" t="str">
        <f t="shared" si="655"/>
        <v>-</v>
      </c>
      <c r="O510" s="263">
        <f t="shared" si="657"/>
        <v>2.3521932612841703E-2</v>
      </c>
    </row>
    <row r="511" spans="1:15" ht="24" x14ac:dyDescent="0.25">
      <c r="A511" s="252"/>
      <c r="B511" s="873"/>
      <c r="C511" s="727"/>
      <c r="D511" s="733"/>
      <c r="E511" s="507"/>
      <c r="F511" s="277"/>
      <c r="G511" s="331">
        <f t="shared" si="651"/>
        <v>0</v>
      </c>
      <c r="H511" s="278">
        <v>0</v>
      </c>
      <c r="I511" s="278">
        <v>0</v>
      </c>
      <c r="J511" s="350" t="str">
        <f t="shared" si="654"/>
        <v>-</v>
      </c>
      <c r="K511" s="730">
        <f t="shared" si="656"/>
        <v>0</v>
      </c>
      <c r="L511" s="276">
        <f t="shared" si="652"/>
        <v>0</v>
      </c>
      <c r="M511" s="277">
        <f t="shared" si="653"/>
        <v>0</v>
      </c>
      <c r="N511" s="723" t="str">
        <f t="shared" si="655"/>
        <v>-</v>
      </c>
      <c r="O511" s="263" t="str">
        <f t="shared" si="657"/>
        <v>-</v>
      </c>
    </row>
    <row r="512" spans="1:15" ht="24.75" thickBot="1" x14ac:dyDescent="0.3">
      <c r="A512" s="252"/>
      <c r="B512" s="874"/>
      <c r="C512" s="635" t="s">
        <v>340</v>
      </c>
      <c r="D512" s="735"/>
      <c r="E512" s="746">
        <v>150000</v>
      </c>
      <c r="F512" s="726"/>
      <c r="G512" s="456">
        <f t="shared" si="651"/>
        <v>0</v>
      </c>
      <c r="H512" s="457">
        <v>0</v>
      </c>
      <c r="I512" s="457">
        <v>0</v>
      </c>
      <c r="J512" s="527" t="str">
        <f t="shared" si="654"/>
        <v>-</v>
      </c>
      <c r="K512" s="731">
        <f>+L512+M512</f>
        <v>0</v>
      </c>
      <c r="L512" s="525">
        <f t="shared" si="652"/>
        <v>0</v>
      </c>
      <c r="M512" s="726">
        <f t="shared" si="653"/>
        <v>0</v>
      </c>
      <c r="N512" s="724">
        <f t="shared" si="655"/>
        <v>0</v>
      </c>
      <c r="O512" s="264" t="str">
        <f t="shared" si="657"/>
        <v>-</v>
      </c>
    </row>
    <row r="513" spans="1:15" ht="23.25" thickBot="1" x14ac:dyDescent="0.3">
      <c r="A513" s="274" t="s">
        <v>103</v>
      </c>
      <c r="B513" s="875" t="s">
        <v>46</v>
      </c>
      <c r="C513" s="876"/>
      <c r="D513" s="877"/>
      <c r="E513" s="509">
        <f>SUM(E506:E512)</f>
        <v>1150000</v>
      </c>
      <c r="F513" s="728">
        <f t="shared" ref="F513" si="658">SUM(F506)</f>
        <v>110000</v>
      </c>
      <c r="G513" s="509">
        <f>SUM(G506:G512)</f>
        <v>17176</v>
      </c>
      <c r="H513" s="515">
        <f>SUM(H506:H512)</f>
        <v>16896</v>
      </c>
      <c r="I513" s="515">
        <f>SUM(I506:I512)</f>
        <v>280</v>
      </c>
      <c r="J513" s="516">
        <f>+G513/F513</f>
        <v>0.15614545454545453</v>
      </c>
      <c r="K513" s="722">
        <f>SUM(K506:K512)</f>
        <v>111020</v>
      </c>
      <c r="L513" s="515">
        <f>SUM(L506:L512)</f>
        <v>109824</v>
      </c>
      <c r="M513" s="650">
        <f>SUM(M506:M512)</f>
        <v>1196</v>
      </c>
      <c r="N513" s="517">
        <f>IFERROR(K513/E513,"-")</f>
        <v>9.6539130434782613E-2</v>
      </c>
      <c r="O513" s="516">
        <f t="shared" si="657"/>
        <v>1.0772833723653397E-2</v>
      </c>
    </row>
    <row r="514" spans="1:15" ht="24" x14ac:dyDescent="0.25">
      <c r="A514" s="274" t="s">
        <v>103</v>
      </c>
      <c r="B514" s="867" t="s">
        <v>20</v>
      </c>
      <c r="C514" s="290" t="s">
        <v>486</v>
      </c>
      <c r="D514" s="757" t="s">
        <v>288</v>
      </c>
      <c r="E514" s="270">
        <v>500000</v>
      </c>
      <c r="F514" s="271"/>
      <c r="G514" s="330">
        <f t="shared" ref="G514:G516" si="659">+H514+I514</f>
        <v>0</v>
      </c>
      <c r="H514" s="272"/>
      <c r="I514" s="272"/>
      <c r="J514" s="349" t="str">
        <f>IFERROR(G514/F514,"-")</f>
        <v>-</v>
      </c>
      <c r="K514" s="330">
        <f t="shared" ref="K514:K516" si="660">+L514+M514</f>
        <v>22641</v>
      </c>
      <c r="L514" s="272">
        <f t="shared" ref="L514:L516" si="661">+H514+L396</f>
        <v>22464</v>
      </c>
      <c r="M514" s="273">
        <f t="shared" ref="M514:M516" si="662">+I514+M396</f>
        <v>177</v>
      </c>
      <c r="N514" s="334">
        <f t="shared" ref="N514:N517" si="663">IFERROR(K514/E514,"-")</f>
        <v>4.5282000000000003E-2</v>
      </c>
      <c r="O514" s="344">
        <f t="shared" si="657"/>
        <v>7.8176758977076977E-3</v>
      </c>
    </row>
    <row r="515" spans="1:15" ht="24" x14ac:dyDescent="0.25">
      <c r="A515" s="274" t="s">
        <v>103</v>
      </c>
      <c r="B515" s="868"/>
      <c r="C515" s="291" t="s">
        <v>114</v>
      </c>
      <c r="D515" s="291"/>
      <c r="E515" s="276"/>
      <c r="F515" s="277"/>
      <c r="G515" s="331">
        <f t="shared" si="659"/>
        <v>0</v>
      </c>
      <c r="H515" s="278">
        <v>0</v>
      </c>
      <c r="I515" s="278">
        <v>0</v>
      </c>
      <c r="J515" s="349" t="str">
        <f t="shared" ref="J515:J516" si="664">IFERROR(G515/F515,"-")</f>
        <v>-</v>
      </c>
      <c r="K515" s="331">
        <f t="shared" si="660"/>
        <v>0</v>
      </c>
      <c r="L515" s="272">
        <f t="shared" si="661"/>
        <v>0</v>
      </c>
      <c r="M515" s="273">
        <f t="shared" si="662"/>
        <v>0</v>
      </c>
      <c r="N515" s="335" t="str">
        <f t="shared" si="663"/>
        <v>-</v>
      </c>
      <c r="O515" s="263" t="str">
        <f t="shared" si="657"/>
        <v>-</v>
      </c>
    </row>
    <row r="516" spans="1:15" ht="24.75" thickBot="1" x14ac:dyDescent="0.3">
      <c r="A516" s="274" t="s">
        <v>103</v>
      </c>
      <c r="B516" s="869"/>
      <c r="C516" s="292" t="s">
        <v>120</v>
      </c>
      <c r="D516" s="292"/>
      <c r="E516" s="280"/>
      <c r="F516" s="281"/>
      <c r="G516" s="332">
        <f t="shared" si="659"/>
        <v>0</v>
      </c>
      <c r="H516" s="282">
        <v>0</v>
      </c>
      <c r="I516" s="282">
        <v>0</v>
      </c>
      <c r="J516" s="349" t="str">
        <f t="shared" si="664"/>
        <v>-</v>
      </c>
      <c r="K516" s="332">
        <f t="shared" si="660"/>
        <v>0</v>
      </c>
      <c r="L516" s="272">
        <f t="shared" si="661"/>
        <v>0</v>
      </c>
      <c r="M516" s="273">
        <f t="shared" si="662"/>
        <v>0</v>
      </c>
      <c r="N516" s="336" t="str">
        <f t="shared" si="663"/>
        <v>-</v>
      </c>
      <c r="O516" s="345" t="str">
        <f t="shared" si="657"/>
        <v>-</v>
      </c>
    </row>
    <row r="517" spans="1:15" ht="23.25" thickBot="1" x14ac:dyDescent="0.3">
      <c r="A517" s="274" t="s">
        <v>103</v>
      </c>
      <c r="B517" s="846" t="s">
        <v>47</v>
      </c>
      <c r="C517" s="846"/>
      <c r="D517" s="878"/>
      <c r="E517" s="319">
        <f t="shared" ref="E517" si="665">SUM(E514:E516)</f>
        <v>500000</v>
      </c>
      <c r="F517" s="284">
        <v>50000</v>
      </c>
      <c r="G517" s="319">
        <f>SUM(G514:G516)</f>
        <v>0</v>
      </c>
      <c r="H517" s="320">
        <f t="shared" ref="H517:I517" si="666">SUM(H514:H516)</f>
        <v>0</v>
      </c>
      <c r="I517" s="320">
        <f t="shared" si="666"/>
        <v>0</v>
      </c>
      <c r="J517" s="343">
        <f>+G517/F517</f>
        <v>0</v>
      </c>
      <c r="K517" s="319">
        <f t="shared" ref="K517:M517" si="667">SUM(K514:K516)</f>
        <v>22641</v>
      </c>
      <c r="L517" s="320">
        <f t="shared" si="667"/>
        <v>22464</v>
      </c>
      <c r="M517" s="321">
        <f t="shared" si="667"/>
        <v>177</v>
      </c>
      <c r="N517" s="337">
        <f t="shared" si="663"/>
        <v>4.5282000000000003E-2</v>
      </c>
      <c r="O517" s="343">
        <f t="shared" si="657"/>
        <v>7.8176758977076977E-3</v>
      </c>
    </row>
    <row r="518" spans="1:15" ht="23.25" thickBot="1" x14ac:dyDescent="0.3">
      <c r="A518" s="274" t="s">
        <v>103</v>
      </c>
      <c r="B518" s="853" t="s">
        <v>21</v>
      </c>
      <c r="C518" s="854"/>
      <c r="D518" s="855"/>
      <c r="E518" s="324">
        <f>+E489+E497+E505+E513+E517</f>
        <v>3150000</v>
      </c>
      <c r="F518" s="325">
        <f>+F489+F497+F505+F513+F517</f>
        <v>355000</v>
      </c>
      <c r="G518" s="324">
        <f>+G489+G497+G505+G513+G517</f>
        <v>30989</v>
      </c>
      <c r="H518" s="322">
        <f>+H489+H497+H505+H513+H517</f>
        <v>30656</v>
      </c>
      <c r="I518" s="322">
        <f>+I489+I497+I505+I513+I517</f>
        <v>333</v>
      </c>
      <c r="J518" s="347">
        <f>+G518/F518</f>
        <v>8.7292957746478869E-2</v>
      </c>
      <c r="K518" s="324">
        <f>+K489+K497+K505+K513+K517</f>
        <v>252045</v>
      </c>
      <c r="L518" s="322">
        <f>+L489+L497+L505+L513+L517</f>
        <v>249048</v>
      </c>
      <c r="M518" s="323">
        <f>+M489+M497+M505+M513+M517</f>
        <v>2997</v>
      </c>
      <c r="N518" s="339">
        <f>IFERROR(K518/E518,"-")</f>
        <v>8.0014285714285718E-2</v>
      </c>
      <c r="O518" s="347">
        <f t="shared" si="657"/>
        <v>1.1890733797536154E-2</v>
      </c>
    </row>
    <row r="519" spans="1:15" ht="24" x14ac:dyDescent="0.25">
      <c r="A519" s="274" t="s">
        <v>103</v>
      </c>
      <c r="B519" s="867" t="s">
        <v>398</v>
      </c>
      <c r="C519" s="269" t="s">
        <v>125</v>
      </c>
      <c r="D519" s="269"/>
      <c r="E519" s="270"/>
      <c r="F519" s="271"/>
      <c r="G519" s="330">
        <f t="shared" ref="G519:G522" si="668">+H519+I519</f>
        <v>0</v>
      </c>
      <c r="H519" s="272">
        <v>0</v>
      </c>
      <c r="I519" s="272">
        <v>0</v>
      </c>
      <c r="J519" s="349" t="str">
        <f>IFERROR(G519/F519,"-")</f>
        <v>-</v>
      </c>
      <c r="K519" s="330">
        <f t="shared" ref="K519:K522" si="669">+L519+M519</f>
        <v>0</v>
      </c>
      <c r="L519" s="272">
        <f t="shared" ref="L519:L522" si="670">+H519+L401</f>
        <v>0</v>
      </c>
      <c r="M519" s="273">
        <f t="shared" ref="M519:M522" si="671">+I519+M401</f>
        <v>0</v>
      </c>
      <c r="N519" s="334" t="str">
        <f t="shared" ref="N519:N534" si="672">IFERROR(K519/E519,"-")</f>
        <v>-</v>
      </c>
      <c r="O519" s="344" t="str">
        <f t="shared" si="657"/>
        <v>-</v>
      </c>
    </row>
    <row r="520" spans="1:15" ht="24" x14ac:dyDescent="0.25">
      <c r="A520" s="274" t="s">
        <v>103</v>
      </c>
      <c r="B520" s="868"/>
      <c r="C520" s="294" t="s">
        <v>262</v>
      </c>
      <c r="D520" s="294" t="s">
        <v>181</v>
      </c>
      <c r="E520" s="276"/>
      <c r="F520" s="277"/>
      <c r="G520" s="331">
        <f t="shared" si="668"/>
        <v>0</v>
      </c>
      <c r="H520" s="278">
        <v>0</v>
      </c>
      <c r="I520" s="278">
        <v>0</v>
      </c>
      <c r="J520" s="349" t="str">
        <f t="shared" ref="J520:J522" si="673">IFERROR(G520/F520,"-")</f>
        <v>-</v>
      </c>
      <c r="K520" s="331">
        <f t="shared" si="669"/>
        <v>0</v>
      </c>
      <c r="L520" s="272">
        <f t="shared" si="670"/>
        <v>0</v>
      </c>
      <c r="M520" s="273">
        <f t="shared" si="671"/>
        <v>0</v>
      </c>
      <c r="N520" s="335" t="str">
        <f t="shared" si="672"/>
        <v>-</v>
      </c>
      <c r="O520" s="263" t="str">
        <f t="shared" si="657"/>
        <v>-</v>
      </c>
    </row>
    <row r="521" spans="1:15" ht="24" x14ac:dyDescent="0.25">
      <c r="A521" s="274" t="s">
        <v>103</v>
      </c>
      <c r="B521" s="868"/>
      <c r="C521" s="294" t="s">
        <v>360</v>
      </c>
      <c r="D521" s="294" t="s">
        <v>181</v>
      </c>
      <c r="E521" s="276"/>
      <c r="F521" s="277"/>
      <c r="G521" s="331">
        <f t="shared" si="668"/>
        <v>0</v>
      </c>
      <c r="H521" s="278">
        <v>0</v>
      </c>
      <c r="I521" s="278">
        <v>0</v>
      </c>
      <c r="J521" s="349" t="str">
        <f t="shared" si="673"/>
        <v>-</v>
      </c>
      <c r="K521" s="331">
        <f t="shared" si="669"/>
        <v>0</v>
      </c>
      <c r="L521" s="272">
        <f t="shared" si="670"/>
        <v>0</v>
      </c>
      <c r="M521" s="273">
        <f t="shared" si="671"/>
        <v>0</v>
      </c>
      <c r="N521" s="335" t="str">
        <f t="shared" si="672"/>
        <v>-</v>
      </c>
      <c r="O521" s="263" t="str">
        <f t="shared" si="657"/>
        <v>-</v>
      </c>
    </row>
    <row r="522" spans="1:15" ht="24.75" thickBot="1" x14ac:dyDescent="0.3">
      <c r="A522" s="274" t="s">
        <v>103</v>
      </c>
      <c r="B522" s="869"/>
      <c r="C522" s="279" t="s">
        <v>182</v>
      </c>
      <c r="D522" s="279" t="s">
        <v>93</v>
      </c>
      <c r="E522" s="280"/>
      <c r="F522" s="281"/>
      <c r="G522" s="332">
        <f t="shared" si="668"/>
        <v>4806</v>
      </c>
      <c r="H522" s="278">
        <v>3960</v>
      </c>
      <c r="I522" s="278">
        <v>846</v>
      </c>
      <c r="J522" s="349" t="str">
        <f t="shared" si="673"/>
        <v>-</v>
      </c>
      <c r="K522" s="332">
        <f t="shared" si="669"/>
        <v>17416</v>
      </c>
      <c r="L522" s="272">
        <f t="shared" si="670"/>
        <v>15840</v>
      </c>
      <c r="M522" s="273">
        <f t="shared" si="671"/>
        <v>1576</v>
      </c>
      <c r="N522" s="336" t="str">
        <f t="shared" si="672"/>
        <v>-</v>
      </c>
      <c r="O522" s="345">
        <f t="shared" si="657"/>
        <v>9.0491502067064772E-2</v>
      </c>
    </row>
    <row r="523" spans="1:15" ht="23.25" thickBot="1" x14ac:dyDescent="0.3">
      <c r="A523" s="274" t="s">
        <v>103</v>
      </c>
      <c r="B523" s="845" t="s">
        <v>48</v>
      </c>
      <c r="C523" s="846"/>
      <c r="D523" s="847"/>
      <c r="E523" s="283">
        <f>SUM(E519:E522)</f>
        <v>0</v>
      </c>
      <c r="F523" s="284">
        <v>80000</v>
      </c>
      <c r="G523" s="319">
        <f>SUM(G519:G522)</f>
        <v>4806</v>
      </c>
      <c r="H523" s="320">
        <f t="shared" ref="H523:I523" si="674">SUM(H519:H522)</f>
        <v>3960</v>
      </c>
      <c r="I523" s="320">
        <f t="shared" si="674"/>
        <v>846</v>
      </c>
      <c r="J523" s="343">
        <f>+G523/F523</f>
        <v>6.0075000000000003E-2</v>
      </c>
      <c r="K523" s="319">
        <f t="shared" ref="K523" si="675">SUM(K519:K522)</f>
        <v>17416</v>
      </c>
      <c r="L523" s="320">
        <f>SUM(L519:L522)</f>
        <v>15840</v>
      </c>
      <c r="M523" s="321">
        <f t="shared" ref="M523" si="676">SUM(M519:M522)</f>
        <v>1576</v>
      </c>
      <c r="N523" s="337" t="str">
        <f t="shared" si="672"/>
        <v>-</v>
      </c>
      <c r="O523" s="343">
        <f t="shared" si="657"/>
        <v>9.0491502067064772E-2</v>
      </c>
    </row>
    <row r="524" spans="1:15" ht="24" x14ac:dyDescent="0.25">
      <c r="A524" s="274" t="s">
        <v>103</v>
      </c>
      <c r="B524" s="867" t="s">
        <v>23</v>
      </c>
      <c r="C524" s="275" t="s">
        <v>473</v>
      </c>
      <c r="D524" s="295" t="s">
        <v>237</v>
      </c>
      <c r="E524" s="270">
        <v>10000</v>
      </c>
      <c r="F524" s="271"/>
      <c r="G524" s="330">
        <f t="shared" ref="G524:G532" si="677">+H524+I524</f>
        <v>0</v>
      </c>
      <c r="H524" s="272">
        <v>0</v>
      </c>
      <c r="I524" s="272">
        <v>0</v>
      </c>
      <c r="J524" s="349" t="str">
        <f>IFERROR(G524/F524,"-")</f>
        <v>-</v>
      </c>
      <c r="K524" s="330">
        <f t="shared" ref="K524:K532" si="678">+L524+M524</f>
        <v>0</v>
      </c>
      <c r="L524" s="272">
        <f t="shared" ref="L524:L532" si="679">+H524+L406</f>
        <v>0</v>
      </c>
      <c r="M524" s="273">
        <f t="shared" ref="M524:M532" si="680">+I524+M406</f>
        <v>0</v>
      </c>
      <c r="N524" s="334">
        <f t="shared" si="672"/>
        <v>0</v>
      </c>
      <c r="O524" s="344" t="str">
        <f t="shared" si="657"/>
        <v>-</v>
      </c>
    </row>
    <row r="525" spans="1:15" ht="24" x14ac:dyDescent="0.25">
      <c r="A525" s="274" t="s">
        <v>103</v>
      </c>
      <c r="B525" s="868"/>
      <c r="C525" s="275" t="s">
        <v>24</v>
      </c>
      <c r="D525" s="275" t="s">
        <v>237</v>
      </c>
      <c r="E525" s="276">
        <v>112000</v>
      </c>
      <c r="F525" s="277"/>
      <c r="G525" s="331">
        <f t="shared" si="677"/>
        <v>13298</v>
      </c>
      <c r="H525" s="278">
        <v>13253</v>
      </c>
      <c r="I525" s="278">
        <v>45</v>
      </c>
      <c r="J525" s="349" t="str">
        <f t="shared" ref="J525:J532" si="681">IFERROR(G525/F525,"-")</f>
        <v>-</v>
      </c>
      <c r="K525" s="331">
        <f t="shared" si="678"/>
        <v>39630</v>
      </c>
      <c r="L525" s="272">
        <f t="shared" si="679"/>
        <v>39503</v>
      </c>
      <c r="M525" s="273">
        <f t="shared" si="680"/>
        <v>127</v>
      </c>
      <c r="N525" s="335">
        <f t="shared" si="672"/>
        <v>0.35383928571428569</v>
      </c>
      <c r="O525" s="263">
        <f t="shared" si="657"/>
        <v>3.2046429472621751E-3</v>
      </c>
    </row>
    <row r="526" spans="1:15" ht="24" x14ac:dyDescent="0.25">
      <c r="A526" s="274" t="s">
        <v>103</v>
      </c>
      <c r="B526" s="868"/>
      <c r="C526" s="275" t="s">
        <v>235</v>
      </c>
      <c r="D526" s="275" t="s">
        <v>237</v>
      </c>
      <c r="E526" s="276">
        <v>40000</v>
      </c>
      <c r="F526" s="277"/>
      <c r="G526" s="331">
        <f t="shared" si="677"/>
        <v>0</v>
      </c>
      <c r="H526" s="278">
        <v>0</v>
      </c>
      <c r="I526" s="278">
        <v>0</v>
      </c>
      <c r="J526" s="349" t="str">
        <f t="shared" si="681"/>
        <v>-</v>
      </c>
      <c r="K526" s="331">
        <f t="shared" si="678"/>
        <v>0</v>
      </c>
      <c r="L526" s="272">
        <f t="shared" si="679"/>
        <v>0</v>
      </c>
      <c r="M526" s="273">
        <f t="shared" si="680"/>
        <v>0</v>
      </c>
      <c r="N526" s="335">
        <f t="shared" si="672"/>
        <v>0</v>
      </c>
      <c r="O526" s="263" t="str">
        <f t="shared" si="657"/>
        <v>-</v>
      </c>
    </row>
    <row r="527" spans="1:15" ht="24" x14ac:dyDescent="0.25">
      <c r="A527" s="274" t="s">
        <v>103</v>
      </c>
      <c r="B527" s="868"/>
      <c r="C527" s="275" t="s">
        <v>238</v>
      </c>
      <c r="D527" s="275" t="s">
        <v>237</v>
      </c>
      <c r="E527" s="276">
        <v>4000</v>
      </c>
      <c r="F527" s="277"/>
      <c r="G527" s="331">
        <f t="shared" si="677"/>
        <v>0</v>
      </c>
      <c r="H527" s="278">
        <v>0</v>
      </c>
      <c r="I527" s="278">
        <v>0</v>
      </c>
      <c r="J527" s="349" t="str">
        <f t="shared" si="681"/>
        <v>-</v>
      </c>
      <c r="K527" s="331">
        <f t="shared" si="678"/>
        <v>0</v>
      </c>
      <c r="L527" s="272">
        <f t="shared" si="679"/>
        <v>0</v>
      </c>
      <c r="M527" s="273">
        <f t="shared" si="680"/>
        <v>0</v>
      </c>
      <c r="N527" s="335">
        <f t="shared" si="672"/>
        <v>0</v>
      </c>
      <c r="O527" s="263" t="str">
        <f t="shared" si="657"/>
        <v>-</v>
      </c>
    </row>
    <row r="528" spans="1:15" ht="24" x14ac:dyDescent="0.25">
      <c r="A528" s="274" t="s">
        <v>103</v>
      </c>
      <c r="B528" s="868"/>
      <c r="C528" s="294" t="s">
        <v>392</v>
      </c>
      <c r="D528" s="275" t="s">
        <v>237</v>
      </c>
      <c r="E528" s="276">
        <v>8500</v>
      </c>
      <c r="F528" s="277"/>
      <c r="G528" s="331">
        <f t="shared" si="677"/>
        <v>0</v>
      </c>
      <c r="H528" s="278">
        <v>0</v>
      </c>
      <c r="I528" s="278">
        <v>0</v>
      </c>
      <c r="J528" s="349" t="str">
        <f t="shared" si="681"/>
        <v>-</v>
      </c>
      <c r="K528" s="331">
        <f t="shared" si="678"/>
        <v>0</v>
      </c>
      <c r="L528" s="272">
        <f t="shared" si="679"/>
        <v>0</v>
      </c>
      <c r="M528" s="273">
        <f t="shared" si="680"/>
        <v>0</v>
      </c>
      <c r="N528" s="335">
        <f t="shared" si="672"/>
        <v>0</v>
      </c>
      <c r="O528" s="263" t="str">
        <f t="shared" si="657"/>
        <v>-</v>
      </c>
    </row>
    <row r="529" spans="1:15" ht="24" x14ac:dyDescent="0.25">
      <c r="A529" s="274" t="s">
        <v>103</v>
      </c>
      <c r="B529" s="868"/>
      <c r="C529" s="294" t="s">
        <v>420</v>
      </c>
      <c r="D529" s="275" t="s">
        <v>237</v>
      </c>
      <c r="E529" s="276">
        <v>10000</v>
      </c>
      <c r="F529" s="277"/>
      <c r="G529" s="331">
        <f t="shared" si="677"/>
        <v>0</v>
      </c>
      <c r="H529" s="278">
        <v>0</v>
      </c>
      <c r="I529" s="278">
        <v>0</v>
      </c>
      <c r="J529" s="349" t="str">
        <f t="shared" si="681"/>
        <v>-</v>
      </c>
      <c r="K529" s="331">
        <f t="shared" si="678"/>
        <v>0</v>
      </c>
      <c r="L529" s="272">
        <f t="shared" si="679"/>
        <v>0</v>
      </c>
      <c r="M529" s="273">
        <f t="shared" si="680"/>
        <v>0</v>
      </c>
      <c r="N529" s="335">
        <f t="shared" si="672"/>
        <v>0</v>
      </c>
      <c r="O529" s="263" t="str">
        <f t="shared" si="657"/>
        <v>-</v>
      </c>
    </row>
    <row r="530" spans="1:15" ht="24" x14ac:dyDescent="0.25">
      <c r="A530" s="274" t="s">
        <v>103</v>
      </c>
      <c r="B530" s="868"/>
      <c r="C530" s="294" t="s">
        <v>240</v>
      </c>
      <c r="D530" s="275" t="s">
        <v>242</v>
      </c>
      <c r="E530" s="276"/>
      <c r="F530" s="277"/>
      <c r="G530" s="331">
        <f t="shared" si="677"/>
        <v>0</v>
      </c>
      <c r="H530" s="278">
        <v>0</v>
      </c>
      <c r="I530" s="278">
        <v>0</v>
      </c>
      <c r="J530" s="349" t="str">
        <f t="shared" si="681"/>
        <v>-</v>
      </c>
      <c r="K530" s="331">
        <f t="shared" si="678"/>
        <v>0</v>
      </c>
      <c r="L530" s="272">
        <f t="shared" si="679"/>
        <v>0</v>
      </c>
      <c r="M530" s="273">
        <f t="shared" si="680"/>
        <v>0</v>
      </c>
      <c r="N530" s="335" t="str">
        <f t="shared" si="672"/>
        <v>-</v>
      </c>
      <c r="O530" s="263" t="str">
        <f t="shared" si="657"/>
        <v>-</v>
      </c>
    </row>
    <row r="531" spans="1:15" ht="24" x14ac:dyDescent="0.25">
      <c r="A531" s="274"/>
      <c r="B531" s="869"/>
      <c r="C531" s="294" t="s">
        <v>481</v>
      </c>
      <c r="D531" s="275" t="s">
        <v>237</v>
      </c>
      <c r="E531" s="280">
        <v>6000</v>
      </c>
      <c r="F531" s="281"/>
      <c r="G531" s="331">
        <f t="shared" si="677"/>
        <v>0</v>
      </c>
      <c r="H531" s="278">
        <v>0</v>
      </c>
      <c r="I531" s="278">
        <v>0</v>
      </c>
      <c r="J531" s="349" t="str">
        <f t="shared" si="681"/>
        <v>-</v>
      </c>
      <c r="K531" s="331">
        <f t="shared" si="678"/>
        <v>0</v>
      </c>
      <c r="L531" s="272">
        <f t="shared" si="679"/>
        <v>0</v>
      </c>
      <c r="M531" s="273">
        <f t="shared" si="680"/>
        <v>0</v>
      </c>
      <c r="N531" s="335">
        <f t="shared" si="672"/>
        <v>0</v>
      </c>
      <c r="O531" s="263" t="str">
        <f t="shared" si="657"/>
        <v>-</v>
      </c>
    </row>
    <row r="532" spans="1:15" ht="24.75" thickBot="1" x14ac:dyDescent="0.3">
      <c r="A532" s="274" t="s">
        <v>103</v>
      </c>
      <c r="B532" s="869"/>
      <c r="C532" s="294" t="s">
        <v>241</v>
      </c>
      <c r="D532" s="275" t="s">
        <v>237</v>
      </c>
      <c r="E532" s="280">
        <v>5000</v>
      </c>
      <c r="F532" s="281"/>
      <c r="G532" s="332">
        <f t="shared" si="677"/>
        <v>0</v>
      </c>
      <c r="H532" s="278">
        <v>0</v>
      </c>
      <c r="I532" s="278">
        <v>0</v>
      </c>
      <c r="J532" s="349" t="str">
        <f t="shared" si="681"/>
        <v>-</v>
      </c>
      <c r="K532" s="332">
        <f t="shared" si="678"/>
        <v>0</v>
      </c>
      <c r="L532" s="272">
        <f t="shared" si="679"/>
        <v>0</v>
      </c>
      <c r="M532" s="273">
        <f t="shared" si="680"/>
        <v>0</v>
      </c>
      <c r="N532" s="336">
        <f t="shared" si="672"/>
        <v>0</v>
      </c>
      <c r="O532" s="345" t="str">
        <f t="shared" si="657"/>
        <v>-</v>
      </c>
    </row>
    <row r="533" spans="1:15" ht="23.25" thickBot="1" x14ac:dyDescent="0.3">
      <c r="A533" s="274" t="s">
        <v>103</v>
      </c>
      <c r="B533" s="845" t="s">
        <v>49</v>
      </c>
      <c r="C533" s="846"/>
      <c r="D533" s="847"/>
      <c r="E533" s="283">
        <f>SUM(E524:E532)</f>
        <v>195500</v>
      </c>
      <c r="F533" s="284">
        <v>14000</v>
      </c>
      <c r="G533" s="319">
        <f>SUM(G524:G532)</f>
        <v>13298</v>
      </c>
      <c r="H533" s="320">
        <f t="shared" ref="H533:I533" si="682">SUM(H524:H532)</f>
        <v>13253</v>
      </c>
      <c r="I533" s="320">
        <f t="shared" si="682"/>
        <v>45</v>
      </c>
      <c r="J533" s="343">
        <f>+G534/F534</f>
        <v>0.19259574468085106</v>
      </c>
      <c r="K533" s="319">
        <f>SUM(K524:K532)</f>
        <v>39630</v>
      </c>
      <c r="L533" s="320">
        <f>SUM(L524:L532)</f>
        <v>39503</v>
      </c>
      <c r="M533" s="320">
        <f>SUM(M524:M532)</f>
        <v>127</v>
      </c>
      <c r="N533" s="337">
        <f t="shared" si="672"/>
        <v>0.20271099744245524</v>
      </c>
      <c r="O533" s="343">
        <f t="shared" si="657"/>
        <v>3.2046429472621751E-3</v>
      </c>
    </row>
    <row r="534" spans="1:15" ht="23.25" thickBot="1" x14ac:dyDescent="0.3">
      <c r="A534" s="274" t="s">
        <v>103</v>
      </c>
      <c r="B534" s="853" t="s">
        <v>25</v>
      </c>
      <c r="C534" s="854"/>
      <c r="D534" s="855"/>
      <c r="E534" s="324">
        <f t="shared" ref="E534:F534" si="683">+E523+E533</f>
        <v>195500</v>
      </c>
      <c r="F534" s="325">
        <f t="shared" si="683"/>
        <v>94000</v>
      </c>
      <c r="G534" s="324">
        <f>+G523+G533</f>
        <v>18104</v>
      </c>
      <c r="H534" s="322">
        <f t="shared" ref="H534:I534" si="684">+H523+H533</f>
        <v>17213</v>
      </c>
      <c r="I534" s="322">
        <f t="shared" si="684"/>
        <v>891</v>
      </c>
      <c r="J534" s="347" t="str">
        <f>IFERROR(G534/#REF!,"-")</f>
        <v>-</v>
      </c>
      <c r="K534" s="324">
        <f t="shared" ref="K534" si="685">+K523+K533</f>
        <v>57046</v>
      </c>
      <c r="L534" s="322">
        <f>+L523+L533</f>
        <v>55343</v>
      </c>
      <c r="M534" s="323">
        <f t="shared" ref="M534" si="686">+M523+M533</f>
        <v>1703</v>
      </c>
      <c r="N534" s="339">
        <f t="shared" si="672"/>
        <v>0.29179539641943736</v>
      </c>
      <c r="O534" s="347">
        <f t="shared" si="657"/>
        <v>2.9853101006205519E-2</v>
      </c>
    </row>
    <row r="535" spans="1:15" ht="23.25" thickBot="1" x14ac:dyDescent="0.3">
      <c r="A535" s="274" t="s">
        <v>103</v>
      </c>
      <c r="B535" s="839" t="s">
        <v>172</v>
      </c>
      <c r="C535" s="840"/>
      <c r="D535" s="865"/>
      <c r="E535" s="328">
        <f>+E518+E534</f>
        <v>3345500</v>
      </c>
      <c r="F535" s="329">
        <f t="shared" ref="F535:I535" si="687">+F518+F534</f>
        <v>449000</v>
      </c>
      <c r="G535" s="328">
        <f t="shared" si="687"/>
        <v>49093</v>
      </c>
      <c r="H535" s="326">
        <f t="shared" si="687"/>
        <v>47869</v>
      </c>
      <c r="I535" s="326">
        <f t="shared" si="687"/>
        <v>1224</v>
      </c>
      <c r="J535" s="348">
        <f>+G535/F535</f>
        <v>0.10933853006681514</v>
      </c>
      <c r="K535" s="328">
        <f>+K518+K534</f>
        <v>309091</v>
      </c>
      <c r="L535" s="326">
        <f t="shared" ref="L535:M535" si="688">+L518+L534</f>
        <v>304391</v>
      </c>
      <c r="M535" s="327">
        <f t="shared" si="688"/>
        <v>4700</v>
      </c>
      <c r="N535" s="340">
        <f>IFERROR(K535/E535,"-")</f>
        <v>9.2390076221790463E-2</v>
      </c>
      <c r="O535" s="348">
        <f t="shared" si="657"/>
        <v>1.5205877880624153E-2</v>
      </c>
    </row>
    <row r="536" spans="1:15" ht="24" x14ac:dyDescent="0.25">
      <c r="A536" s="268" t="s">
        <v>101</v>
      </c>
      <c r="B536" s="849" t="s">
        <v>26</v>
      </c>
      <c r="C536" s="736" t="s">
        <v>296</v>
      </c>
      <c r="D536" s="741" t="s">
        <v>177</v>
      </c>
      <c r="E536" s="738">
        <v>2047672</v>
      </c>
      <c r="F536" s="271"/>
      <c r="G536" s="330">
        <f t="shared" ref="G536:G545" si="689">+H536+I536</f>
        <v>0</v>
      </c>
      <c r="H536" s="272">
        <v>0</v>
      </c>
      <c r="I536" s="272">
        <v>0</v>
      </c>
      <c r="J536" s="349" t="str">
        <f>IFERROR(G536/F536,"-")</f>
        <v>-</v>
      </c>
      <c r="K536" s="330">
        <f t="shared" ref="K536:K545" si="690">+L536+M536</f>
        <v>0</v>
      </c>
      <c r="L536" s="272">
        <f t="shared" ref="L536:L545" si="691">+H536+L418</f>
        <v>0</v>
      </c>
      <c r="M536" s="273">
        <f t="shared" ref="M536:M545" si="692">+I536+M418</f>
        <v>0</v>
      </c>
      <c r="N536" s="334">
        <f t="shared" ref="N536:N554" si="693">IFERROR(K536/E536,"-")</f>
        <v>0</v>
      </c>
      <c r="O536" s="344" t="str">
        <f t="shared" si="657"/>
        <v>-</v>
      </c>
    </row>
    <row r="537" spans="1:15" ht="24" x14ac:dyDescent="0.25">
      <c r="A537" s="274" t="s">
        <v>101</v>
      </c>
      <c r="B537" s="849"/>
      <c r="C537" s="253" t="s">
        <v>422</v>
      </c>
      <c r="D537" s="742" t="s">
        <v>421</v>
      </c>
      <c r="E537" s="507"/>
      <c r="F537" s="277"/>
      <c r="G537" s="331">
        <f t="shared" si="689"/>
        <v>0</v>
      </c>
      <c r="H537" s="278">
        <v>0</v>
      </c>
      <c r="I537" s="278">
        <v>0</v>
      </c>
      <c r="J537" s="349" t="str">
        <f t="shared" ref="J537:J545" si="694">IFERROR(G537/F537,"-")</f>
        <v>-</v>
      </c>
      <c r="K537" s="331">
        <f t="shared" si="690"/>
        <v>0</v>
      </c>
      <c r="L537" s="272">
        <f t="shared" si="691"/>
        <v>0</v>
      </c>
      <c r="M537" s="273">
        <f t="shared" si="692"/>
        <v>0</v>
      </c>
      <c r="N537" s="335" t="str">
        <f t="shared" si="693"/>
        <v>-</v>
      </c>
      <c r="O537" s="263" t="str">
        <f t="shared" si="657"/>
        <v>-</v>
      </c>
    </row>
    <row r="538" spans="1:15" ht="24" x14ac:dyDescent="0.25">
      <c r="A538" s="274" t="s">
        <v>101</v>
      </c>
      <c r="B538" s="849"/>
      <c r="C538" s="721" t="s">
        <v>27</v>
      </c>
      <c r="D538" s="742" t="s">
        <v>332</v>
      </c>
      <c r="E538" s="739"/>
      <c r="F538" s="281"/>
      <c r="G538" s="331">
        <f t="shared" si="689"/>
        <v>0</v>
      </c>
      <c r="H538" s="278">
        <v>0</v>
      </c>
      <c r="I538" s="278">
        <v>0</v>
      </c>
      <c r="J538" s="349" t="str">
        <f t="shared" si="694"/>
        <v>-</v>
      </c>
      <c r="K538" s="331">
        <f t="shared" si="690"/>
        <v>0</v>
      </c>
      <c r="L538" s="272">
        <f t="shared" si="691"/>
        <v>0</v>
      </c>
      <c r="M538" s="273">
        <f t="shared" si="692"/>
        <v>0</v>
      </c>
      <c r="N538" s="335" t="str">
        <f t="shared" si="693"/>
        <v>-</v>
      </c>
      <c r="O538" s="263" t="str">
        <f t="shared" si="657"/>
        <v>-</v>
      </c>
    </row>
    <row r="539" spans="1:15" ht="24" x14ac:dyDescent="0.25">
      <c r="A539" s="274" t="s">
        <v>101</v>
      </c>
      <c r="B539" s="849"/>
      <c r="C539" s="721" t="s">
        <v>27</v>
      </c>
      <c r="D539" s="743" t="s">
        <v>468</v>
      </c>
      <c r="E539" s="739"/>
      <c r="F539" s="281"/>
      <c r="G539" s="331">
        <f t="shared" si="689"/>
        <v>0</v>
      </c>
      <c r="H539" s="278">
        <v>0</v>
      </c>
      <c r="I539" s="278">
        <v>0</v>
      </c>
      <c r="J539" s="349" t="str">
        <f t="shared" si="694"/>
        <v>-</v>
      </c>
      <c r="K539" s="331">
        <f t="shared" si="690"/>
        <v>0</v>
      </c>
      <c r="L539" s="272">
        <f t="shared" si="691"/>
        <v>0</v>
      </c>
      <c r="M539" s="273">
        <f t="shared" si="692"/>
        <v>0</v>
      </c>
      <c r="N539" s="335" t="str">
        <f t="shared" si="693"/>
        <v>-</v>
      </c>
      <c r="O539" s="263" t="str">
        <f t="shared" si="657"/>
        <v>-</v>
      </c>
    </row>
    <row r="540" spans="1:15" ht="24" x14ac:dyDescent="0.25">
      <c r="A540" s="274" t="s">
        <v>101</v>
      </c>
      <c r="B540" s="849"/>
      <c r="C540" s="736" t="s">
        <v>475</v>
      </c>
      <c r="D540" s="742" t="s">
        <v>233</v>
      </c>
      <c r="E540" s="739"/>
      <c r="F540" s="281"/>
      <c r="G540" s="331">
        <f t="shared" si="689"/>
        <v>0</v>
      </c>
      <c r="H540" s="278">
        <v>0</v>
      </c>
      <c r="I540" s="278">
        <v>0</v>
      </c>
      <c r="J540" s="349" t="str">
        <f t="shared" si="694"/>
        <v>-</v>
      </c>
      <c r="K540" s="331">
        <f t="shared" si="690"/>
        <v>0</v>
      </c>
      <c r="L540" s="272">
        <f t="shared" si="691"/>
        <v>0</v>
      </c>
      <c r="M540" s="273">
        <f t="shared" si="692"/>
        <v>0</v>
      </c>
      <c r="N540" s="335" t="str">
        <f t="shared" si="693"/>
        <v>-</v>
      </c>
      <c r="O540" s="263" t="str">
        <f t="shared" si="657"/>
        <v>-</v>
      </c>
    </row>
    <row r="541" spans="1:15" ht="24" x14ac:dyDescent="0.25">
      <c r="A541" s="274"/>
      <c r="B541" s="849"/>
      <c r="C541" s="721" t="s">
        <v>485</v>
      </c>
      <c r="D541" s="742" t="s">
        <v>502</v>
      </c>
      <c r="E541" s="739"/>
      <c r="F541" s="281"/>
      <c r="G541" s="332">
        <f t="shared" si="689"/>
        <v>0</v>
      </c>
      <c r="H541" s="278"/>
      <c r="I541" s="278"/>
      <c r="J541" s="349" t="str">
        <f t="shared" si="694"/>
        <v>-</v>
      </c>
      <c r="K541" s="332">
        <f t="shared" si="690"/>
        <v>37292</v>
      </c>
      <c r="L541" s="272">
        <f t="shared" si="691"/>
        <v>35802</v>
      </c>
      <c r="M541" s="273">
        <f t="shared" si="692"/>
        <v>1490</v>
      </c>
      <c r="N541" s="335" t="str">
        <f t="shared" si="693"/>
        <v>-</v>
      </c>
      <c r="O541" s="263">
        <f t="shared" si="657"/>
        <v>3.9954950123350853E-2</v>
      </c>
    </row>
    <row r="542" spans="1:15" ht="24" x14ac:dyDescent="0.25">
      <c r="A542" s="274"/>
      <c r="B542" s="849"/>
      <c r="C542" s="721" t="s">
        <v>331</v>
      </c>
      <c r="D542" s="742" t="s">
        <v>502</v>
      </c>
      <c r="E542" s="739"/>
      <c r="F542" s="281"/>
      <c r="G542" s="332">
        <f t="shared" si="689"/>
        <v>40425</v>
      </c>
      <c r="H542" s="278">
        <v>39780</v>
      </c>
      <c r="I542" s="278">
        <v>645</v>
      </c>
      <c r="J542" s="349" t="str">
        <f t="shared" si="694"/>
        <v>-</v>
      </c>
      <c r="K542" s="332">
        <f t="shared" si="690"/>
        <v>181625</v>
      </c>
      <c r="L542" s="272">
        <f t="shared" si="691"/>
        <v>179010</v>
      </c>
      <c r="M542" s="273">
        <f t="shared" si="692"/>
        <v>2615</v>
      </c>
      <c r="N542" s="335" t="str">
        <f t="shared" si="693"/>
        <v>-</v>
      </c>
      <c r="O542" s="263">
        <f t="shared" si="657"/>
        <v>1.4397797660013765E-2</v>
      </c>
    </row>
    <row r="543" spans="1:15" ht="24" x14ac:dyDescent="0.25">
      <c r="A543" s="274"/>
      <c r="B543" s="849"/>
      <c r="C543" s="721" t="s">
        <v>429</v>
      </c>
      <c r="D543" s="742" t="s">
        <v>480</v>
      </c>
      <c r="E543" s="739"/>
      <c r="F543" s="281"/>
      <c r="G543" s="332">
        <f t="shared" si="689"/>
        <v>0</v>
      </c>
      <c r="H543" s="278">
        <v>0</v>
      </c>
      <c r="I543" s="278">
        <v>0</v>
      </c>
      <c r="J543" s="349" t="str">
        <f t="shared" si="694"/>
        <v>-</v>
      </c>
      <c r="K543" s="332">
        <f t="shared" si="690"/>
        <v>0</v>
      </c>
      <c r="L543" s="272">
        <f t="shared" si="691"/>
        <v>0</v>
      </c>
      <c r="M543" s="272">
        <f t="shared" si="692"/>
        <v>0</v>
      </c>
      <c r="N543" s="335" t="str">
        <f t="shared" si="693"/>
        <v>-</v>
      </c>
      <c r="O543" s="263" t="str">
        <f t="shared" si="657"/>
        <v>-</v>
      </c>
    </row>
    <row r="544" spans="1:15" ht="24" x14ac:dyDescent="0.25">
      <c r="A544" s="274"/>
      <c r="B544" s="849"/>
      <c r="C544" s="721" t="s">
        <v>380</v>
      </c>
      <c r="D544" s="742" t="s">
        <v>364</v>
      </c>
      <c r="E544" s="739"/>
      <c r="F544" s="281"/>
      <c r="G544" s="332">
        <f t="shared" si="689"/>
        <v>0</v>
      </c>
      <c r="H544" s="278">
        <v>0</v>
      </c>
      <c r="I544" s="278">
        <v>0</v>
      </c>
      <c r="J544" s="349" t="str">
        <f t="shared" si="694"/>
        <v>-</v>
      </c>
      <c r="K544" s="332">
        <f t="shared" si="690"/>
        <v>0</v>
      </c>
      <c r="L544" s="272">
        <f t="shared" si="691"/>
        <v>0</v>
      </c>
      <c r="M544" s="273">
        <f t="shared" si="692"/>
        <v>0</v>
      </c>
      <c r="N544" s="335" t="str">
        <f t="shared" si="693"/>
        <v>-</v>
      </c>
      <c r="O544" s="263" t="str">
        <f t="shared" si="657"/>
        <v>-</v>
      </c>
    </row>
    <row r="545" spans="1:15" ht="24.75" thickBot="1" x14ac:dyDescent="0.3">
      <c r="A545" s="274" t="s">
        <v>101</v>
      </c>
      <c r="B545" s="849"/>
      <c r="C545" s="737" t="s">
        <v>504</v>
      </c>
      <c r="D545" s="744" t="s">
        <v>288</v>
      </c>
      <c r="E545" s="739"/>
      <c r="F545" s="281"/>
      <c r="G545" s="332">
        <f t="shared" si="689"/>
        <v>3978</v>
      </c>
      <c r="H545" s="278">
        <v>3978</v>
      </c>
      <c r="I545" s="278"/>
      <c r="J545" s="349" t="str">
        <f t="shared" si="694"/>
        <v>-</v>
      </c>
      <c r="K545" s="332">
        <f t="shared" si="690"/>
        <v>113149</v>
      </c>
      <c r="L545" s="272">
        <f t="shared" si="691"/>
        <v>111384</v>
      </c>
      <c r="M545" s="273">
        <f t="shared" si="692"/>
        <v>1765</v>
      </c>
      <c r="N545" s="335" t="str">
        <f t="shared" si="693"/>
        <v>-</v>
      </c>
      <c r="O545" s="345">
        <f t="shared" si="657"/>
        <v>1.5598900564742066E-2</v>
      </c>
    </row>
    <row r="546" spans="1:15" ht="23.25" thickBot="1" x14ac:dyDescent="0.3">
      <c r="A546" s="274" t="s">
        <v>101</v>
      </c>
      <c r="B546" s="866"/>
      <c r="C546" s="300"/>
      <c r="D546" s="740" t="s">
        <v>52</v>
      </c>
      <c r="E546" s="283">
        <f>SUM(E536:E545)</f>
        <v>2047672</v>
      </c>
      <c r="F546" s="284">
        <v>160000</v>
      </c>
      <c r="G546" s="319">
        <f>SUM(G536:G545)</f>
        <v>44403</v>
      </c>
      <c r="H546" s="320">
        <f>SUM(H536:H545)</f>
        <v>43758</v>
      </c>
      <c r="I546" s="320">
        <f>SUM(I536:I545)</f>
        <v>645</v>
      </c>
      <c r="J546" s="343">
        <f>+G546/F546</f>
        <v>0.27751874999999998</v>
      </c>
      <c r="K546" s="319">
        <f>SUM(K536:K545)</f>
        <v>332066</v>
      </c>
      <c r="L546" s="320">
        <f>SUM(L536:L545)</f>
        <v>326196</v>
      </c>
      <c r="M546" s="321">
        <f>SUM(M536:M545)</f>
        <v>5870</v>
      </c>
      <c r="N546" s="337">
        <f t="shared" si="693"/>
        <v>0.16216757371297746</v>
      </c>
      <c r="O546" s="343">
        <f t="shared" si="657"/>
        <v>1.7677208747658598E-2</v>
      </c>
    </row>
    <row r="547" spans="1:15" ht="24" x14ac:dyDescent="0.25">
      <c r="A547" s="274" t="s">
        <v>101</v>
      </c>
      <c r="B547" s="848" t="s">
        <v>28</v>
      </c>
      <c r="C547" s="298" t="s">
        <v>27</v>
      </c>
      <c r="D547" s="296" t="s">
        <v>468</v>
      </c>
      <c r="E547" s="270"/>
      <c r="F547" s="271"/>
      <c r="G547" s="330">
        <f t="shared" ref="G547:G551" si="695">+H547+I547</f>
        <v>0</v>
      </c>
      <c r="H547" s="272">
        <v>0</v>
      </c>
      <c r="I547" s="272">
        <v>0</v>
      </c>
      <c r="J547" s="349" t="str">
        <f>IFERROR(G547/F547,"-")</f>
        <v>-</v>
      </c>
      <c r="K547" s="330">
        <f t="shared" ref="K547:K553" si="696">+L547+M547</f>
        <v>0</v>
      </c>
      <c r="L547" s="272">
        <f t="shared" ref="L547:L553" si="697">+H547+L429</f>
        <v>0</v>
      </c>
      <c r="M547" s="273">
        <f t="shared" ref="M547:M553" si="698">+I547+M429</f>
        <v>0</v>
      </c>
      <c r="N547" s="334" t="str">
        <f t="shared" si="693"/>
        <v>-</v>
      </c>
      <c r="O547" s="344" t="str">
        <f t="shared" si="657"/>
        <v>-</v>
      </c>
    </row>
    <row r="548" spans="1:15" ht="24" x14ac:dyDescent="0.25">
      <c r="A548" s="274" t="s">
        <v>101</v>
      </c>
      <c r="B548" s="849"/>
      <c r="C548" s="298" t="s">
        <v>383</v>
      </c>
      <c r="D548" s="298" t="s">
        <v>332</v>
      </c>
      <c r="E548" s="276"/>
      <c r="F548" s="277"/>
      <c r="G548" s="331">
        <f t="shared" si="695"/>
        <v>0</v>
      </c>
      <c r="H548" s="278">
        <v>0</v>
      </c>
      <c r="I548" s="278">
        <v>0</v>
      </c>
      <c r="J548" s="349" t="str">
        <f t="shared" ref="J548:J553" si="699">IFERROR(G548/F548,"-")</f>
        <v>-</v>
      </c>
      <c r="K548" s="331">
        <f t="shared" si="696"/>
        <v>0</v>
      </c>
      <c r="L548" s="272">
        <f t="shared" si="697"/>
        <v>0</v>
      </c>
      <c r="M548" s="273">
        <f t="shared" si="698"/>
        <v>0</v>
      </c>
      <c r="N548" s="335" t="str">
        <f t="shared" si="693"/>
        <v>-</v>
      </c>
      <c r="O548" s="263" t="str">
        <f t="shared" si="657"/>
        <v>-</v>
      </c>
    </row>
    <row r="549" spans="1:15" ht="24" x14ac:dyDescent="0.25">
      <c r="A549" s="274" t="s">
        <v>101</v>
      </c>
      <c r="B549" s="849"/>
      <c r="C549" s="298" t="s">
        <v>27</v>
      </c>
      <c r="D549" s="298" t="s">
        <v>332</v>
      </c>
      <c r="E549" s="276"/>
      <c r="F549" s="277"/>
      <c r="G549" s="331">
        <f t="shared" si="695"/>
        <v>0</v>
      </c>
      <c r="H549" s="278">
        <v>0</v>
      </c>
      <c r="I549" s="278">
        <v>0</v>
      </c>
      <c r="J549" s="349" t="str">
        <f t="shared" si="699"/>
        <v>-</v>
      </c>
      <c r="K549" s="331">
        <f t="shared" si="696"/>
        <v>0</v>
      </c>
      <c r="L549" s="272">
        <f t="shared" si="697"/>
        <v>0</v>
      </c>
      <c r="M549" s="273">
        <f t="shared" si="698"/>
        <v>0</v>
      </c>
      <c r="N549" s="335" t="str">
        <f t="shared" si="693"/>
        <v>-</v>
      </c>
      <c r="O549" s="263" t="str">
        <f t="shared" si="657"/>
        <v>-</v>
      </c>
    </row>
    <row r="550" spans="1:15" ht="24" x14ac:dyDescent="0.25">
      <c r="A550" s="274"/>
      <c r="B550" s="849"/>
      <c r="C550" s="298" t="s">
        <v>454</v>
      </c>
      <c r="D550" s="298" t="s">
        <v>332</v>
      </c>
      <c r="E550" s="280"/>
      <c r="F550" s="281"/>
      <c r="G550" s="331">
        <f t="shared" si="695"/>
        <v>0</v>
      </c>
      <c r="H550" s="278">
        <v>0</v>
      </c>
      <c r="I550" s="278">
        <v>0</v>
      </c>
      <c r="J550" s="349" t="str">
        <f t="shared" si="699"/>
        <v>-</v>
      </c>
      <c r="K550" s="331">
        <f t="shared" si="696"/>
        <v>0</v>
      </c>
      <c r="L550" s="272">
        <f t="shared" si="697"/>
        <v>0</v>
      </c>
      <c r="M550" s="273">
        <f t="shared" si="698"/>
        <v>0</v>
      </c>
      <c r="N550" s="335" t="str">
        <f t="shared" si="693"/>
        <v>-</v>
      </c>
      <c r="O550" s="263" t="str">
        <f t="shared" si="657"/>
        <v>-</v>
      </c>
    </row>
    <row r="551" spans="1:15" ht="24" x14ac:dyDescent="0.25">
      <c r="A551" s="274" t="s">
        <v>101</v>
      </c>
      <c r="B551" s="849"/>
      <c r="C551" s="298" t="s">
        <v>503</v>
      </c>
      <c r="D551" s="742" t="s">
        <v>502</v>
      </c>
      <c r="E551" s="280"/>
      <c r="F551" s="281"/>
      <c r="G551" s="332">
        <f t="shared" si="695"/>
        <v>0</v>
      </c>
      <c r="H551" s="278"/>
      <c r="I551" s="278"/>
      <c r="J551" s="349" t="str">
        <f t="shared" si="699"/>
        <v>-</v>
      </c>
      <c r="K551" s="332">
        <f t="shared" si="696"/>
        <v>81337</v>
      </c>
      <c r="L551" s="272">
        <f t="shared" si="697"/>
        <v>79560</v>
      </c>
      <c r="M551" s="806">
        <f t="shared" si="698"/>
        <v>1777</v>
      </c>
      <c r="N551" s="336" t="str">
        <f t="shared" si="693"/>
        <v>-</v>
      </c>
      <c r="O551" s="345">
        <f t="shared" si="657"/>
        <v>2.1847375733061215E-2</v>
      </c>
    </row>
    <row r="552" spans="1:15" ht="24" x14ac:dyDescent="0.25">
      <c r="A552" s="274"/>
      <c r="B552" s="849"/>
      <c r="C552" s="298" t="s">
        <v>452</v>
      </c>
      <c r="D552" s="742" t="s">
        <v>502</v>
      </c>
      <c r="E552" s="280"/>
      <c r="F552" s="281"/>
      <c r="G552" s="332"/>
      <c r="H552" s="278">
        <v>99450</v>
      </c>
      <c r="I552" s="278">
        <v>947</v>
      </c>
      <c r="J552" s="349" t="str">
        <f t="shared" si="699"/>
        <v>-</v>
      </c>
      <c r="K552" s="332">
        <f t="shared" si="696"/>
        <v>345195</v>
      </c>
      <c r="L552" s="272">
        <f t="shared" si="697"/>
        <v>342108</v>
      </c>
      <c r="M552" s="674">
        <f t="shared" si="698"/>
        <v>3087</v>
      </c>
      <c r="N552" s="336" t="str">
        <f t="shared" si="693"/>
        <v>-</v>
      </c>
      <c r="O552" s="345">
        <f t="shared" si="657"/>
        <v>8.9427714769912663E-3</v>
      </c>
    </row>
    <row r="553" spans="1:15" ht="24.75" thickBot="1" x14ac:dyDescent="0.3">
      <c r="A553" s="274" t="s">
        <v>101</v>
      </c>
      <c r="B553" s="849"/>
      <c r="C553" s="737" t="s">
        <v>504</v>
      </c>
      <c r="D553" s="299" t="s">
        <v>178</v>
      </c>
      <c r="E553" s="280"/>
      <c r="F553" s="281"/>
      <c r="G553" s="332">
        <f t="shared" ref="G553" si="700">+H553+I553</f>
        <v>76477</v>
      </c>
      <c r="H553" s="278">
        <v>75582</v>
      </c>
      <c r="I553" s="278">
        <v>895</v>
      </c>
      <c r="J553" s="349" t="str">
        <f t="shared" si="699"/>
        <v>-</v>
      </c>
      <c r="K553" s="332">
        <f t="shared" si="696"/>
        <v>149369</v>
      </c>
      <c r="L553" s="272">
        <f t="shared" si="697"/>
        <v>147186</v>
      </c>
      <c r="M553" s="806">
        <f t="shared" si="698"/>
        <v>2183</v>
      </c>
      <c r="N553" s="336" t="str">
        <f t="shared" si="693"/>
        <v>-</v>
      </c>
      <c r="O553" s="345">
        <f t="shared" si="657"/>
        <v>1.4614812979935596E-2</v>
      </c>
    </row>
    <row r="554" spans="1:15" ht="23.25" thickBot="1" x14ac:dyDescent="0.3">
      <c r="A554" s="274" t="s">
        <v>101</v>
      </c>
      <c r="B554" s="849"/>
      <c r="C554" s="303"/>
      <c r="D554" s="304" t="s">
        <v>52</v>
      </c>
      <c r="E554" s="305">
        <f>SUM(E547:E553)</f>
        <v>0</v>
      </c>
      <c r="F554" s="306">
        <v>80000</v>
      </c>
      <c r="G554" s="364">
        <f>SUM(G547:G553)</f>
        <v>76477</v>
      </c>
      <c r="H554" s="363">
        <f>SUM(H547:H553)</f>
        <v>175032</v>
      </c>
      <c r="I554" s="363">
        <f>SUM(I547:I553)</f>
        <v>1842</v>
      </c>
      <c r="J554" s="354">
        <f>+G554/F554</f>
        <v>0.95596250000000005</v>
      </c>
      <c r="K554" s="364">
        <f>SUM(K547:K553)</f>
        <v>575901</v>
      </c>
      <c r="L554" s="363">
        <f>SUM(L547:L553)</f>
        <v>568854</v>
      </c>
      <c r="M554" s="365">
        <f>SUM(M547:M553)</f>
        <v>7047</v>
      </c>
      <c r="N554" s="353" t="str">
        <f t="shared" si="693"/>
        <v>-</v>
      </c>
      <c r="O554" s="354">
        <f t="shared" si="657"/>
        <v>1.2236478144681116E-2</v>
      </c>
    </row>
    <row r="555" spans="1:15" ht="23.25" thickBot="1" x14ac:dyDescent="0.3">
      <c r="A555" s="826" t="s">
        <v>101</v>
      </c>
      <c r="B555" s="850" t="s">
        <v>162</v>
      </c>
      <c r="C555" s="851"/>
      <c r="D555" s="852"/>
      <c r="E555" s="307">
        <f>+E554+E546</f>
        <v>2047672</v>
      </c>
      <c r="F555" s="308">
        <f>+F554+F546</f>
        <v>240000</v>
      </c>
      <c r="G555" s="367">
        <f>+G546+G554</f>
        <v>120880</v>
      </c>
      <c r="H555" s="366">
        <f>+H546+H554</f>
        <v>218790</v>
      </c>
      <c r="I555" s="366">
        <f>+I546+I554</f>
        <v>2487</v>
      </c>
      <c r="J555" s="356">
        <f>+G555/F555</f>
        <v>0.50366666666666671</v>
      </c>
      <c r="K555" s="367">
        <f>+K546+K554</f>
        <v>907967</v>
      </c>
      <c r="L555" s="366">
        <f>+L546+L554</f>
        <v>895050</v>
      </c>
      <c r="M555" s="368">
        <f>+M546+M554</f>
        <v>12917</v>
      </c>
      <c r="N555" s="355">
        <f>IFERROR(K555/E555,"-")</f>
        <v>0.44341427728659666</v>
      </c>
      <c r="O555" s="356">
        <f t="shared" si="657"/>
        <v>1.4226287959804707E-2</v>
      </c>
    </row>
    <row r="556" spans="1:15" ht="24" x14ac:dyDescent="0.25">
      <c r="A556" s="274" t="s">
        <v>101</v>
      </c>
      <c r="B556" s="849" t="s">
        <v>30</v>
      </c>
      <c r="C556" s="302" t="s">
        <v>441</v>
      </c>
      <c r="D556" s="298" t="s">
        <v>468</v>
      </c>
      <c r="E556" s="270">
        <v>1120000</v>
      </c>
      <c r="F556" s="271"/>
      <c r="G556" s="330">
        <f t="shared" ref="G556:G558" si="701">+H556+I556</f>
        <v>0</v>
      </c>
      <c r="H556" s="272">
        <v>0</v>
      </c>
      <c r="I556" s="272">
        <v>0</v>
      </c>
      <c r="J556" s="349" t="str">
        <f>IFERROR(G556/F556,"-")</f>
        <v>-</v>
      </c>
      <c r="K556" s="330">
        <f t="shared" ref="K556:K558" si="702">+L556+M556</f>
        <v>0</v>
      </c>
      <c r="L556" s="272">
        <f t="shared" ref="L556:L558" si="703">+H556+L438</f>
        <v>0</v>
      </c>
      <c r="M556" s="273">
        <f t="shared" ref="M556:M558" si="704">+I556+M438</f>
        <v>0</v>
      </c>
      <c r="N556" s="334">
        <f t="shared" ref="N556:N569" si="705">IFERROR(K556/E556,"-")</f>
        <v>0</v>
      </c>
      <c r="O556" s="344" t="str">
        <f t="shared" si="657"/>
        <v>-</v>
      </c>
    </row>
    <row r="557" spans="1:15" ht="24" x14ac:dyDescent="0.25">
      <c r="A557" s="274" t="s">
        <v>101</v>
      </c>
      <c r="B557" s="849"/>
      <c r="C557" s="299" t="s">
        <v>482</v>
      </c>
      <c r="D557" s="302" t="s">
        <v>476</v>
      </c>
      <c r="E557" s="276"/>
      <c r="F557" s="277"/>
      <c r="G557" s="331">
        <f t="shared" si="701"/>
        <v>0</v>
      </c>
      <c r="H557" s="278">
        <v>0</v>
      </c>
      <c r="I557" s="278">
        <v>0</v>
      </c>
      <c r="J557" s="349" t="str">
        <f t="shared" ref="J557:J558" si="706">IFERROR(G557/F557,"-")</f>
        <v>-</v>
      </c>
      <c r="K557" s="331">
        <f t="shared" si="702"/>
        <v>0</v>
      </c>
      <c r="L557" s="272">
        <f t="shared" si="703"/>
        <v>0</v>
      </c>
      <c r="M557" s="273">
        <f t="shared" si="704"/>
        <v>0</v>
      </c>
      <c r="N557" s="335" t="str">
        <f t="shared" si="705"/>
        <v>-</v>
      </c>
      <c r="O557" s="263" t="str">
        <f t="shared" si="657"/>
        <v>-</v>
      </c>
    </row>
    <row r="558" spans="1:15" ht="24.75" thickBot="1" x14ac:dyDescent="0.3">
      <c r="A558" s="274" t="s">
        <v>101</v>
      </c>
      <c r="B558" s="849"/>
      <c r="C558" s="299" t="s">
        <v>290</v>
      </c>
      <c r="D558" s="299" t="s">
        <v>364</v>
      </c>
      <c r="E558" s="280"/>
      <c r="F558" s="281"/>
      <c r="G558" s="332">
        <f t="shared" si="701"/>
        <v>0</v>
      </c>
      <c r="H558" s="282">
        <v>0</v>
      </c>
      <c r="I558" s="282">
        <v>0</v>
      </c>
      <c r="J558" s="349" t="str">
        <f t="shared" si="706"/>
        <v>-</v>
      </c>
      <c r="K558" s="332">
        <f t="shared" si="702"/>
        <v>4844</v>
      </c>
      <c r="L558" s="272">
        <f t="shared" si="703"/>
        <v>3744</v>
      </c>
      <c r="M558" s="273">
        <f t="shared" si="704"/>
        <v>1100</v>
      </c>
      <c r="N558" s="336" t="str">
        <f t="shared" si="705"/>
        <v>-</v>
      </c>
      <c r="O558" s="345">
        <f t="shared" si="657"/>
        <v>0.22708505367464904</v>
      </c>
    </row>
    <row r="559" spans="1:15" ht="23.25" thickBot="1" x14ac:dyDescent="0.3">
      <c r="A559" s="274" t="s">
        <v>101</v>
      </c>
      <c r="B559" s="849"/>
      <c r="C559" s="300"/>
      <c r="D559" s="301" t="s">
        <v>50</v>
      </c>
      <c r="E559" s="283">
        <f>SUM(E556:E558)</f>
        <v>1120000</v>
      </c>
      <c r="F559" s="284">
        <v>50000</v>
      </c>
      <c r="G559" s="319">
        <f>SUM(G556:G558)</f>
        <v>0</v>
      </c>
      <c r="H559" s="320">
        <f>SUM(H556:H558)</f>
        <v>0</v>
      </c>
      <c r="I559" s="320">
        <f>SUM(I556:I558)</f>
        <v>0</v>
      </c>
      <c r="J559" s="343">
        <f>+G559/F559</f>
        <v>0</v>
      </c>
      <c r="K559" s="319">
        <f>SUM(K556:K558)</f>
        <v>4844</v>
      </c>
      <c r="L559" s="320">
        <f>SUM(L556:L558)</f>
        <v>3744</v>
      </c>
      <c r="M559" s="321">
        <f>SUM(M556:M558)</f>
        <v>1100</v>
      </c>
      <c r="N559" s="337">
        <f t="shared" si="705"/>
        <v>4.3249999999999999E-3</v>
      </c>
      <c r="O559" s="343">
        <f t="shared" si="657"/>
        <v>0.22708505367464904</v>
      </c>
    </row>
    <row r="560" spans="1:15" ht="24" x14ac:dyDescent="0.25">
      <c r="A560" s="274" t="s">
        <v>101</v>
      </c>
      <c r="B560" s="849"/>
      <c r="C560" s="296" t="s">
        <v>430</v>
      </c>
      <c r="D560" s="296" t="s">
        <v>92</v>
      </c>
      <c r="E560" s="270"/>
      <c r="F560" s="271"/>
      <c r="G560" s="330">
        <f t="shared" ref="G560:G565" si="707">+H560+I560</f>
        <v>0</v>
      </c>
      <c r="H560" s="272">
        <v>0</v>
      </c>
      <c r="I560" s="272">
        <v>0</v>
      </c>
      <c r="J560" s="349" t="str">
        <f>IFERROR(G560/F560,"-")</f>
        <v>-</v>
      </c>
      <c r="K560" s="330">
        <f t="shared" ref="K560:K565" si="708">+L560+M560</f>
        <v>0</v>
      </c>
      <c r="L560" s="272">
        <f t="shared" ref="L560:L565" si="709">+H560+L442</f>
        <v>0</v>
      </c>
      <c r="M560" s="273">
        <f t="shared" ref="M560:M565" si="710">+I560+M442</f>
        <v>0</v>
      </c>
      <c r="N560" s="334" t="str">
        <f t="shared" si="705"/>
        <v>-</v>
      </c>
      <c r="O560" s="344" t="str">
        <f t="shared" si="657"/>
        <v>-</v>
      </c>
    </row>
    <row r="561" spans="1:15" ht="24" x14ac:dyDescent="0.25">
      <c r="A561" s="274"/>
      <c r="B561" s="849"/>
      <c r="C561" s="302" t="s">
        <v>444</v>
      </c>
      <c r="D561" s="298" t="s">
        <v>332</v>
      </c>
      <c r="E561" s="270"/>
      <c r="F561" s="271"/>
      <c r="G561" s="330">
        <f t="shared" si="707"/>
        <v>0</v>
      </c>
      <c r="H561" s="272">
        <v>0</v>
      </c>
      <c r="I561" s="272">
        <v>0</v>
      </c>
      <c r="J561" s="349" t="str">
        <f t="shared" ref="J561:J565" si="711">IFERROR(G561/F561,"-")</f>
        <v>-</v>
      </c>
      <c r="K561" s="330">
        <f t="shared" si="708"/>
        <v>0</v>
      </c>
      <c r="L561" s="272">
        <f t="shared" si="709"/>
        <v>0</v>
      </c>
      <c r="M561" s="273">
        <f t="shared" si="710"/>
        <v>0</v>
      </c>
      <c r="N561" s="335" t="str">
        <f t="shared" si="705"/>
        <v>-</v>
      </c>
      <c r="O561" s="344" t="str">
        <f t="shared" si="657"/>
        <v>-</v>
      </c>
    </row>
    <row r="562" spans="1:15" ht="24" x14ac:dyDescent="0.25">
      <c r="A562" s="274"/>
      <c r="B562" s="849"/>
      <c r="C562" s="302" t="s">
        <v>447</v>
      </c>
      <c r="D562" s="298" t="s">
        <v>332</v>
      </c>
      <c r="E562" s="270"/>
      <c r="F562" s="271"/>
      <c r="G562" s="330">
        <f t="shared" si="707"/>
        <v>0</v>
      </c>
      <c r="H562" s="272">
        <v>0</v>
      </c>
      <c r="I562" s="272">
        <v>0</v>
      </c>
      <c r="J562" s="349" t="str">
        <f t="shared" si="711"/>
        <v>-</v>
      </c>
      <c r="K562" s="330">
        <f t="shared" si="708"/>
        <v>0</v>
      </c>
      <c r="L562" s="272">
        <f t="shared" si="709"/>
        <v>0</v>
      </c>
      <c r="M562" s="273">
        <f t="shared" si="710"/>
        <v>0</v>
      </c>
      <c r="N562" s="335" t="str">
        <f t="shared" si="705"/>
        <v>-</v>
      </c>
      <c r="O562" s="344" t="str">
        <f t="shared" si="657"/>
        <v>-</v>
      </c>
    </row>
    <row r="563" spans="1:15" ht="24" x14ac:dyDescent="0.25">
      <c r="A563" s="274" t="s">
        <v>101</v>
      </c>
      <c r="B563" s="849"/>
      <c r="C563" s="302" t="s">
        <v>474</v>
      </c>
      <c r="D563" s="299" t="s">
        <v>421</v>
      </c>
      <c r="E563" s="276"/>
      <c r="F563" s="277"/>
      <c r="G563" s="331">
        <f t="shared" si="707"/>
        <v>0</v>
      </c>
      <c r="H563" s="278">
        <v>0</v>
      </c>
      <c r="I563" s="272">
        <v>0</v>
      </c>
      <c r="J563" s="349" t="str">
        <f t="shared" si="711"/>
        <v>-</v>
      </c>
      <c r="K563" s="331">
        <f t="shared" si="708"/>
        <v>0</v>
      </c>
      <c r="L563" s="272">
        <f t="shared" si="709"/>
        <v>0</v>
      </c>
      <c r="M563" s="273">
        <f t="shared" si="710"/>
        <v>0</v>
      </c>
      <c r="N563" s="335" t="str">
        <f t="shared" si="705"/>
        <v>-</v>
      </c>
      <c r="O563" s="263" t="str">
        <f t="shared" si="657"/>
        <v>-</v>
      </c>
    </row>
    <row r="564" spans="1:15" ht="24" x14ac:dyDescent="0.25">
      <c r="A564" s="274"/>
      <c r="B564" s="849"/>
      <c r="C564" s="299" t="s">
        <v>453</v>
      </c>
      <c r="D564" s="299" t="s">
        <v>364</v>
      </c>
      <c r="E564" s="280"/>
      <c r="F564" s="281"/>
      <c r="G564" s="332">
        <f t="shared" si="707"/>
        <v>0</v>
      </c>
      <c r="H564" s="282">
        <v>0</v>
      </c>
      <c r="I564" s="278">
        <v>0</v>
      </c>
      <c r="J564" s="349" t="str">
        <f t="shared" si="711"/>
        <v>-</v>
      </c>
      <c r="K564" s="331">
        <f t="shared" si="708"/>
        <v>0</v>
      </c>
      <c r="L564" s="272">
        <f t="shared" si="709"/>
        <v>0</v>
      </c>
      <c r="M564" s="272">
        <f t="shared" si="710"/>
        <v>0</v>
      </c>
      <c r="N564" s="335" t="str">
        <f t="shared" si="705"/>
        <v>-</v>
      </c>
      <c r="O564" s="263" t="str">
        <f t="shared" si="657"/>
        <v>-</v>
      </c>
    </row>
    <row r="565" spans="1:15" ht="24.75" thickBot="1" x14ac:dyDescent="0.3">
      <c r="A565" s="274" t="s">
        <v>101</v>
      </c>
      <c r="B565" s="849"/>
      <c r="C565" s="299" t="s">
        <v>431</v>
      </c>
      <c r="D565" s="299" t="s">
        <v>421</v>
      </c>
      <c r="E565" s="280"/>
      <c r="F565" s="281"/>
      <c r="G565" s="332">
        <f t="shared" si="707"/>
        <v>0</v>
      </c>
      <c r="H565" s="282">
        <v>0</v>
      </c>
      <c r="I565" s="272">
        <v>0</v>
      </c>
      <c r="J565" s="349" t="str">
        <f t="shared" si="711"/>
        <v>-</v>
      </c>
      <c r="K565" s="332">
        <f t="shared" si="708"/>
        <v>0</v>
      </c>
      <c r="L565" s="272">
        <f t="shared" si="709"/>
        <v>0</v>
      </c>
      <c r="M565" s="273">
        <f t="shared" si="710"/>
        <v>0</v>
      </c>
      <c r="N565" s="336" t="str">
        <f t="shared" si="705"/>
        <v>-</v>
      </c>
      <c r="O565" s="345" t="str">
        <f t="shared" si="657"/>
        <v>-</v>
      </c>
    </row>
    <row r="566" spans="1:15" ht="23.25" thickBot="1" x14ac:dyDescent="0.3">
      <c r="A566" s="274" t="s">
        <v>101</v>
      </c>
      <c r="B566" s="849"/>
      <c r="C566" s="303"/>
      <c r="D566" s="304" t="s">
        <v>51</v>
      </c>
      <c r="E566" s="305">
        <f>SUM(E560:E565)</f>
        <v>0</v>
      </c>
      <c r="F566" s="306">
        <v>50000</v>
      </c>
      <c r="G566" s="364">
        <f>SUM(G560:G565)</f>
        <v>0</v>
      </c>
      <c r="H566" s="363">
        <f t="shared" ref="H566:I566" si="712">SUM(H560:H565)</f>
        <v>0</v>
      </c>
      <c r="I566" s="363">
        <f t="shared" si="712"/>
        <v>0</v>
      </c>
      <c r="J566" s="354">
        <f>+G566/F566</f>
        <v>0</v>
      </c>
      <c r="K566" s="364">
        <f t="shared" ref="K566:M566" si="713">SUM(K560:K565)</f>
        <v>0</v>
      </c>
      <c r="L566" s="363">
        <f t="shared" si="713"/>
        <v>0</v>
      </c>
      <c r="M566" s="365">
        <f t="shared" si="713"/>
        <v>0</v>
      </c>
      <c r="N566" s="353" t="str">
        <f t="shared" si="705"/>
        <v>-</v>
      </c>
      <c r="O566" s="354" t="str">
        <f t="shared" si="657"/>
        <v>-</v>
      </c>
    </row>
    <row r="567" spans="1:15" ht="23.25" thickBot="1" x14ac:dyDescent="0.3">
      <c r="A567" s="274" t="s">
        <v>101</v>
      </c>
      <c r="B567" s="850" t="s">
        <v>163</v>
      </c>
      <c r="C567" s="851"/>
      <c r="D567" s="852"/>
      <c r="E567" s="307">
        <f>+E566+E559</f>
        <v>1120000</v>
      </c>
      <c r="F567" s="308">
        <v>50000</v>
      </c>
      <c r="G567" s="367">
        <f>+G559+G566</f>
        <v>0</v>
      </c>
      <c r="H567" s="366">
        <f t="shared" ref="H567:I567" si="714">+H559+H566</f>
        <v>0</v>
      </c>
      <c r="I567" s="366">
        <f t="shared" si="714"/>
        <v>0</v>
      </c>
      <c r="J567" s="356">
        <f>+G567/F567</f>
        <v>0</v>
      </c>
      <c r="K567" s="367">
        <f t="shared" ref="K567:M567" si="715">+K559+K566</f>
        <v>4844</v>
      </c>
      <c r="L567" s="366">
        <f t="shared" si="715"/>
        <v>3744</v>
      </c>
      <c r="M567" s="368">
        <f t="shared" si="715"/>
        <v>1100</v>
      </c>
      <c r="N567" s="355">
        <f t="shared" si="705"/>
        <v>4.3249999999999999E-3</v>
      </c>
      <c r="O567" s="356">
        <f t="shared" si="657"/>
        <v>0.22708505367464904</v>
      </c>
    </row>
    <row r="568" spans="1:15" ht="24.75" thickBot="1" x14ac:dyDescent="0.3">
      <c r="A568" s="274" t="s">
        <v>101</v>
      </c>
      <c r="B568" s="591" t="s">
        <v>32</v>
      </c>
      <c r="C568" s="821"/>
      <c r="D568" s="309" t="s">
        <v>32</v>
      </c>
      <c r="E568" s="286">
        <v>0</v>
      </c>
      <c r="F568" s="287">
        <v>110000</v>
      </c>
      <c r="G568" s="333">
        <f t="shared" ref="G568" si="716">+H568+I568</f>
        <v>0</v>
      </c>
      <c r="H568" s="288">
        <v>0</v>
      </c>
      <c r="I568" s="288">
        <v>0</v>
      </c>
      <c r="J568" s="352">
        <f>IFERROR(G568/F568,"-")</f>
        <v>0</v>
      </c>
      <c r="K568" s="333">
        <f>+L568+M568</f>
        <v>0</v>
      </c>
      <c r="L568" s="288">
        <f>+H568+L450</f>
        <v>0</v>
      </c>
      <c r="M568" s="289">
        <f>+I568+M450</f>
        <v>0</v>
      </c>
      <c r="N568" s="338" t="str">
        <f t="shared" si="705"/>
        <v>-</v>
      </c>
      <c r="O568" s="346" t="str">
        <f t="shared" si="657"/>
        <v>-</v>
      </c>
    </row>
    <row r="569" spans="1:15" ht="23.25" thickBot="1" x14ac:dyDescent="0.3">
      <c r="A569" s="274" t="s">
        <v>101</v>
      </c>
      <c r="B569" s="853" t="s">
        <v>21</v>
      </c>
      <c r="C569" s="854"/>
      <c r="D569" s="855"/>
      <c r="E569" s="324">
        <f>+E555+E567+E568</f>
        <v>3167672</v>
      </c>
      <c r="F569" s="325">
        <f>+F555+F567+F568</f>
        <v>400000</v>
      </c>
      <c r="G569" s="324">
        <f>+G555+G567+G568</f>
        <v>120880</v>
      </c>
      <c r="H569" s="322">
        <f>+H555+H567+H568</f>
        <v>218790</v>
      </c>
      <c r="I569" s="322">
        <f>+I555+I567+I568</f>
        <v>2487</v>
      </c>
      <c r="J569" s="347">
        <f>+G569/F569</f>
        <v>0.30220000000000002</v>
      </c>
      <c r="K569" s="324">
        <f>+K555+K567+K568</f>
        <v>912811</v>
      </c>
      <c r="L569" s="322">
        <f>+L555+L567+L568</f>
        <v>898794</v>
      </c>
      <c r="M569" s="323">
        <f>+M555+M567+M568</f>
        <v>14017</v>
      </c>
      <c r="N569" s="339">
        <f t="shared" si="705"/>
        <v>0.2881646205794034</v>
      </c>
      <c r="O569" s="347">
        <f t="shared" si="657"/>
        <v>1.535586227598046E-2</v>
      </c>
    </row>
    <row r="570" spans="1:15" ht="23.25" thickBot="1" x14ac:dyDescent="0.3">
      <c r="A570" s="274" t="s">
        <v>101</v>
      </c>
      <c r="B570" s="839" t="s">
        <v>171</v>
      </c>
      <c r="C570" s="840"/>
      <c r="D570" s="841"/>
      <c r="E570" s="328">
        <f>+E569</f>
        <v>3167672</v>
      </c>
      <c r="F570" s="329">
        <f t="shared" ref="F570:I570" si="717">+F569</f>
        <v>400000</v>
      </c>
      <c r="G570" s="328">
        <f t="shared" si="717"/>
        <v>120880</v>
      </c>
      <c r="H570" s="326">
        <f t="shared" si="717"/>
        <v>218790</v>
      </c>
      <c r="I570" s="326">
        <f t="shared" si="717"/>
        <v>2487</v>
      </c>
      <c r="J570" s="732">
        <f>+G570/F570</f>
        <v>0.30220000000000002</v>
      </c>
      <c r="K570" s="328">
        <f>+K569</f>
        <v>912811</v>
      </c>
      <c r="L570" s="326">
        <f t="shared" ref="L570" si="718">+L569</f>
        <v>898794</v>
      </c>
      <c r="M570" s="327">
        <f>+M569</f>
        <v>14017</v>
      </c>
      <c r="N570" s="340">
        <f t="shared" ref="N570:O570" si="719">+N569</f>
        <v>0.2881646205794034</v>
      </c>
      <c r="O570" s="348">
        <f t="shared" si="719"/>
        <v>1.535586227598046E-2</v>
      </c>
    </row>
    <row r="571" spans="1:15" ht="24" x14ac:dyDescent="0.25">
      <c r="A571" s="268" t="s">
        <v>102</v>
      </c>
      <c r="B571" s="842" t="s">
        <v>399</v>
      </c>
      <c r="C571" s="310" t="s">
        <v>113</v>
      </c>
      <c r="D571" s="310"/>
      <c r="E571" s="270">
        <v>2000</v>
      </c>
      <c r="F571" s="271"/>
      <c r="G571" s="330">
        <f t="shared" ref="G571:G573" si="720">+H571+I571</f>
        <v>0</v>
      </c>
      <c r="H571" s="272">
        <v>0</v>
      </c>
      <c r="I571" s="272">
        <v>0</v>
      </c>
      <c r="J571" s="349" t="str">
        <f>IFERROR(G571/F571,"-")</f>
        <v>-</v>
      </c>
      <c r="K571" s="330">
        <f t="shared" ref="K571:K573" si="721">+L571+M571</f>
        <v>0</v>
      </c>
      <c r="L571" s="272">
        <f t="shared" ref="L571:L573" si="722">+H571+L453</f>
        <v>0</v>
      </c>
      <c r="M571" s="273">
        <f t="shared" ref="M571:M573" si="723">+I571+M453</f>
        <v>0</v>
      </c>
      <c r="N571" s="334">
        <f t="shared" ref="N571:N578" si="724">IFERROR(K571/E571,"-")</f>
        <v>0</v>
      </c>
      <c r="O571" s="344" t="str">
        <f t="shared" ref="O571:O596" si="725">IFERROR(M571/K571,"-")</f>
        <v>-</v>
      </c>
    </row>
    <row r="572" spans="1:15" ht="24" x14ac:dyDescent="0.25">
      <c r="A572" s="274" t="s">
        <v>102</v>
      </c>
      <c r="B572" s="843"/>
      <c r="C572" s="311" t="s">
        <v>246</v>
      </c>
      <c r="D572" s="311"/>
      <c r="E572" s="276"/>
      <c r="F572" s="277"/>
      <c r="G572" s="331">
        <f t="shared" si="720"/>
        <v>0</v>
      </c>
      <c r="H572" s="278">
        <v>0</v>
      </c>
      <c r="I572" s="278">
        <v>0</v>
      </c>
      <c r="J572" s="349" t="str">
        <f t="shared" ref="J572:J573" si="726">IFERROR(G572/F572,"-")</f>
        <v>-</v>
      </c>
      <c r="K572" s="331">
        <f t="shared" si="721"/>
        <v>0</v>
      </c>
      <c r="L572" s="272">
        <f t="shared" si="722"/>
        <v>0</v>
      </c>
      <c r="M572" s="273">
        <f t="shared" si="723"/>
        <v>0</v>
      </c>
      <c r="N572" s="335" t="str">
        <f t="shared" si="724"/>
        <v>-</v>
      </c>
      <c r="O572" s="263" t="str">
        <f t="shared" si="725"/>
        <v>-</v>
      </c>
    </row>
    <row r="573" spans="1:15" ht="24.75" thickBot="1" x14ac:dyDescent="0.3">
      <c r="A573" s="274" t="s">
        <v>102</v>
      </c>
      <c r="B573" s="844"/>
      <c r="C573" s="312" t="s">
        <v>33</v>
      </c>
      <c r="D573" s="312"/>
      <c r="E573" s="280"/>
      <c r="F573" s="281"/>
      <c r="G573" s="332">
        <f t="shared" si="720"/>
        <v>0</v>
      </c>
      <c r="H573" s="282">
        <v>0</v>
      </c>
      <c r="I573" s="282">
        <v>0</v>
      </c>
      <c r="J573" s="349" t="str">
        <f t="shared" si="726"/>
        <v>-</v>
      </c>
      <c r="K573" s="332">
        <f t="shared" si="721"/>
        <v>0</v>
      </c>
      <c r="L573" s="272">
        <f t="shared" si="722"/>
        <v>0</v>
      </c>
      <c r="M573" s="273">
        <f t="shared" si="723"/>
        <v>0</v>
      </c>
      <c r="N573" s="336" t="str">
        <f t="shared" si="724"/>
        <v>-</v>
      </c>
      <c r="O573" s="345" t="str">
        <f t="shared" si="725"/>
        <v>-</v>
      </c>
    </row>
    <row r="574" spans="1:15" ht="23.25" thickBot="1" x14ac:dyDescent="0.3">
      <c r="A574" s="274" t="s">
        <v>102</v>
      </c>
      <c r="B574" s="845" t="s">
        <v>34</v>
      </c>
      <c r="C574" s="846"/>
      <c r="D574" s="847"/>
      <c r="E574" s="283">
        <f>SUM(E571:E573)</f>
        <v>2000</v>
      </c>
      <c r="F574" s="284">
        <v>6500</v>
      </c>
      <c r="G574" s="319">
        <f>SUM(G571:G573)</f>
        <v>0</v>
      </c>
      <c r="H574" s="320">
        <f t="shared" ref="H574:I574" si="727">SUM(H571:H573)</f>
        <v>0</v>
      </c>
      <c r="I574" s="320">
        <f t="shared" si="727"/>
        <v>0</v>
      </c>
      <c r="J574" s="343">
        <f>IFERROR(G574/F574,"-")</f>
        <v>0</v>
      </c>
      <c r="K574" s="319">
        <f t="shared" ref="K574:M574" si="728">SUM(K571:K573)</f>
        <v>0</v>
      </c>
      <c r="L574" s="320">
        <f t="shared" si="728"/>
        <v>0</v>
      </c>
      <c r="M574" s="321">
        <f t="shared" si="728"/>
        <v>0</v>
      </c>
      <c r="N574" s="337">
        <f t="shared" si="724"/>
        <v>0</v>
      </c>
      <c r="O574" s="343" t="str">
        <f t="shared" si="725"/>
        <v>-</v>
      </c>
    </row>
    <row r="575" spans="1:15" ht="24" x14ac:dyDescent="0.25">
      <c r="A575" s="274" t="s">
        <v>102</v>
      </c>
      <c r="B575" s="842" t="s">
        <v>35</v>
      </c>
      <c r="C575" s="310" t="s">
        <v>113</v>
      </c>
      <c r="D575" s="310"/>
      <c r="E575" s="270">
        <v>106160</v>
      </c>
      <c r="F575" s="271"/>
      <c r="G575" s="330">
        <f t="shared" ref="G575:G578" si="729">+H575+I575</f>
        <v>0</v>
      </c>
      <c r="H575" s="272">
        <v>0</v>
      </c>
      <c r="I575" s="272">
        <v>0</v>
      </c>
      <c r="J575" s="349" t="str">
        <f>IFERROR(G575/F575,"-")</f>
        <v>-</v>
      </c>
      <c r="K575" s="330">
        <f t="shared" ref="K575:K578" si="730">+L575+M575</f>
        <v>0</v>
      </c>
      <c r="L575" s="272">
        <f t="shared" ref="L575:L578" si="731">+H575+L457</f>
        <v>0</v>
      </c>
      <c r="M575" s="273">
        <f t="shared" ref="M575:M578" si="732">+I575+M457</f>
        <v>0</v>
      </c>
      <c r="N575" s="334">
        <f t="shared" si="724"/>
        <v>0</v>
      </c>
      <c r="O575" s="344" t="str">
        <f t="shared" si="725"/>
        <v>-</v>
      </c>
    </row>
    <row r="576" spans="1:15" ht="24" x14ac:dyDescent="0.25">
      <c r="A576" s="274" t="s">
        <v>102</v>
      </c>
      <c r="B576" s="843"/>
      <c r="C576" s="311" t="s">
        <v>246</v>
      </c>
      <c r="D576" s="311"/>
      <c r="E576" s="276">
        <v>10000</v>
      </c>
      <c r="F576" s="277"/>
      <c r="G576" s="331">
        <f t="shared" si="729"/>
        <v>0</v>
      </c>
      <c r="H576" s="278">
        <v>0</v>
      </c>
      <c r="I576" s="278">
        <v>0</v>
      </c>
      <c r="J576" s="349" t="str">
        <f t="shared" ref="J576:J578" si="733">IFERROR(G576/F576,"-")</f>
        <v>-</v>
      </c>
      <c r="K576" s="331">
        <f t="shared" si="730"/>
        <v>0</v>
      </c>
      <c r="L576" s="272">
        <f t="shared" si="731"/>
        <v>0</v>
      </c>
      <c r="M576" s="273">
        <f t="shared" si="732"/>
        <v>0</v>
      </c>
      <c r="N576" s="335">
        <f t="shared" si="724"/>
        <v>0</v>
      </c>
      <c r="O576" s="263" t="str">
        <f t="shared" si="725"/>
        <v>-</v>
      </c>
    </row>
    <row r="577" spans="1:15" ht="24" x14ac:dyDescent="0.25">
      <c r="A577" s="274" t="s">
        <v>102</v>
      </c>
      <c r="B577" s="843"/>
      <c r="C577" s="311" t="s">
        <v>469</v>
      </c>
      <c r="D577" s="311"/>
      <c r="E577" s="276"/>
      <c r="F577" s="277"/>
      <c r="G577" s="331">
        <f t="shared" si="729"/>
        <v>0</v>
      </c>
      <c r="H577" s="278">
        <v>0</v>
      </c>
      <c r="I577" s="278">
        <v>0</v>
      </c>
      <c r="J577" s="349" t="str">
        <f t="shared" si="733"/>
        <v>-</v>
      </c>
      <c r="K577" s="331">
        <f t="shared" si="730"/>
        <v>0</v>
      </c>
      <c r="L577" s="272">
        <f t="shared" si="731"/>
        <v>0</v>
      </c>
      <c r="M577" s="273">
        <f t="shared" si="732"/>
        <v>0</v>
      </c>
      <c r="N577" s="335" t="str">
        <f t="shared" si="724"/>
        <v>-</v>
      </c>
      <c r="O577" s="263" t="str">
        <f t="shared" si="725"/>
        <v>-</v>
      </c>
    </row>
    <row r="578" spans="1:15" ht="24.75" thickBot="1" x14ac:dyDescent="0.3">
      <c r="A578" s="274" t="s">
        <v>102</v>
      </c>
      <c r="B578" s="844"/>
      <c r="C578" s="312" t="s">
        <v>36</v>
      </c>
      <c r="D578" s="312"/>
      <c r="E578" s="280"/>
      <c r="F578" s="281"/>
      <c r="G578" s="332">
        <f t="shared" si="729"/>
        <v>0</v>
      </c>
      <c r="H578" s="278">
        <v>0</v>
      </c>
      <c r="I578" s="278">
        <v>0</v>
      </c>
      <c r="J578" s="349" t="str">
        <f t="shared" si="733"/>
        <v>-</v>
      </c>
      <c r="K578" s="332">
        <f t="shared" si="730"/>
        <v>0</v>
      </c>
      <c r="L578" s="272">
        <f t="shared" si="731"/>
        <v>0</v>
      </c>
      <c r="M578" s="273">
        <f t="shared" si="732"/>
        <v>0</v>
      </c>
      <c r="N578" s="336" t="str">
        <f t="shared" si="724"/>
        <v>-</v>
      </c>
      <c r="O578" s="345" t="str">
        <f t="shared" si="725"/>
        <v>-</v>
      </c>
    </row>
    <row r="579" spans="1:15" ht="23.25" thickBot="1" x14ac:dyDescent="0.3">
      <c r="A579" s="274" t="s">
        <v>102</v>
      </c>
      <c r="B579" s="845" t="s">
        <v>37</v>
      </c>
      <c r="C579" s="846"/>
      <c r="D579" s="847"/>
      <c r="E579" s="283">
        <f>SUM(E575:E578)</f>
        <v>116160</v>
      </c>
      <c r="F579" s="284">
        <v>6500</v>
      </c>
      <c r="G579" s="319">
        <f>SUM(G575:G578)</f>
        <v>0</v>
      </c>
      <c r="H579" s="320">
        <f t="shared" ref="H579:I579" si="734">SUM(H575:H578)</f>
        <v>0</v>
      </c>
      <c r="I579" s="320">
        <f t="shared" si="734"/>
        <v>0</v>
      </c>
      <c r="J579" s="343">
        <f>IFERROR(G579/F579,"-")</f>
        <v>0</v>
      </c>
      <c r="K579" s="319">
        <f t="shared" ref="K579:M579" si="735">SUM(K575:K578)</f>
        <v>0</v>
      </c>
      <c r="L579" s="320">
        <f t="shared" si="735"/>
        <v>0</v>
      </c>
      <c r="M579" s="321">
        <f t="shared" si="735"/>
        <v>0</v>
      </c>
      <c r="N579" s="337">
        <f>IFERROR(K579/E579,"-")</f>
        <v>0</v>
      </c>
      <c r="O579" s="343" t="str">
        <f t="shared" si="725"/>
        <v>-</v>
      </c>
    </row>
    <row r="580" spans="1:15" ht="24" x14ac:dyDescent="0.25">
      <c r="A580" s="274" t="s">
        <v>102</v>
      </c>
      <c r="B580" s="842" t="s">
        <v>400</v>
      </c>
      <c r="C580" s="313" t="s">
        <v>116</v>
      </c>
      <c r="D580" s="313"/>
      <c r="E580" s="270">
        <v>22000</v>
      </c>
      <c r="F580" s="271"/>
      <c r="G580" s="330">
        <f t="shared" ref="G580:G581" si="736">+H580+I580</f>
        <v>0</v>
      </c>
      <c r="H580" s="272">
        <v>0</v>
      </c>
      <c r="I580" s="272">
        <v>0</v>
      </c>
      <c r="J580" s="349" t="str">
        <f>IFERROR(G580/F580,"-")</f>
        <v>-</v>
      </c>
      <c r="K580" s="330">
        <f t="shared" ref="K580:K581" si="737">+L580+M580</f>
        <v>0</v>
      </c>
      <c r="L580" s="272">
        <f t="shared" ref="L580:L581" si="738">+H580+L462</f>
        <v>0</v>
      </c>
      <c r="M580" s="273">
        <f t="shared" ref="M580:M581" si="739">+I580+M462</f>
        <v>0</v>
      </c>
      <c r="N580" s="334">
        <f t="shared" ref="N580:N596" si="740">IFERROR(K580/E580,"-")</f>
        <v>0</v>
      </c>
      <c r="O580" s="344" t="str">
        <f t="shared" si="725"/>
        <v>-</v>
      </c>
    </row>
    <row r="581" spans="1:15" ht="24.75" thickBot="1" x14ac:dyDescent="0.3">
      <c r="A581" s="274" t="s">
        <v>102</v>
      </c>
      <c r="B581" s="844"/>
      <c r="C581" s="285" t="s">
        <v>132</v>
      </c>
      <c r="D581" s="285"/>
      <c r="E581" s="280">
        <v>9000</v>
      </c>
      <c r="F581" s="281"/>
      <c r="G581" s="332">
        <f t="shared" si="736"/>
        <v>0</v>
      </c>
      <c r="H581" s="282">
        <v>0</v>
      </c>
      <c r="I581" s="282">
        <v>0</v>
      </c>
      <c r="J581" s="349" t="str">
        <f>IFERROR(G581/F581,"-")</f>
        <v>-</v>
      </c>
      <c r="K581" s="332">
        <f t="shared" si="737"/>
        <v>0</v>
      </c>
      <c r="L581" s="272">
        <f t="shared" si="738"/>
        <v>0</v>
      </c>
      <c r="M581" s="273">
        <f t="shared" si="739"/>
        <v>0</v>
      </c>
      <c r="N581" s="336">
        <f t="shared" si="740"/>
        <v>0</v>
      </c>
      <c r="O581" s="345" t="str">
        <f t="shared" si="725"/>
        <v>-</v>
      </c>
    </row>
    <row r="582" spans="1:15" ht="23.25" thickBot="1" x14ac:dyDescent="0.3">
      <c r="A582" s="826" t="s">
        <v>102</v>
      </c>
      <c r="B582" s="845" t="s">
        <v>38</v>
      </c>
      <c r="C582" s="846"/>
      <c r="D582" s="847"/>
      <c r="E582" s="283">
        <f>SUM(E580:E581)</f>
        <v>31000</v>
      </c>
      <c r="F582" s="284">
        <v>2800</v>
      </c>
      <c r="G582" s="319">
        <f>SUM(G580:G581)</f>
        <v>0</v>
      </c>
      <c r="H582" s="320">
        <f t="shared" ref="H582:I582" si="741">SUM(H580:H581)</f>
        <v>0</v>
      </c>
      <c r="I582" s="320">
        <f t="shared" si="741"/>
        <v>0</v>
      </c>
      <c r="J582" s="343" t="str">
        <f>IFERROR(G582/F572,"-")</f>
        <v>-</v>
      </c>
      <c r="K582" s="319">
        <f t="shared" ref="K582:M582" si="742">SUM(K580:K581)</f>
        <v>0</v>
      </c>
      <c r="L582" s="320">
        <f t="shared" si="742"/>
        <v>0</v>
      </c>
      <c r="M582" s="321">
        <f t="shared" si="742"/>
        <v>0</v>
      </c>
      <c r="N582" s="337">
        <f t="shared" si="740"/>
        <v>0</v>
      </c>
      <c r="O582" s="343" t="str">
        <f t="shared" si="725"/>
        <v>-</v>
      </c>
    </row>
    <row r="583" spans="1:15" ht="24" x14ac:dyDescent="0.25">
      <c r="A583" s="274" t="s">
        <v>102</v>
      </c>
      <c r="B583" s="842" t="s">
        <v>401</v>
      </c>
      <c r="C583" s="269" t="s">
        <v>305</v>
      </c>
      <c r="D583" s="269"/>
      <c r="E583" s="270">
        <v>978200</v>
      </c>
      <c r="F583" s="314"/>
      <c r="G583" s="330">
        <f t="shared" ref="G583:G587" si="743">+H583+I583</f>
        <v>54352</v>
      </c>
      <c r="H583" s="272">
        <v>53760</v>
      </c>
      <c r="I583" s="272">
        <v>592</v>
      </c>
      <c r="J583" s="369" t="str">
        <f>IFERROR(G583/F583,"-")</f>
        <v>-</v>
      </c>
      <c r="K583" s="330">
        <f t="shared" ref="K583:K587" si="744">+L583+M583</f>
        <v>236493</v>
      </c>
      <c r="L583" s="272">
        <f t="shared" ref="L583:L587" si="745">+H583+L465</f>
        <v>233580</v>
      </c>
      <c r="M583" s="272">
        <f t="shared" ref="M583:M587" si="746">+I583+M465</f>
        <v>2913</v>
      </c>
      <c r="N583" s="357">
        <f t="shared" si="740"/>
        <v>0.24176344305867919</v>
      </c>
      <c r="O583" s="358">
        <f t="shared" si="725"/>
        <v>1.2317489312580076E-2</v>
      </c>
    </row>
    <row r="584" spans="1:15" ht="24" x14ac:dyDescent="0.25">
      <c r="A584" s="274" t="s">
        <v>102</v>
      </c>
      <c r="B584" s="843"/>
      <c r="C584" s="269" t="s">
        <v>306</v>
      </c>
      <c r="D584" s="275"/>
      <c r="E584" s="276"/>
      <c r="F584" s="315"/>
      <c r="G584" s="331">
        <f t="shared" si="743"/>
        <v>0</v>
      </c>
      <c r="H584" s="278">
        <v>0</v>
      </c>
      <c r="I584" s="278">
        <v>0</v>
      </c>
      <c r="J584" s="369" t="str">
        <f t="shared" ref="J584:J587" si="747">IFERROR(G584/F584,"-")</f>
        <v>-</v>
      </c>
      <c r="K584" s="331">
        <f t="shared" si="744"/>
        <v>0</v>
      </c>
      <c r="L584" s="272">
        <f t="shared" si="745"/>
        <v>0</v>
      </c>
      <c r="M584" s="273">
        <f t="shared" si="746"/>
        <v>0</v>
      </c>
      <c r="N584" s="359" t="str">
        <f t="shared" si="740"/>
        <v>-</v>
      </c>
      <c r="O584" s="360" t="str">
        <f t="shared" si="725"/>
        <v>-</v>
      </c>
    </row>
    <row r="585" spans="1:15" ht="24" x14ac:dyDescent="0.25">
      <c r="A585" s="274" t="s">
        <v>102</v>
      </c>
      <c r="B585" s="843"/>
      <c r="C585" s="275" t="s">
        <v>343</v>
      </c>
      <c r="D585" s="275"/>
      <c r="E585" s="276">
        <v>75000</v>
      </c>
      <c r="F585" s="315"/>
      <c r="G585" s="331">
        <f t="shared" si="743"/>
        <v>0</v>
      </c>
      <c r="H585" s="278"/>
      <c r="I585" s="278"/>
      <c r="J585" s="369" t="str">
        <f t="shared" si="747"/>
        <v>-</v>
      </c>
      <c r="K585" s="331">
        <f t="shared" si="744"/>
        <v>40870</v>
      </c>
      <c r="L585" s="272">
        <f t="shared" si="745"/>
        <v>40296</v>
      </c>
      <c r="M585" s="273">
        <f t="shared" si="746"/>
        <v>574</v>
      </c>
      <c r="N585" s="359">
        <f t="shared" si="740"/>
        <v>0.54493333333333338</v>
      </c>
      <c r="O585" s="360">
        <f t="shared" si="725"/>
        <v>1.4044531441154881E-2</v>
      </c>
    </row>
    <row r="586" spans="1:15" ht="24" x14ac:dyDescent="0.25">
      <c r="A586" s="274" t="s">
        <v>102</v>
      </c>
      <c r="B586" s="843"/>
      <c r="C586" s="275" t="s">
        <v>157</v>
      </c>
      <c r="D586" s="275"/>
      <c r="E586" s="276">
        <v>70040</v>
      </c>
      <c r="F586" s="315"/>
      <c r="G586" s="331">
        <f t="shared" si="743"/>
        <v>0</v>
      </c>
      <c r="H586" s="278">
        <v>0</v>
      </c>
      <c r="I586" s="278">
        <v>0</v>
      </c>
      <c r="J586" s="369" t="str">
        <f t="shared" si="747"/>
        <v>-</v>
      </c>
      <c r="K586" s="331">
        <f t="shared" si="744"/>
        <v>0</v>
      </c>
      <c r="L586" s="272">
        <f t="shared" si="745"/>
        <v>0</v>
      </c>
      <c r="M586" s="273">
        <f t="shared" si="746"/>
        <v>0</v>
      </c>
      <c r="N586" s="359">
        <f t="shared" si="740"/>
        <v>0</v>
      </c>
      <c r="O586" s="360" t="str">
        <f t="shared" si="725"/>
        <v>-</v>
      </c>
    </row>
    <row r="587" spans="1:15" ht="24.75" thickBot="1" x14ac:dyDescent="0.3">
      <c r="A587" s="274" t="s">
        <v>102</v>
      </c>
      <c r="B587" s="844"/>
      <c r="C587" s="279" t="s">
        <v>158</v>
      </c>
      <c r="D587" s="279"/>
      <c r="E587" s="280"/>
      <c r="F587" s="316"/>
      <c r="G587" s="332">
        <f t="shared" si="743"/>
        <v>0</v>
      </c>
      <c r="H587" s="278">
        <v>0</v>
      </c>
      <c r="I587" s="278">
        <v>0</v>
      </c>
      <c r="J587" s="369" t="str">
        <f t="shared" si="747"/>
        <v>-</v>
      </c>
      <c r="K587" s="332">
        <f t="shared" si="744"/>
        <v>0</v>
      </c>
      <c r="L587" s="272">
        <f t="shared" si="745"/>
        <v>0</v>
      </c>
      <c r="M587" s="273">
        <f t="shared" si="746"/>
        <v>0</v>
      </c>
      <c r="N587" s="361" t="str">
        <f t="shared" si="740"/>
        <v>-</v>
      </c>
      <c r="O587" s="362" t="str">
        <f t="shared" si="725"/>
        <v>-</v>
      </c>
    </row>
    <row r="588" spans="1:15" ht="23.25" thickBot="1" x14ac:dyDescent="0.3">
      <c r="A588" s="274" t="s">
        <v>102</v>
      </c>
      <c r="B588" s="845" t="s">
        <v>39</v>
      </c>
      <c r="C588" s="846"/>
      <c r="D588" s="847"/>
      <c r="E588" s="319">
        <f>SUM(E583:E587)</f>
        <v>1123240</v>
      </c>
      <c r="F588" s="284">
        <v>25000</v>
      </c>
      <c r="G588" s="319">
        <f>SUM(G583:G587)</f>
        <v>54352</v>
      </c>
      <c r="H588" s="320">
        <f>SUM(H583:H587)</f>
        <v>53760</v>
      </c>
      <c r="I588" s="320">
        <f>SUM(I583:I587)</f>
        <v>592</v>
      </c>
      <c r="J588" s="343">
        <f>IFERROR(G588/F588,"-")</f>
        <v>2.17408</v>
      </c>
      <c r="K588" s="319">
        <f>SUM(K583:K587)</f>
        <v>277363</v>
      </c>
      <c r="L588" s="320">
        <f>SUM(L583:L587)</f>
        <v>273876</v>
      </c>
      <c r="M588" s="321">
        <f>SUM(M583:M587)</f>
        <v>3487</v>
      </c>
      <c r="N588" s="337">
        <f t="shared" si="740"/>
        <v>0.24693119903137353</v>
      </c>
      <c r="O588" s="343">
        <f t="shared" si="725"/>
        <v>1.2571972469291145E-2</v>
      </c>
    </row>
    <row r="589" spans="1:15" ht="24" x14ac:dyDescent="0.25">
      <c r="A589" s="274" t="s">
        <v>102</v>
      </c>
      <c r="B589" s="842" t="s">
        <v>402</v>
      </c>
      <c r="C589" s="269" t="s">
        <v>186</v>
      </c>
      <c r="D589" s="269"/>
      <c r="E589" s="270"/>
      <c r="F589" s="271"/>
      <c r="G589" s="330">
        <f t="shared" ref="G589:G591" si="748">+H589+I589</f>
        <v>0</v>
      </c>
      <c r="H589" s="272">
        <v>0</v>
      </c>
      <c r="I589" s="272">
        <v>0</v>
      </c>
      <c r="J589" s="349" t="str">
        <f>IFERROR(G589/F589,"-")</f>
        <v>-</v>
      </c>
      <c r="K589" s="330">
        <f t="shared" ref="K589:K591" si="749">+L589+M589</f>
        <v>0</v>
      </c>
      <c r="L589" s="272">
        <f t="shared" ref="L589:L591" si="750">+H589+L471</f>
        <v>0</v>
      </c>
      <c r="M589" s="273">
        <f t="shared" ref="M589:M591" si="751">+I589+M471</f>
        <v>0</v>
      </c>
      <c r="N589" s="334" t="str">
        <f t="shared" si="740"/>
        <v>-</v>
      </c>
      <c r="O589" s="344" t="str">
        <f t="shared" si="725"/>
        <v>-</v>
      </c>
    </row>
    <row r="590" spans="1:15" ht="24" x14ac:dyDescent="0.25">
      <c r="A590" s="274" t="s">
        <v>102</v>
      </c>
      <c r="B590" s="843"/>
      <c r="C590" s="275" t="s">
        <v>470</v>
      </c>
      <c r="D590" s="275"/>
      <c r="E590" s="276"/>
      <c r="F590" s="277"/>
      <c r="G590" s="331">
        <f t="shared" si="748"/>
        <v>0</v>
      </c>
      <c r="H590" s="278">
        <v>0</v>
      </c>
      <c r="I590" s="278">
        <v>0</v>
      </c>
      <c r="J590" s="349" t="str">
        <f t="shared" ref="J590:J591" si="752">IFERROR(G590/F590,"-")</f>
        <v>-</v>
      </c>
      <c r="K590" s="331">
        <f t="shared" si="749"/>
        <v>0</v>
      </c>
      <c r="L590" s="674">
        <f t="shared" si="750"/>
        <v>0</v>
      </c>
      <c r="M590" s="273">
        <f t="shared" si="751"/>
        <v>0</v>
      </c>
      <c r="N590" s="359" t="str">
        <f t="shared" si="740"/>
        <v>-</v>
      </c>
      <c r="O590" s="360" t="str">
        <f t="shared" si="725"/>
        <v>-</v>
      </c>
    </row>
    <row r="591" spans="1:15" ht="24.75" thickBot="1" x14ac:dyDescent="0.3">
      <c r="A591" s="274" t="s">
        <v>102</v>
      </c>
      <c r="B591" s="844"/>
      <c r="C591" s="279" t="s">
        <v>471</v>
      </c>
      <c r="D591" s="279"/>
      <c r="E591" s="280"/>
      <c r="F591" s="281"/>
      <c r="G591" s="332">
        <f t="shared" si="748"/>
        <v>0</v>
      </c>
      <c r="H591" s="278">
        <v>0</v>
      </c>
      <c r="I591" s="278">
        <v>0</v>
      </c>
      <c r="J591" s="349" t="str">
        <f t="shared" si="752"/>
        <v>-</v>
      </c>
      <c r="K591" s="332">
        <f t="shared" si="749"/>
        <v>0</v>
      </c>
      <c r="L591" s="272">
        <f t="shared" si="750"/>
        <v>0</v>
      </c>
      <c r="M591" s="273">
        <f t="shared" si="751"/>
        <v>0</v>
      </c>
      <c r="N591" s="361" t="str">
        <f t="shared" si="740"/>
        <v>-</v>
      </c>
      <c r="O591" s="362" t="str">
        <f t="shared" si="725"/>
        <v>-</v>
      </c>
    </row>
    <row r="592" spans="1:15" ht="23.25" thickBot="1" x14ac:dyDescent="0.3">
      <c r="A592" s="274" t="s">
        <v>102</v>
      </c>
      <c r="B592" s="862" t="s">
        <v>41</v>
      </c>
      <c r="C592" s="863"/>
      <c r="D592" s="864"/>
      <c r="E592" s="319">
        <f>SUM(E589:E591)</f>
        <v>0</v>
      </c>
      <c r="F592" s="284"/>
      <c r="G592" s="319">
        <f>SUM(G589:G591)</f>
        <v>0</v>
      </c>
      <c r="H592" s="320">
        <f t="shared" ref="H592:I592" si="753">SUM(H589:H591)</f>
        <v>0</v>
      </c>
      <c r="I592" s="320">
        <f t="shared" si="753"/>
        <v>0</v>
      </c>
      <c r="J592" s="343" t="str">
        <f>IFERROR(G592/F592,"-")</f>
        <v>-</v>
      </c>
      <c r="K592" s="319">
        <f t="shared" ref="K592:M592" si="754">SUM(K589:K591)</f>
        <v>0</v>
      </c>
      <c r="L592" s="363">
        <f t="shared" si="754"/>
        <v>0</v>
      </c>
      <c r="M592" s="365">
        <f t="shared" si="754"/>
        <v>0</v>
      </c>
      <c r="N592" s="337" t="str">
        <f t="shared" si="740"/>
        <v>-</v>
      </c>
      <c r="O592" s="343" t="str">
        <f t="shared" si="725"/>
        <v>-</v>
      </c>
    </row>
    <row r="593" spans="1:15" ht="24.75" thickBot="1" x14ac:dyDescent="0.3">
      <c r="A593" s="274" t="s">
        <v>102</v>
      </c>
      <c r="B593" s="842" t="s">
        <v>42</v>
      </c>
      <c r="C593" s="269" t="s">
        <v>160</v>
      </c>
      <c r="D593" s="269"/>
      <c r="E593" s="270"/>
      <c r="F593" s="271"/>
      <c r="G593" s="330">
        <f t="shared" ref="G593:G594" si="755">+H593+I593</f>
        <v>0</v>
      </c>
      <c r="H593" s="272"/>
      <c r="I593" s="272"/>
      <c r="J593" s="369" t="str">
        <f>IFERROR(G593/F593,"-")</f>
        <v>-</v>
      </c>
      <c r="K593" s="656">
        <f t="shared" ref="K593:K594" si="756">+L593+M593</f>
        <v>18234</v>
      </c>
      <c r="L593" s="649">
        <f t="shared" ref="L593:L594" si="757">+H593+L475</f>
        <v>17920</v>
      </c>
      <c r="M593" s="649">
        <f t="shared" ref="M593:M594" si="758">+I593+M475</f>
        <v>314</v>
      </c>
      <c r="N593" s="357" t="str">
        <f t="shared" si="740"/>
        <v>-</v>
      </c>
      <c r="O593" s="358">
        <f t="shared" si="725"/>
        <v>1.7220576944170233E-2</v>
      </c>
    </row>
    <row r="594" spans="1:15" ht="24.75" thickBot="1" x14ac:dyDescent="0.3">
      <c r="A594" s="274" t="s">
        <v>102</v>
      </c>
      <c r="B594" s="844"/>
      <c r="C594" s="279" t="s">
        <v>161</v>
      </c>
      <c r="D594" s="279"/>
      <c r="E594" s="280"/>
      <c r="F594" s="281"/>
      <c r="G594" s="332">
        <f t="shared" si="755"/>
        <v>0</v>
      </c>
      <c r="H594" s="282">
        <v>0</v>
      </c>
      <c r="I594" s="282">
        <v>0</v>
      </c>
      <c r="J594" s="371" t="str">
        <f>IFERROR(G594/F594,"-")</f>
        <v>-</v>
      </c>
      <c r="K594" s="657">
        <f t="shared" si="756"/>
        <v>0</v>
      </c>
      <c r="L594" s="649">
        <f t="shared" si="757"/>
        <v>0</v>
      </c>
      <c r="M594" s="649">
        <f t="shared" si="758"/>
        <v>0</v>
      </c>
      <c r="N594" s="361" t="str">
        <f t="shared" si="740"/>
        <v>-</v>
      </c>
      <c r="O594" s="362" t="str">
        <f t="shared" si="725"/>
        <v>-</v>
      </c>
    </row>
    <row r="595" spans="1:15" ht="23.25" thickBot="1" x14ac:dyDescent="0.3">
      <c r="A595" s="274" t="s">
        <v>102</v>
      </c>
      <c r="B595" s="862" t="s">
        <v>43</v>
      </c>
      <c r="C595" s="863"/>
      <c r="D595" s="864"/>
      <c r="E595" s="283">
        <f>SUM(E593:E594)</f>
        <v>0</v>
      </c>
      <c r="F595" s="284">
        <v>25000</v>
      </c>
      <c r="G595" s="319">
        <f>SUM(G593:G594)</f>
        <v>0</v>
      </c>
      <c r="H595" s="320">
        <f t="shared" ref="H595:I595" si="759">SUM(H593:H594)</f>
        <v>0</v>
      </c>
      <c r="I595" s="320">
        <f t="shared" si="759"/>
        <v>0</v>
      </c>
      <c r="J595" s="343">
        <f>IFERROR(G595/F595,"-")</f>
        <v>0</v>
      </c>
      <c r="K595" s="719">
        <f t="shared" ref="K595:M595" si="760">SUM(K593:K594)</f>
        <v>18234</v>
      </c>
      <c r="L595" s="720">
        <f t="shared" si="760"/>
        <v>17920</v>
      </c>
      <c r="M595" s="720">
        <f t="shared" si="760"/>
        <v>314</v>
      </c>
      <c r="N595" s="337" t="str">
        <f t="shared" si="740"/>
        <v>-</v>
      </c>
      <c r="O595" s="343">
        <f t="shared" si="725"/>
        <v>1.7220576944170233E-2</v>
      </c>
    </row>
    <row r="596" spans="1:15" ht="23.25" thickBot="1" x14ac:dyDescent="0.3">
      <c r="A596" s="274" t="s">
        <v>102</v>
      </c>
      <c r="B596" s="856" t="s">
        <v>25</v>
      </c>
      <c r="C596" s="857"/>
      <c r="D596" s="858"/>
      <c r="E596" s="324">
        <f t="shared" ref="E596:F596" si="761">+E574+E579+E582+E588+E592+E595</f>
        <v>1272400</v>
      </c>
      <c r="F596" s="325">
        <f t="shared" si="761"/>
        <v>65800</v>
      </c>
      <c r="G596" s="324">
        <f>+G574+G579+G582+G588+G592+G595</f>
        <v>54352</v>
      </c>
      <c r="H596" s="322">
        <f>+H574+H579+H582+H588+H592+H595</f>
        <v>53760</v>
      </c>
      <c r="I596" s="322">
        <f t="shared" ref="I596" si="762">+I574+I579+I582+I588+I592+I595</f>
        <v>592</v>
      </c>
      <c r="J596" s="347">
        <f>IFERROR(G596/F596,"-")</f>
        <v>0.8260182370820669</v>
      </c>
      <c r="K596" s="324">
        <f>+K574+K579+K582+K588+K592+K595</f>
        <v>295597</v>
      </c>
      <c r="L596" s="718">
        <f t="shared" ref="L596:M596" si="763">+L574+L579+L582+L588+L592+L595</f>
        <v>291796</v>
      </c>
      <c r="M596" s="323">
        <f t="shared" si="763"/>
        <v>3801</v>
      </c>
      <c r="N596" s="339">
        <f t="shared" si="740"/>
        <v>0.23231452373467462</v>
      </c>
      <c r="O596" s="347">
        <f t="shared" si="725"/>
        <v>1.2858723194078424E-2</v>
      </c>
    </row>
    <row r="597" spans="1:15" ht="23.25" thickBot="1" x14ac:dyDescent="0.3">
      <c r="A597" s="317" t="s">
        <v>102</v>
      </c>
      <c r="B597" s="840" t="s">
        <v>173</v>
      </c>
      <c r="C597" s="840"/>
      <c r="D597" s="841"/>
      <c r="E597" s="328">
        <f>+E596</f>
        <v>1272400</v>
      </c>
      <c r="F597" s="329">
        <f t="shared" ref="F597:I597" si="764">+F596</f>
        <v>65800</v>
      </c>
      <c r="G597" s="328">
        <f t="shared" si="764"/>
        <v>54352</v>
      </c>
      <c r="H597" s="326">
        <f t="shared" si="764"/>
        <v>53760</v>
      </c>
      <c r="I597" s="326">
        <f t="shared" si="764"/>
        <v>592</v>
      </c>
      <c r="J597" s="348">
        <f>+G597/F597</f>
        <v>0.8260182370820669</v>
      </c>
      <c r="K597" s="328">
        <f t="shared" ref="K597:O597" si="765">+K596</f>
        <v>295597</v>
      </c>
      <c r="L597" s="326">
        <f t="shared" si="765"/>
        <v>291796</v>
      </c>
      <c r="M597" s="327">
        <f t="shared" si="765"/>
        <v>3801</v>
      </c>
      <c r="N597" s="340">
        <f t="shared" si="765"/>
        <v>0.23231452373467462</v>
      </c>
      <c r="O597" s="348">
        <f t="shared" si="765"/>
        <v>1.2858723194078424E-2</v>
      </c>
    </row>
    <row r="598" spans="1:15" ht="26.25" thickBot="1" x14ac:dyDescent="0.3">
      <c r="A598" s="318"/>
      <c r="B598" s="859" t="s">
        <v>174</v>
      </c>
      <c r="C598" s="860"/>
      <c r="D598" s="861"/>
      <c r="E598" s="372">
        <f>+E535+E570+E597</f>
        <v>7785572</v>
      </c>
      <c r="F598" s="372">
        <f>+F535+F570+F597</f>
        <v>914800</v>
      </c>
      <c r="G598" s="372">
        <f>+G535+G570+G597</f>
        <v>224325</v>
      </c>
      <c r="H598" s="372">
        <f>+H535+H570+H597</f>
        <v>320419</v>
      </c>
      <c r="I598" s="372">
        <f>+I535+I570+I597</f>
        <v>4303</v>
      </c>
      <c r="J598" s="373">
        <f>IFERROR(G598/F598,"-")</f>
        <v>0.24521753388718845</v>
      </c>
      <c r="K598" s="372">
        <f>+K535+K570+K597</f>
        <v>1517499</v>
      </c>
      <c r="L598" s="372">
        <f>+L535+L570+L597</f>
        <v>1494981</v>
      </c>
      <c r="M598" s="372">
        <f>+M535+M570+M597</f>
        <v>22518</v>
      </c>
      <c r="N598" s="373">
        <f>IFERROR(K598/E598,"-")</f>
        <v>0.19491169049621532</v>
      </c>
      <c r="O598" s="373">
        <f>IFERROR(M598/K598,"-")</f>
        <v>1.4838889514918956E-2</v>
      </c>
    </row>
    <row r="599" spans="1:15" ht="24.6" customHeight="1" thickBot="1" x14ac:dyDescent="0.3">
      <c r="A599" s="230"/>
      <c r="B599" s="230"/>
      <c r="C599" s="230"/>
      <c r="D599" s="230"/>
      <c r="E599" s="232"/>
      <c r="F599" s="232"/>
      <c r="G599" s="451"/>
      <c r="H599" s="452"/>
      <c r="I599" s="452"/>
      <c r="J599" s="452"/>
      <c r="K599" s="232"/>
      <c r="L599" s="232"/>
      <c r="M599" s="232"/>
      <c r="N599" s="234"/>
      <c r="O599" s="234"/>
    </row>
    <row r="600" spans="1:15" ht="22.5" x14ac:dyDescent="0.25">
      <c r="A600" s="881" t="s">
        <v>1</v>
      </c>
      <c r="B600" s="884" t="s">
        <v>2</v>
      </c>
      <c r="C600" s="887" t="s">
        <v>394</v>
      </c>
      <c r="D600" s="887" t="s">
        <v>395</v>
      </c>
      <c r="E600" s="890" t="s">
        <v>4</v>
      </c>
      <c r="F600" s="891"/>
      <c r="G600" s="891"/>
      <c r="H600" s="891"/>
      <c r="I600" s="891"/>
      <c r="J600" s="891"/>
      <c r="K600" s="891"/>
      <c r="L600" s="891"/>
      <c r="M600" s="891"/>
      <c r="N600" s="891"/>
      <c r="O600" s="892"/>
    </row>
    <row r="601" spans="1:15" ht="22.5" x14ac:dyDescent="0.25">
      <c r="A601" s="882"/>
      <c r="B601" s="885"/>
      <c r="C601" s="888"/>
      <c r="D601" s="888"/>
      <c r="E601" s="893" t="s">
        <v>7</v>
      </c>
      <c r="F601" s="895" t="s">
        <v>108</v>
      </c>
      <c r="G601" s="897" t="s">
        <v>528</v>
      </c>
      <c r="H601" s="898"/>
      <c r="I601" s="898"/>
      <c r="J601" s="899"/>
      <c r="K601" s="900" t="s">
        <v>396</v>
      </c>
      <c r="L601" s="901"/>
      <c r="M601" s="902"/>
      <c r="N601" s="903" t="s">
        <v>397</v>
      </c>
      <c r="O601" s="905" t="s">
        <v>164</v>
      </c>
    </row>
    <row r="602" spans="1:15" ht="41.25" thickBot="1" x14ac:dyDescent="0.3">
      <c r="A602" s="883"/>
      <c r="B602" s="886"/>
      <c r="C602" s="889"/>
      <c r="D602" s="889"/>
      <c r="E602" s="894"/>
      <c r="F602" s="896"/>
      <c r="G602" s="448" t="s">
        <v>13</v>
      </c>
      <c r="H602" s="449" t="s">
        <v>14</v>
      </c>
      <c r="I602" s="449" t="s">
        <v>15</v>
      </c>
      <c r="J602" s="450" t="s">
        <v>166</v>
      </c>
      <c r="K602" s="641" t="s">
        <v>13</v>
      </c>
      <c r="L602" s="639" t="s">
        <v>14</v>
      </c>
      <c r="M602" s="640" t="s">
        <v>15</v>
      </c>
      <c r="N602" s="904"/>
      <c r="O602" s="906"/>
    </row>
    <row r="603" spans="1:15" ht="24" x14ac:dyDescent="0.25">
      <c r="A603" s="268" t="s">
        <v>103</v>
      </c>
      <c r="B603" s="867" t="s">
        <v>16</v>
      </c>
      <c r="C603" s="269" t="s">
        <v>483</v>
      </c>
      <c r="D603" s="269" t="s">
        <v>367</v>
      </c>
      <c r="E603" s="270"/>
      <c r="F603" s="271"/>
      <c r="G603" s="330">
        <f>+H603+I603</f>
        <v>0</v>
      </c>
      <c r="H603" s="272">
        <v>0</v>
      </c>
      <c r="I603" s="272">
        <v>0</v>
      </c>
      <c r="J603" s="350" t="str">
        <f>IFERROR(G603/F603,"-")</f>
        <v>-</v>
      </c>
      <c r="K603" s="655">
        <f>+L603+M603</f>
        <v>0</v>
      </c>
      <c r="L603" s="522">
        <f>+H603+L485</f>
        <v>0</v>
      </c>
      <c r="M603" s="455">
        <f>+I603+M485</f>
        <v>0</v>
      </c>
      <c r="N603" s="334" t="str">
        <f>IFERROR(K603/E603,"-")</f>
        <v>-</v>
      </c>
      <c r="O603" s="341" t="str">
        <f t="shared" ref="O603:O604" si="766">IFERROR(M603/K603,"-")</f>
        <v>-</v>
      </c>
    </row>
    <row r="604" spans="1:15" ht="24" x14ac:dyDescent="0.25">
      <c r="A604" s="274" t="s">
        <v>103</v>
      </c>
      <c r="B604" s="868"/>
      <c r="C604" s="275" t="s">
        <v>533</v>
      </c>
      <c r="D604" s="275" t="s">
        <v>534</v>
      </c>
      <c r="E604" s="276"/>
      <c r="F604" s="277"/>
      <c r="G604" s="331">
        <f t="shared" ref="G604:G606" si="767">+H604+I604</f>
        <v>13029</v>
      </c>
      <c r="H604" s="278">
        <v>12800</v>
      </c>
      <c r="I604" s="278">
        <v>229</v>
      </c>
      <c r="J604" s="350" t="str">
        <f t="shared" ref="J604:J606" si="768">IFERROR(G604/F604,"-")</f>
        <v>-</v>
      </c>
      <c r="K604" s="651">
        <f t="shared" ref="K604:K606" si="769">+L604+M604</f>
        <v>13029</v>
      </c>
      <c r="L604" s="276">
        <f t="shared" ref="L604:L606" si="770">+H604+L486</f>
        <v>12800</v>
      </c>
      <c r="M604" s="432">
        <f t="shared" ref="M604:M606" si="771">+I604+M486</f>
        <v>229</v>
      </c>
      <c r="N604" s="335" t="str">
        <f t="shared" ref="N604:N606" si="772">IFERROR(K604/E604,"-")</f>
        <v>-</v>
      </c>
      <c r="O604" s="265">
        <f t="shared" si="766"/>
        <v>1.757617622227339E-2</v>
      </c>
    </row>
    <row r="605" spans="1:15" ht="24" x14ac:dyDescent="0.25">
      <c r="A605" s="274" t="s">
        <v>103</v>
      </c>
      <c r="B605" s="868"/>
      <c r="C605" s="566" t="s">
        <v>428</v>
      </c>
      <c r="D605" s="566" t="s">
        <v>364</v>
      </c>
      <c r="E605" s="680"/>
      <c r="F605" s="681"/>
      <c r="G605" s="331">
        <f t="shared" si="767"/>
        <v>0</v>
      </c>
      <c r="H605" s="682"/>
      <c r="I605" s="682"/>
      <c r="J605" s="350" t="str">
        <f t="shared" si="768"/>
        <v>-</v>
      </c>
      <c r="K605" s="651">
        <f t="shared" si="769"/>
        <v>25361</v>
      </c>
      <c r="L605" s="276">
        <f t="shared" si="770"/>
        <v>24960</v>
      </c>
      <c r="M605" s="432">
        <f t="shared" si="771"/>
        <v>401</v>
      </c>
      <c r="N605" s="335" t="str">
        <f t="shared" si="772"/>
        <v>-</v>
      </c>
      <c r="O605" s="265">
        <f>IFERROR(M605/K605,"-")</f>
        <v>1.5811679350183353E-2</v>
      </c>
    </row>
    <row r="606" spans="1:15" ht="24.75" thickBot="1" x14ac:dyDescent="0.3">
      <c r="A606" s="274" t="s">
        <v>103</v>
      </c>
      <c r="B606" s="869"/>
      <c r="C606" s="279" t="s">
        <v>426</v>
      </c>
      <c r="D606" s="279" t="s">
        <v>372</v>
      </c>
      <c r="E606" s="280">
        <v>100000</v>
      </c>
      <c r="F606" s="281"/>
      <c r="G606" s="332">
        <f t="shared" si="767"/>
        <v>0</v>
      </c>
      <c r="H606" s="272"/>
      <c r="I606" s="272"/>
      <c r="J606" s="350" t="str">
        <f t="shared" si="768"/>
        <v>-</v>
      </c>
      <c r="K606" s="652">
        <f t="shared" si="769"/>
        <v>0</v>
      </c>
      <c r="L606" s="525">
        <f t="shared" si="770"/>
        <v>0</v>
      </c>
      <c r="M606" s="458">
        <f t="shared" si="771"/>
        <v>0</v>
      </c>
      <c r="N606" s="336">
        <f t="shared" si="772"/>
        <v>0</v>
      </c>
      <c r="O606" s="342" t="str">
        <f t="shared" ref="O606:O624" si="773">IFERROR(M606/K606,"-")</f>
        <v>-</v>
      </c>
    </row>
    <row r="607" spans="1:15" ht="23.25" thickBot="1" x14ac:dyDescent="0.3">
      <c r="A607" s="274" t="s">
        <v>103</v>
      </c>
      <c r="B607" s="845" t="s">
        <v>44</v>
      </c>
      <c r="C607" s="846"/>
      <c r="D607" s="847"/>
      <c r="E607" s="319">
        <f>SUM(E603:E606)</f>
        <v>100000</v>
      </c>
      <c r="F607" s="284">
        <v>15000</v>
      </c>
      <c r="G607" s="319">
        <f>SUM(G603:G606)</f>
        <v>13029</v>
      </c>
      <c r="H607" s="320">
        <f t="shared" ref="H607:I607" si="774">SUM(H603:H606)</f>
        <v>12800</v>
      </c>
      <c r="I607" s="320">
        <f t="shared" si="774"/>
        <v>229</v>
      </c>
      <c r="J607" s="343">
        <f>+G607/F607</f>
        <v>0.86860000000000004</v>
      </c>
      <c r="K607" s="319">
        <f t="shared" ref="K607" si="775">SUM(K603:K606)</f>
        <v>38390</v>
      </c>
      <c r="L607" s="653">
        <f>SUM(L603:L606)</f>
        <v>37760</v>
      </c>
      <c r="M607" s="654">
        <f>SUM(M603:M606)</f>
        <v>630</v>
      </c>
      <c r="N607" s="337">
        <f>IFERROR(K607/E607,"-")</f>
        <v>0.38390000000000002</v>
      </c>
      <c r="O607" s="343">
        <f t="shared" si="773"/>
        <v>1.6410523573847355E-2</v>
      </c>
    </row>
    <row r="608" spans="1:15" ht="24" x14ac:dyDescent="0.25">
      <c r="A608" s="274" t="s">
        <v>103</v>
      </c>
      <c r="B608" s="867" t="s">
        <v>17</v>
      </c>
      <c r="C608" s="269" t="s">
        <v>293</v>
      </c>
      <c r="D608" s="269"/>
      <c r="E608" s="270"/>
      <c r="F608" s="271"/>
      <c r="G608" s="330">
        <f t="shared" ref="G608:G614" si="776">+H608+I608</f>
        <v>0</v>
      </c>
      <c r="H608" s="272">
        <v>0</v>
      </c>
      <c r="I608" s="272">
        <v>0</v>
      </c>
      <c r="J608" s="349" t="str">
        <f>IFERROR(G608/F608,"-")</f>
        <v>-</v>
      </c>
      <c r="K608" s="655">
        <f t="shared" ref="K608:K614" si="777">+L608+M608</f>
        <v>0</v>
      </c>
      <c r="L608" s="522">
        <f t="shared" ref="L608:L614" si="778">+H608+L490</f>
        <v>0</v>
      </c>
      <c r="M608" s="455">
        <f t="shared" ref="M608:M614" si="779">+I608+M490</f>
        <v>0</v>
      </c>
      <c r="N608" s="334" t="str">
        <f t="shared" ref="N608:N614" si="780">IFERROR(K608/E608,"-")</f>
        <v>-</v>
      </c>
      <c r="O608" s="344" t="str">
        <f t="shared" si="773"/>
        <v>-</v>
      </c>
    </row>
    <row r="609" spans="1:15" ht="24" x14ac:dyDescent="0.25">
      <c r="A609" s="274" t="s">
        <v>103</v>
      </c>
      <c r="B609" s="868"/>
      <c r="C609" s="275" t="s">
        <v>342</v>
      </c>
      <c r="D609" s="275" t="s">
        <v>231</v>
      </c>
      <c r="E609" s="276">
        <v>1400000</v>
      </c>
      <c r="F609" s="277"/>
      <c r="G609" s="331">
        <f t="shared" si="776"/>
        <v>0</v>
      </c>
      <c r="H609" s="278">
        <v>0</v>
      </c>
      <c r="I609" s="278">
        <v>0</v>
      </c>
      <c r="J609" s="349" t="str">
        <f t="shared" ref="J609:J614" si="781">IFERROR(G609/F609,"-")</f>
        <v>-</v>
      </c>
      <c r="K609" s="651">
        <f t="shared" si="777"/>
        <v>0</v>
      </c>
      <c r="L609" s="276">
        <f t="shared" si="778"/>
        <v>0</v>
      </c>
      <c r="M609" s="432">
        <f t="shared" si="779"/>
        <v>0</v>
      </c>
      <c r="N609" s="335">
        <f t="shared" si="780"/>
        <v>0</v>
      </c>
      <c r="O609" s="263" t="str">
        <f t="shared" si="773"/>
        <v>-</v>
      </c>
    </row>
    <row r="610" spans="1:15" ht="24" x14ac:dyDescent="0.25">
      <c r="A610" s="274" t="s">
        <v>103</v>
      </c>
      <c r="B610" s="868"/>
      <c r="C610" s="275" t="s">
        <v>365</v>
      </c>
      <c r="D610" s="275" t="s">
        <v>187</v>
      </c>
      <c r="E610" s="276"/>
      <c r="F610" s="277"/>
      <c r="G610" s="331">
        <f t="shared" si="776"/>
        <v>0</v>
      </c>
      <c r="H610" s="278"/>
      <c r="I610" s="278"/>
      <c r="J610" s="349" t="str">
        <f t="shared" si="781"/>
        <v>-</v>
      </c>
      <c r="K610" s="651">
        <f t="shared" si="777"/>
        <v>93023</v>
      </c>
      <c r="L610" s="276">
        <f t="shared" si="778"/>
        <v>91800</v>
      </c>
      <c r="M610" s="432">
        <f t="shared" si="779"/>
        <v>1223</v>
      </c>
      <c r="N610" s="335" t="str">
        <f t="shared" si="780"/>
        <v>-</v>
      </c>
      <c r="O610" s="263">
        <f t="shared" si="773"/>
        <v>1.3147286155036927E-2</v>
      </c>
    </row>
    <row r="611" spans="1:15" ht="24" x14ac:dyDescent="0.25">
      <c r="A611" s="274" t="s">
        <v>103</v>
      </c>
      <c r="B611" s="868"/>
      <c r="C611" s="275" t="s">
        <v>479</v>
      </c>
      <c r="D611" s="275" t="s">
        <v>478</v>
      </c>
      <c r="E611" s="276"/>
      <c r="F611" s="277"/>
      <c r="G611" s="331">
        <f t="shared" si="776"/>
        <v>0</v>
      </c>
      <c r="H611" s="278">
        <v>0</v>
      </c>
      <c r="I611" s="278">
        <v>0</v>
      </c>
      <c r="J611" s="349" t="str">
        <f t="shared" si="781"/>
        <v>-</v>
      </c>
      <c r="K611" s="651">
        <f t="shared" si="777"/>
        <v>0</v>
      </c>
      <c r="L611" s="276">
        <f t="shared" si="778"/>
        <v>0</v>
      </c>
      <c r="M611" s="432">
        <f t="shared" si="779"/>
        <v>0</v>
      </c>
      <c r="N611" s="335" t="str">
        <f t="shared" si="780"/>
        <v>-</v>
      </c>
      <c r="O611" s="263" t="str">
        <f t="shared" si="773"/>
        <v>-</v>
      </c>
    </row>
    <row r="612" spans="1:15" ht="24" x14ac:dyDescent="0.25">
      <c r="A612" s="274" t="s">
        <v>103</v>
      </c>
      <c r="B612" s="868"/>
      <c r="C612" s="275" t="s">
        <v>321</v>
      </c>
      <c r="D612" s="275" t="s">
        <v>316</v>
      </c>
      <c r="E612" s="276"/>
      <c r="F612" s="277"/>
      <c r="G612" s="331">
        <f t="shared" si="776"/>
        <v>0</v>
      </c>
      <c r="H612" s="278">
        <v>0</v>
      </c>
      <c r="I612" s="278">
        <v>0</v>
      </c>
      <c r="J612" s="349" t="str">
        <f t="shared" si="781"/>
        <v>-</v>
      </c>
      <c r="K612" s="651">
        <f t="shared" si="777"/>
        <v>0</v>
      </c>
      <c r="L612" s="276">
        <f t="shared" si="778"/>
        <v>0</v>
      </c>
      <c r="M612" s="432">
        <f t="shared" si="779"/>
        <v>0</v>
      </c>
      <c r="N612" s="335" t="str">
        <f t="shared" si="780"/>
        <v>-</v>
      </c>
      <c r="O612" s="263" t="str">
        <f t="shared" si="773"/>
        <v>-</v>
      </c>
    </row>
    <row r="613" spans="1:15" ht="24" x14ac:dyDescent="0.25">
      <c r="A613" s="274" t="s">
        <v>103</v>
      </c>
      <c r="B613" s="868"/>
      <c r="C613" s="275" t="s">
        <v>477</v>
      </c>
      <c r="D613" s="275" t="s">
        <v>189</v>
      </c>
      <c r="E613" s="276"/>
      <c r="F613" s="277"/>
      <c r="G613" s="331">
        <f t="shared" si="776"/>
        <v>0</v>
      </c>
      <c r="H613" s="278">
        <v>0</v>
      </c>
      <c r="I613" s="278">
        <v>0</v>
      </c>
      <c r="J613" s="349" t="str">
        <f t="shared" si="781"/>
        <v>-</v>
      </c>
      <c r="K613" s="651">
        <f t="shared" si="777"/>
        <v>0</v>
      </c>
      <c r="L613" s="276">
        <f t="shared" si="778"/>
        <v>0</v>
      </c>
      <c r="M613" s="432">
        <f t="shared" si="779"/>
        <v>0</v>
      </c>
      <c r="N613" s="335" t="str">
        <f t="shared" si="780"/>
        <v>-</v>
      </c>
      <c r="O613" s="263" t="str">
        <f t="shared" si="773"/>
        <v>-</v>
      </c>
    </row>
    <row r="614" spans="1:15" ht="24.75" thickBot="1" x14ac:dyDescent="0.3">
      <c r="A614" s="274" t="s">
        <v>103</v>
      </c>
      <c r="B614" s="869"/>
      <c r="C614" s="279" t="s">
        <v>339</v>
      </c>
      <c r="D614" s="279" t="s">
        <v>231</v>
      </c>
      <c r="E614" s="280"/>
      <c r="F614" s="281"/>
      <c r="G614" s="332">
        <f t="shared" si="776"/>
        <v>0</v>
      </c>
      <c r="H614" s="278">
        <v>0</v>
      </c>
      <c r="I614" s="278">
        <v>0</v>
      </c>
      <c r="J614" s="349" t="str">
        <f t="shared" si="781"/>
        <v>-</v>
      </c>
      <c r="K614" s="652">
        <f t="shared" si="777"/>
        <v>0</v>
      </c>
      <c r="L614" s="525">
        <f t="shared" si="778"/>
        <v>0</v>
      </c>
      <c r="M614" s="458">
        <f t="shared" si="779"/>
        <v>0</v>
      </c>
      <c r="N614" s="336" t="str">
        <f t="shared" si="780"/>
        <v>-</v>
      </c>
      <c r="O614" s="345" t="str">
        <f t="shared" si="773"/>
        <v>-</v>
      </c>
    </row>
    <row r="615" spans="1:15" ht="23.25" thickBot="1" x14ac:dyDescent="0.3">
      <c r="A615" s="274" t="s">
        <v>103</v>
      </c>
      <c r="B615" s="845" t="s">
        <v>45</v>
      </c>
      <c r="C615" s="846"/>
      <c r="D615" s="847"/>
      <c r="E615" s="319">
        <f>SUM(E608:E614)</f>
        <v>1400000</v>
      </c>
      <c r="F615" s="284">
        <v>100000</v>
      </c>
      <c r="G615" s="319">
        <f>SUM(G608:G614)</f>
        <v>0</v>
      </c>
      <c r="H615" s="320">
        <f t="shared" ref="H615:I615" si="782">SUM(H608:H614)</f>
        <v>0</v>
      </c>
      <c r="I615" s="320">
        <f t="shared" si="782"/>
        <v>0</v>
      </c>
      <c r="J615" s="343">
        <f>+G615/F615</f>
        <v>0</v>
      </c>
      <c r="K615" s="319">
        <f>SUM(K608:K614)</f>
        <v>93023</v>
      </c>
      <c r="L615" s="515">
        <f>SUM(L608:L614)</f>
        <v>91800</v>
      </c>
      <c r="M615" s="650">
        <f t="shared" ref="M615" si="783">SUM(M608:M614)</f>
        <v>1223</v>
      </c>
      <c r="N615" s="337">
        <f>IFERROR(K615/E615,"-")</f>
        <v>6.6445000000000004E-2</v>
      </c>
      <c r="O615" s="343">
        <f t="shared" si="773"/>
        <v>1.3147286155036927E-2</v>
      </c>
    </row>
    <row r="616" spans="1:15" ht="24" x14ac:dyDescent="0.25">
      <c r="A616" s="274" t="s">
        <v>103</v>
      </c>
      <c r="B616" s="867" t="s">
        <v>18</v>
      </c>
      <c r="C616" s="269" t="s">
        <v>311</v>
      </c>
      <c r="D616" s="269" t="s">
        <v>92</v>
      </c>
      <c r="E616" s="270"/>
      <c r="F616" s="271"/>
      <c r="G616" s="330">
        <f t="shared" ref="G616:G622" si="784">+H616+I616</f>
        <v>0</v>
      </c>
      <c r="H616" s="272">
        <v>0</v>
      </c>
      <c r="I616" s="272">
        <v>0</v>
      </c>
      <c r="J616" s="349" t="str">
        <f>IFERROR(G616/F616,"-")</f>
        <v>-</v>
      </c>
      <c r="K616" s="330">
        <f t="shared" ref="K616:K622" si="785">+L616+M616</f>
        <v>0</v>
      </c>
      <c r="L616" s="272">
        <f t="shared" ref="L616:L622" si="786">+H616+L498</f>
        <v>0</v>
      </c>
      <c r="M616" s="273">
        <f t="shared" ref="M616:M622" si="787">+I616+M498</f>
        <v>0</v>
      </c>
      <c r="N616" s="334" t="str">
        <f t="shared" ref="N616:N623" si="788">IFERROR(K616/E616,"-")</f>
        <v>-</v>
      </c>
      <c r="O616" s="344" t="str">
        <f t="shared" si="773"/>
        <v>-</v>
      </c>
    </row>
    <row r="617" spans="1:15" ht="24" x14ac:dyDescent="0.25">
      <c r="A617" s="274" t="s">
        <v>103</v>
      </c>
      <c r="B617" s="868"/>
      <c r="C617" s="275" t="s">
        <v>232</v>
      </c>
      <c r="D617" s="275" t="s">
        <v>233</v>
      </c>
      <c r="E617" s="276"/>
      <c r="F617" s="277"/>
      <c r="G617" s="331">
        <f t="shared" si="784"/>
        <v>0</v>
      </c>
      <c r="H617" s="278">
        <v>0</v>
      </c>
      <c r="I617" s="278">
        <v>0</v>
      </c>
      <c r="J617" s="349" t="str">
        <f t="shared" ref="J617:J622" si="789">IFERROR(G617/F617,"-")</f>
        <v>-</v>
      </c>
      <c r="K617" s="331">
        <f t="shared" si="785"/>
        <v>0</v>
      </c>
      <c r="L617" s="272">
        <f t="shared" si="786"/>
        <v>0</v>
      </c>
      <c r="M617" s="273">
        <f t="shared" si="787"/>
        <v>0</v>
      </c>
      <c r="N617" s="335" t="str">
        <f t="shared" si="788"/>
        <v>-</v>
      </c>
      <c r="O617" s="263" t="str">
        <f t="shared" si="773"/>
        <v>-</v>
      </c>
    </row>
    <row r="618" spans="1:15" ht="24" x14ac:dyDescent="0.25">
      <c r="A618" s="274" t="s">
        <v>103</v>
      </c>
      <c r="B618" s="868"/>
      <c r="C618" s="275" t="s">
        <v>115</v>
      </c>
      <c r="D618" s="275"/>
      <c r="E618" s="276"/>
      <c r="F618" s="277"/>
      <c r="G618" s="331">
        <f t="shared" si="784"/>
        <v>0</v>
      </c>
      <c r="H618" s="278">
        <v>0</v>
      </c>
      <c r="I618" s="278">
        <v>0</v>
      </c>
      <c r="J618" s="349" t="str">
        <f t="shared" si="789"/>
        <v>-</v>
      </c>
      <c r="K618" s="331">
        <f t="shared" si="785"/>
        <v>0</v>
      </c>
      <c r="L618" s="272">
        <f t="shared" si="786"/>
        <v>0</v>
      </c>
      <c r="M618" s="273">
        <f t="shared" si="787"/>
        <v>0</v>
      </c>
      <c r="N618" s="335" t="str">
        <f t="shared" si="788"/>
        <v>-</v>
      </c>
      <c r="O618" s="263" t="str">
        <f t="shared" si="773"/>
        <v>-</v>
      </c>
    </row>
    <row r="619" spans="1:15" ht="24" x14ac:dyDescent="0.25">
      <c r="A619" s="274" t="s">
        <v>103</v>
      </c>
      <c r="B619" s="868"/>
      <c r="C619" s="275" t="s">
        <v>122</v>
      </c>
      <c r="D619" s="275"/>
      <c r="E619" s="276"/>
      <c r="F619" s="277"/>
      <c r="G619" s="331">
        <f t="shared" si="784"/>
        <v>0</v>
      </c>
      <c r="H619" s="278">
        <v>0</v>
      </c>
      <c r="I619" s="278">
        <v>0</v>
      </c>
      <c r="J619" s="349" t="str">
        <f t="shared" si="789"/>
        <v>-</v>
      </c>
      <c r="K619" s="331">
        <f t="shared" si="785"/>
        <v>0</v>
      </c>
      <c r="L619" s="272">
        <f t="shared" si="786"/>
        <v>0</v>
      </c>
      <c r="M619" s="273">
        <f t="shared" si="787"/>
        <v>0</v>
      </c>
      <c r="N619" s="335" t="str">
        <f t="shared" si="788"/>
        <v>-</v>
      </c>
      <c r="O619" s="263" t="str">
        <f t="shared" si="773"/>
        <v>-</v>
      </c>
    </row>
    <row r="620" spans="1:15" ht="24" x14ac:dyDescent="0.25">
      <c r="A620" s="274" t="s">
        <v>103</v>
      </c>
      <c r="B620" s="868"/>
      <c r="C620" s="275" t="s">
        <v>176</v>
      </c>
      <c r="D620" s="275" t="s">
        <v>177</v>
      </c>
      <c r="E620" s="276"/>
      <c r="F620" s="277"/>
      <c r="G620" s="331">
        <f t="shared" si="784"/>
        <v>0</v>
      </c>
      <c r="H620" s="278">
        <v>0</v>
      </c>
      <c r="I620" s="278">
        <v>0</v>
      </c>
      <c r="J620" s="349" t="str">
        <f t="shared" si="789"/>
        <v>-</v>
      </c>
      <c r="K620" s="331">
        <f t="shared" si="785"/>
        <v>0</v>
      </c>
      <c r="L620" s="272">
        <f t="shared" si="786"/>
        <v>0</v>
      </c>
      <c r="M620" s="273">
        <f t="shared" si="787"/>
        <v>0</v>
      </c>
      <c r="N620" s="335" t="str">
        <f t="shared" si="788"/>
        <v>-</v>
      </c>
      <c r="O620" s="263" t="str">
        <f t="shared" si="773"/>
        <v>-</v>
      </c>
    </row>
    <row r="621" spans="1:15" ht="24" x14ac:dyDescent="0.25">
      <c r="A621" s="274" t="s">
        <v>103</v>
      </c>
      <c r="B621" s="868"/>
      <c r="C621" s="275" t="s">
        <v>179</v>
      </c>
      <c r="D621" s="275" t="s">
        <v>178</v>
      </c>
      <c r="E621" s="276"/>
      <c r="F621" s="277"/>
      <c r="G621" s="331">
        <f t="shared" si="784"/>
        <v>0</v>
      </c>
      <c r="H621" s="278">
        <v>0</v>
      </c>
      <c r="I621" s="278">
        <v>0</v>
      </c>
      <c r="J621" s="349" t="str">
        <f t="shared" si="789"/>
        <v>-</v>
      </c>
      <c r="K621" s="331">
        <f t="shared" si="785"/>
        <v>0</v>
      </c>
      <c r="L621" s="272">
        <f t="shared" si="786"/>
        <v>0</v>
      </c>
      <c r="M621" s="273">
        <f t="shared" si="787"/>
        <v>0</v>
      </c>
      <c r="N621" s="335" t="str">
        <f t="shared" si="788"/>
        <v>-</v>
      </c>
      <c r="O621" s="263" t="str">
        <f t="shared" si="773"/>
        <v>-</v>
      </c>
    </row>
    <row r="622" spans="1:15" ht="24.75" thickBot="1" x14ac:dyDescent="0.3">
      <c r="A622" s="274" t="s">
        <v>103</v>
      </c>
      <c r="B622" s="869"/>
      <c r="C622" s="285" t="s">
        <v>180</v>
      </c>
      <c r="D622" s="285" t="s">
        <v>535</v>
      </c>
      <c r="E622" s="280"/>
      <c r="F622" s="281"/>
      <c r="G622" s="332">
        <f t="shared" si="784"/>
        <v>4058</v>
      </c>
      <c r="H622" s="282">
        <v>3978</v>
      </c>
      <c r="I622" s="282">
        <v>80</v>
      </c>
      <c r="J622" s="349" t="str">
        <f t="shared" si="789"/>
        <v>-</v>
      </c>
      <c r="K622" s="332">
        <f t="shared" si="785"/>
        <v>4058</v>
      </c>
      <c r="L622" s="272">
        <f t="shared" si="786"/>
        <v>3978</v>
      </c>
      <c r="M622" s="273">
        <f t="shared" si="787"/>
        <v>80</v>
      </c>
      <c r="N622" s="336" t="str">
        <f t="shared" si="788"/>
        <v>-</v>
      </c>
      <c r="O622" s="345">
        <f t="shared" si="773"/>
        <v>1.9714144898965006E-2</v>
      </c>
    </row>
    <row r="623" spans="1:15" ht="23.25" thickBot="1" x14ac:dyDescent="0.3">
      <c r="A623" s="274" t="s">
        <v>103</v>
      </c>
      <c r="B623" s="845" t="s">
        <v>29</v>
      </c>
      <c r="C623" s="870"/>
      <c r="D623" s="871"/>
      <c r="E623" s="364">
        <f t="shared" ref="E623" si="790">SUM(E616:E622)</f>
        <v>0</v>
      </c>
      <c r="F623" s="306">
        <v>80000</v>
      </c>
      <c r="G623" s="364">
        <f>SUM(G616:G622)</f>
        <v>4058</v>
      </c>
      <c r="H623" s="363">
        <f t="shared" ref="H623:I623" si="791">SUM(H616:H622)</f>
        <v>3978</v>
      </c>
      <c r="I623" s="363">
        <f t="shared" si="791"/>
        <v>80</v>
      </c>
      <c r="J623" s="354">
        <f>+G623/F623</f>
        <v>5.0724999999999999E-2</v>
      </c>
      <c r="K623" s="364">
        <f t="shared" ref="K623" si="792">SUM(K616:K622)</f>
        <v>4058</v>
      </c>
      <c r="L623" s="363">
        <f>SUM(L616:L622)</f>
        <v>3978</v>
      </c>
      <c r="M623" s="365">
        <f t="shared" ref="M623" si="793">SUM(M616:M622)</f>
        <v>80</v>
      </c>
      <c r="N623" s="353" t="str">
        <f t="shared" si="788"/>
        <v>-</v>
      </c>
      <c r="O623" s="354">
        <f t="shared" si="773"/>
        <v>1.9714144898965006E-2</v>
      </c>
    </row>
    <row r="624" spans="1:15" ht="24" x14ac:dyDescent="0.25">
      <c r="A624" s="252" t="s">
        <v>103</v>
      </c>
      <c r="B624" s="872" t="s">
        <v>19</v>
      </c>
      <c r="C624" s="634" t="s">
        <v>234</v>
      </c>
      <c r="D624" s="734" t="s">
        <v>177</v>
      </c>
      <c r="E624" s="745"/>
      <c r="F624" s="725">
        <v>110000</v>
      </c>
      <c r="G624" s="453">
        <f t="shared" ref="G624:G630" si="794">+H624+I624</f>
        <v>0</v>
      </c>
      <c r="H624" s="454">
        <v>0</v>
      </c>
      <c r="I624" s="454">
        <v>0</v>
      </c>
      <c r="J624" s="526">
        <f>IFERROR(G624/F624,"-")</f>
        <v>0</v>
      </c>
      <c r="K624" s="729">
        <f>+L624+M624</f>
        <v>76414</v>
      </c>
      <c r="L624" s="522">
        <f t="shared" ref="L624:L630" si="795">+H624+L506</f>
        <v>76032</v>
      </c>
      <c r="M624" s="725">
        <f t="shared" ref="M624:M630" si="796">+I624+M506</f>
        <v>382</v>
      </c>
      <c r="N624" s="626" t="str">
        <f>IFERROR(K624/E624,"-")</f>
        <v>-</v>
      </c>
      <c r="O624" s="627">
        <f t="shared" si="773"/>
        <v>4.9990839374983642E-3</v>
      </c>
    </row>
    <row r="625" spans="1:15" ht="24" x14ac:dyDescent="0.25">
      <c r="A625" s="252"/>
      <c r="B625" s="873"/>
      <c r="C625" s="727" t="s">
        <v>375</v>
      </c>
      <c r="D625" s="733" t="s">
        <v>421</v>
      </c>
      <c r="E625" s="507">
        <v>1000000</v>
      </c>
      <c r="F625" s="277"/>
      <c r="G625" s="331">
        <f t="shared" si="794"/>
        <v>0</v>
      </c>
      <c r="H625" s="278">
        <v>0</v>
      </c>
      <c r="I625" s="278">
        <v>0</v>
      </c>
      <c r="J625" s="350" t="str">
        <f t="shared" ref="J625:J630" si="797">IFERROR(G625/F625,"-")</f>
        <v>-</v>
      </c>
      <c r="K625" s="730">
        <f>+L625+M625</f>
        <v>0</v>
      </c>
      <c r="L625" s="276">
        <f t="shared" si="795"/>
        <v>0</v>
      </c>
      <c r="M625" s="277">
        <f t="shared" si="796"/>
        <v>0</v>
      </c>
      <c r="N625" s="723">
        <f t="shared" ref="N625:N630" si="798">IFERROR(K625/E625,"-")</f>
        <v>0</v>
      </c>
      <c r="O625" s="263" t="str">
        <f>IFERROR(M625/K625,"-")</f>
        <v>-</v>
      </c>
    </row>
    <row r="626" spans="1:15" ht="24" x14ac:dyDescent="0.25">
      <c r="A626" s="252"/>
      <c r="B626" s="873"/>
      <c r="C626" s="727" t="s">
        <v>234</v>
      </c>
      <c r="D626" s="733" t="s">
        <v>476</v>
      </c>
      <c r="E626" s="507"/>
      <c r="F626" s="277"/>
      <c r="G626" s="331">
        <f t="shared" si="794"/>
        <v>42415</v>
      </c>
      <c r="H626" s="278">
        <v>42240</v>
      </c>
      <c r="I626" s="278">
        <v>175</v>
      </c>
      <c r="J626" s="350" t="str">
        <f t="shared" si="797"/>
        <v>-</v>
      </c>
      <c r="K626" s="730">
        <f t="shared" ref="K626:K629" si="799">+L626+M626</f>
        <v>42415</v>
      </c>
      <c r="L626" s="276">
        <f t="shared" si="795"/>
        <v>42240</v>
      </c>
      <c r="M626" s="277">
        <f t="shared" si="796"/>
        <v>175</v>
      </c>
      <c r="N626" s="723" t="str">
        <f t="shared" si="798"/>
        <v>-</v>
      </c>
      <c r="O626" s="263">
        <f t="shared" ref="O626:O687" si="800">IFERROR(M626/K626,"-")</f>
        <v>4.1258988565366023E-3</v>
      </c>
    </row>
    <row r="627" spans="1:15" ht="24" x14ac:dyDescent="0.25">
      <c r="A627" s="252"/>
      <c r="B627" s="873"/>
      <c r="C627" s="727" t="s">
        <v>375</v>
      </c>
      <c r="D627" s="733" t="s">
        <v>476</v>
      </c>
      <c r="E627" s="507"/>
      <c r="F627" s="277"/>
      <c r="G627" s="331">
        <f t="shared" si="794"/>
        <v>0</v>
      </c>
      <c r="H627" s="278">
        <v>0</v>
      </c>
      <c r="I627" s="278">
        <v>0</v>
      </c>
      <c r="J627" s="350" t="str">
        <f t="shared" si="797"/>
        <v>-</v>
      </c>
      <c r="K627" s="730">
        <f t="shared" si="799"/>
        <v>0</v>
      </c>
      <c r="L627" s="276">
        <f t="shared" si="795"/>
        <v>0</v>
      </c>
      <c r="M627" s="277">
        <f t="shared" si="796"/>
        <v>0</v>
      </c>
      <c r="N627" s="723" t="str">
        <f t="shared" si="798"/>
        <v>-</v>
      </c>
      <c r="O627" s="263" t="str">
        <f t="shared" si="800"/>
        <v>-</v>
      </c>
    </row>
    <row r="628" spans="1:15" ht="24" x14ac:dyDescent="0.25">
      <c r="A628" s="252"/>
      <c r="B628" s="873"/>
      <c r="C628" s="727" t="s">
        <v>484</v>
      </c>
      <c r="D628" s="733" t="s">
        <v>476</v>
      </c>
      <c r="E628" s="507"/>
      <c r="F628" s="277"/>
      <c r="G628" s="331">
        <f t="shared" si="794"/>
        <v>13590</v>
      </c>
      <c r="H628" s="278">
        <v>13450</v>
      </c>
      <c r="I628" s="278">
        <v>140</v>
      </c>
      <c r="J628" s="350" t="str">
        <f t="shared" si="797"/>
        <v>-</v>
      </c>
      <c r="K628" s="730">
        <f t="shared" si="799"/>
        <v>48196</v>
      </c>
      <c r="L628" s="276">
        <f t="shared" si="795"/>
        <v>47242</v>
      </c>
      <c r="M628" s="277">
        <f t="shared" si="796"/>
        <v>954</v>
      </c>
      <c r="N628" s="723" t="str">
        <f t="shared" si="798"/>
        <v>-</v>
      </c>
      <c r="O628" s="263">
        <f t="shared" si="800"/>
        <v>1.9794173790356046E-2</v>
      </c>
    </row>
    <row r="629" spans="1:15" ht="24" x14ac:dyDescent="0.25">
      <c r="A629" s="252"/>
      <c r="B629" s="873"/>
      <c r="C629" s="727"/>
      <c r="D629" s="733"/>
      <c r="E629" s="507"/>
      <c r="F629" s="277"/>
      <c r="G629" s="331">
        <f t="shared" si="794"/>
        <v>0</v>
      </c>
      <c r="H629" s="278">
        <v>0</v>
      </c>
      <c r="I629" s="278">
        <v>0</v>
      </c>
      <c r="J629" s="350" t="str">
        <f t="shared" si="797"/>
        <v>-</v>
      </c>
      <c r="K629" s="730">
        <f t="shared" si="799"/>
        <v>0</v>
      </c>
      <c r="L629" s="276">
        <f t="shared" si="795"/>
        <v>0</v>
      </c>
      <c r="M629" s="277">
        <f t="shared" si="796"/>
        <v>0</v>
      </c>
      <c r="N629" s="723" t="str">
        <f t="shared" si="798"/>
        <v>-</v>
      </c>
      <c r="O629" s="263" t="str">
        <f t="shared" si="800"/>
        <v>-</v>
      </c>
    </row>
    <row r="630" spans="1:15" ht="24.75" thickBot="1" x14ac:dyDescent="0.3">
      <c r="A630" s="252"/>
      <c r="B630" s="874"/>
      <c r="C630" s="635" t="s">
        <v>340</v>
      </c>
      <c r="D630" s="735"/>
      <c r="E630" s="746">
        <v>150000</v>
      </c>
      <c r="F630" s="726"/>
      <c r="G630" s="456">
        <f t="shared" si="794"/>
        <v>0</v>
      </c>
      <c r="H630" s="457">
        <v>0</v>
      </c>
      <c r="I630" s="457">
        <v>0</v>
      </c>
      <c r="J630" s="527" t="str">
        <f t="shared" si="797"/>
        <v>-</v>
      </c>
      <c r="K630" s="731">
        <f>+L630+M630</f>
        <v>0</v>
      </c>
      <c r="L630" s="525">
        <f t="shared" si="795"/>
        <v>0</v>
      </c>
      <c r="M630" s="726">
        <f t="shared" si="796"/>
        <v>0</v>
      </c>
      <c r="N630" s="724">
        <f t="shared" si="798"/>
        <v>0</v>
      </c>
      <c r="O630" s="264" t="str">
        <f t="shared" si="800"/>
        <v>-</v>
      </c>
    </row>
    <row r="631" spans="1:15" ht="23.25" thickBot="1" x14ac:dyDescent="0.3">
      <c r="A631" s="274" t="s">
        <v>103</v>
      </c>
      <c r="B631" s="875" t="s">
        <v>46</v>
      </c>
      <c r="C631" s="876"/>
      <c r="D631" s="877"/>
      <c r="E631" s="509">
        <f>SUM(E624:E630)</f>
        <v>1150000</v>
      </c>
      <c r="F631" s="728">
        <f t="shared" ref="F631" si="801">SUM(F624)</f>
        <v>110000</v>
      </c>
      <c r="G631" s="509">
        <f>SUM(G624:G630)</f>
        <v>56005</v>
      </c>
      <c r="H631" s="515">
        <f>SUM(H624:H630)</f>
        <v>55690</v>
      </c>
      <c r="I631" s="515">
        <f>SUM(I624:I630)</f>
        <v>315</v>
      </c>
      <c r="J631" s="516">
        <f>+G631/F631</f>
        <v>0.50913636363636361</v>
      </c>
      <c r="K631" s="722">
        <f>SUM(K624:K630)</f>
        <v>167025</v>
      </c>
      <c r="L631" s="515">
        <f>SUM(L624:L630)</f>
        <v>165514</v>
      </c>
      <c r="M631" s="650">
        <f>SUM(M624:M630)</f>
        <v>1511</v>
      </c>
      <c r="N631" s="517">
        <f>IFERROR(K631/E631,"-")</f>
        <v>0.14523913043478262</v>
      </c>
      <c r="O631" s="516">
        <f t="shared" si="800"/>
        <v>9.0465499176769944E-3</v>
      </c>
    </row>
    <row r="632" spans="1:15" ht="24" x14ac:dyDescent="0.25">
      <c r="A632" s="274" t="s">
        <v>103</v>
      </c>
      <c r="B632" s="867" t="s">
        <v>20</v>
      </c>
      <c r="C632" s="290" t="s">
        <v>486</v>
      </c>
      <c r="D632" s="757" t="s">
        <v>288</v>
      </c>
      <c r="E632" s="270">
        <v>500000</v>
      </c>
      <c r="F632" s="271"/>
      <c r="G632" s="330">
        <f t="shared" ref="G632:G634" si="802">+H632+I632</f>
        <v>0</v>
      </c>
      <c r="H632" s="272"/>
      <c r="I632" s="272"/>
      <c r="J632" s="349" t="str">
        <f>IFERROR(G632/F632,"-")</f>
        <v>-</v>
      </c>
      <c r="K632" s="330">
        <f t="shared" ref="K632:K634" si="803">+L632+M632</f>
        <v>22641</v>
      </c>
      <c r="L632" s="272">
        <f t="shared" ref="L632:L634" si="804">+H632+L514</f>
        <v>22464</v>
      </c>
      <c r="M632" s="273">
        <f t="shared" ref="M632:M634" si="805">+I632+M514</f>
        <v>177</v>
      </c>
      <c r="N632" s="334">
        <f t="shared" ref="N632:N635" si="806">IFERROR(K632/E632,"-")</f>
        <v>4.5282000000000003E-2</v>
      </c>
      <c r="O632" s="344">
        <f t="shared" si="800"/>
        <v>7.8176758977076977E-3</v>
      </c>
    </row>
    <row r="633" spans="1:15" ht="24" x14ac:dyDescent="0.25">
      <c r="A633" s="274" t="s">
        <v>103</v>
      </c>
      <c r="B633" s="868"/>
      <c r="C633" s="291" t="s">
        <v>114</v>
      </c>
      <c r="D633" s="291"/>
      <c r="E633" s="276"/>
      <c r="F633" s="277"/>
      <c r="G633" s="331">
        <f t="shared" si="802"/>
        <v>0</v>
      </c>
      <c r="H633" s="278">
        <v>0</v>
      </c>
      <c r="I633" s="278">
        <v>0</v>
      </c>
      <c r="J633" s="349" t="str">
        <f t="shared" ref="J633:J634" si="807">IFERROR(G633/F633,"-")</f>
        <v>-</v>
      </c>
      <c r="K633" s="331">
        <f t="shared" si="803"/>
        <v>0</v>
      </c>
      <c r="L633" s="272">
        <f t="shared" si="804"/>
        <v>0</v>
      </c>
      <c r="M633" s="273">
        <f t="shared" si="805"/>
        <v>0</v>
      </c>
      <c r="N633" s="335" t="str">
        <f t="shared" si="806"/>
        <v>-</v>
      </c>
      <c r="O633" s="263" t="str">
        <f t="shared" si="800"/>
        <v>-</v>
      </c>
    </row>
    <row r="634" spans="1:15" ht="24.75" thickBot="1" x14ac:dyDescent="0.3">
      <c r="A634" s="274" t="s">
        <v>103</v>
      </c>
      <c r="B634" s="869"/>
      <c r="C634" s="292" t="s">
        <v>120</v>
      </c>
      <c r="D634" s="292"/>
      <c r="E634" s="280"/>
      <c r="F634" s="281"/>
      <c r="G634" s="332">
        <f t="shared" si="802"/>
        <v>0</v>
      </c>
      <c r="H634" s="282">
        <v>0</v>
      </c>
      <c r="I634" s="282">
        <v>0</v>
      </c>
      <c r="J634" s="349" t="str">
        <f t="shared" si="807"/>
        <v>-</v>
      </c>
      <c r="K634" s="332">
        <f t="shared" si="803"/>
        <v>0</v>
      </c>
      <c r="L634" s="272">
        <f t="shared" si="804"/>
        <v>0</v>
      </c>
      <c r="M634" s="273">
        <f t="shared" si="805"/>
        <v>0</v>
      </c>
      <c r="N634" s="336" t="str">
        <f t="shared" si="806"/>
        <v>-</v>
      </c>
      <c r="O634" s="345" t="str">
        <f t="shared" si="800"/>
        <v>-</v>
      </c>
    </row>
    <row r="635" spans="1:15" ht="23.25" thickBot="1" x14ac:dyDescent="0.3">
      <c r="A635" s="274" t="s">
        <v>103</v>
      </c>
      <c r="B635" s="846" t="s">
        <v>47</v>
      </c>
      <c r="C635" s="846"/>
      <c r="D635" s="878"/>
      <c r="E635" s="319">
        <f t="shared" ref="E635" si="808">SUM(E632:E634)</f>
        <v>500000</v>
      </c>
      <c r="F635" s="284">
        <v>50000</v>
      </c>
      <c r="G635" s="319">
        <f>SUM(G632:G634)</f>
        <v>0</v>
      </c>
      <c r="H635" s="320">
        <f t="shared" ref="H635:I635" si="809">SUM(H632:H634)</f>
        <v>0</v>
      </c>
      <c r="I635" s="320">
        <f t="shared" si="809"/>
        <v>0</v>
      </c>
      <c r="J635" s="343">
        <f>+G635/F635</f>
        <v>0</v>
      </c>
      <c r="K635" s="319">
        <f t="shared" ref="K635:M635" si="810">SUM(K632:K634)</f>
        <v>22641</v>
      </c>
      <c r="L635" s="320">
        <f t="shared" si="810"/>
        <v>22464</v>
      </c>
      <c r="M635" s="321">
        <f t="shared" si="810"/>
        <v>177</v>
      </c>
      <c r="N635" s="337">
        <f t="shared" si="806"/>
        <v>4.5282000000000003E-2</v>
      </c>
      <c r="O635" s="343">
        <f t="shared" si="800"/>
        <v>7.8176758977076977E-3</v>
      </c>
    </row>
    <row r="636" spans="1:15" ht="23.25" thickBot="1" x14ac:dyDescent="0.3">
      <c r="A636" s="274" t="s">
        <v>103</v>
      </c>
      <c r="B636" s="853" t="s">
        <v>21</v>
      </c>
      <c r="C636" s="854"/>
      <c r="D636" s="855"/>
      <c r="E636" s="324">
        <f>+E607+E615+E623+E631+E635</f>
        <v>3150000</v>
      </c>
      <c r="F636" s="325">
        <f>+F607+F615+F623+F631+F635</f>
        <v>355000</v>
      </c>
      <c r="G636" s="324">
        <f>+G607+G615+G623+G631+G635</f>
        <v>73092</v>
      </c>
      <c r="H636" s="322">
        <f>+H607+H615+H623+H631+H635</f>
        <v>72468</v>
      </c>
      <c r="I636" s="322">
        <f>+I607+I615+I623+I631+I635</f>
        <v>624</v>
      </c>
      <c r="J636" s="347">
        <f>+G636/F636</f>
        <v>0.20589295774647887</v>
      </c>
      <c r="K636" s="324">
        <f>+K607+K615+K623+K631+K635</f>
        <v>325137</v>
      </c>
      <c r="L636" s="322">
        <f>+L607+L615+L623+L631+L635</f>
        <v>321516</v>
      </c>
      <c r="M636" s="323">
        <f>+M607+M615+M623+M631+M635</f>
        <v>3621</v>
      </c>
      <c r="N636" s="339">
        <f>IFERROR(K636/E636,"-")</f>
        <v>0.10321809523809523</v>
      </c>
      <c r="O636" s="347">
        <f t="shared" si="800"/>
        <v>1.1136843853514057E-2</v>
      </c>
    </row>
    <row r="637" spans="1:15" ht="24" x14ac:dyDescent="0.25">
      <c r="A637" s="274" t="s">
        <v>103</v>
      </c>
      <c r="B637" s="867" t="s">
        <v>398</v>
      </c>
      <c r="C637" s="269" t="s">
        <v>125</v>
      </c>
      <c r="D637" s="269"/>
      <c r="E637" s="270"/>
      <c r="F637" s="271"/>
      <c r="G637" s="330">
        <f t="shared" ref="G637:G640" si="811">+H637+I637</f>
        <v>0</v>
      </c>
      <c r="H637" s="272">
        <v>0</v>
      </c>
      <c r="I637" s="272">
        <v>0</v>
      </c>
      <c r="J637" s="349" t="str">
        <f>IFERROR(G637/F637,"-")</f>
        <v>-</v>
      </c>
      <c r="K637" s="330">
        <f t="shared" ref="K637:K640" si="812">+L637+M637</f>
        <v>0</v>
      </c>
      <c r="L637" s="272">
        <f t="shared" ref="L637:L640" si="813">+H637+L519</f>
        <v>0</v>
      </c>
      <c r="M637" s="273">
        <f t="shared" ref="M637:M640" si="814">+I637+M519</f>
        <v>0</v>
      </c>
      <c r="N637" s="334" t="str">
        <f t="shared" ref="N637:N652" si="815">IFERROR(K637/E637,"-")</f>
        <v>-</v>
      </c>
      <c r="O637" s="344" t="str">
        <f t="shared" si="800"/>
        <v>-</v>
      </c>
    </row>
    <row r="638" spans="1:15" ht="24" x14ac:dyDescent="0.25">
      <c r="A638" s="274" t="s">
        <v>103</v>
      </c>
      <c r="B638" s="868"/>
      <c r="C638" s="294" t="s">
        <v>262</v>
      </c>
      <c r="D638" s="294" t="s">
        <v>181</v>
      </c>
      <c r="E638" s="276"/>
      <c r="F638" s="277"/>
      <c r="G638" s="331">
        <f t="shared" si="811"/>
        <v>0</v>
      </c>
      <c r="H638" s="278">
        <v>0</v>
      </c>
      <c r="I638" s="278">
        <v>0</v>
      </c>
      <c r="J638" s="349" t="str">
        <f t="shared" ref="J638:J640" si="816">IFERROR(G638/F638,"-")</f>
        <v>-</v>
      </c>
      <c r="K638" s="331">
        <f t="shared" si="812"/>
        <v>0</v>
      </c>
      <c r="L638" s="272">
        <f t="shared" si="813"/>
        <v>0</v>
      </c>
      <c r="M638" s="273">
        <f t="shared" si="814"/>
        <v>0</v>
      </c>
      <c r="N638" s="335" t="str">
        <f t="shared" si="815"/>
        <v>-</v>
      </c>
      <c r="O638" s="263" t="str">
        <f t="shared" si="800"/>
        <v>-</v>
      </c>
    </row>
    <row r="639" spans="1:15" ht="24" x14ac:dyDescent="0.25">
      <c r="A639" s="274" t="s">
        <v>103</v>
      </c>
      <c r="B639" s="868"/>
      <c r="C639" s="294" t="s">
        <v>360</v>
      </c>
      <c r="D639" s="294" t="s">
        <v>181</v>
      </c>
      <c r="E639" s="276"/>
      <c r="F639" s="277"/>
      <c r="G639" s="331">
        <f t="shared" si="811"/>
        <v>0</v>
      </c>
      <c r="H639" s="278">
        <v>0</v>
      </c>
      <c r="I639" s="278">
        <v>0</v>
      </c>
      <c r="J639" s="349" t="str">
        <f t="shared" si="816"/>
        <v>-</v>
      </c>
      <c r="K639" s="331">
        <f t="shared" si="812"/>
        <v>0</v>
      </c>
      <c r="L639" s="272">
        <f t="shared" si="813"/>
        <v>0</v>
      </c>
      <c r="M639" s="273">
        <f t="shared" si="814"/>
        <v>0</v>
      </c>
      <c r="N639" s="335" t="str">
        <f t="shared" si="815"/>
        <v>-</v>
      </c>
      <c r="O639" s="263" t="str">
        <f t="shared" si="800"/>
        <v>-</v>
      </c>
    </row>
    <row r="640" spans="1:15" ht="24.75" thickBot="1" x14ac:dyDescent="0.3">
      <c r="A640" s="274" t="s">
        <v>103</v>
      </c>
      <c r="B640" s="869"/>
      <c r="C640" s="279" t="s">
        <v>182</v>
      </c>
      <c r="D640" s="279" t="s">
        <v>93</v>
      </c>
      <c r="E640" s="280"/>
      <c r="F640" s="281"/>
      <c r="G640" s="332">
        <f t="shared" si="811"/>
        <v>4054</v>
      </c>
      <c r="H640" s="278">
        <v>2160</v>
      </c>
      <c r="I640" s="278">
        <v>1894</v>
      </c>
      <c r="J640" s="349" t="str">
        <f t="shared" si="816"/>
        <v>-</v>
      </c>
      <c r="K640" s="332">
        <f t="shared" si="812"/>
        <v>21470</v>
      </c>
      <c r="L640" s="272">
        <f t="shared" si="813"/>
        <v>18000</v>
      </c>
      <c r="M640" s="273">
        <f t="shared" si="814"/>
        <v>3470</v>
      </c>
      <c r="N640" s="336" t="str">
        <f t="shared" si="815"/>
        <v>-</v>
      </c>
      <c r="O640" s="345">
        <f t="shared" si="800"/>
        <v>0.16162086632510481</v>
      </c>
    </row>
    <row r="641" spans="1:15" ht="23.25" thickBot="1" x14ac:dyDescent="0.3">
      <c r="A641" s="274" t="s">
        <v>103</v>
      </c>
      <c r="B641" s="845" t="s">
        <v>48</v>
      </c>
      <c r="C641" s="846"/>
      <c r="D641" s="847"/>
      <c r="E641" s="283">
        <f>SUM(E637:E640)</f>
        <v>0</v>
      </c>
      <c r="F641" s="284">
        <v>80000</v>
      </c>
      <c r="G641" s="319">
        <f>SUM(G637:G640)</f>
        <v>4054</v>
      </c>
      <c r="H641" s="320">
        <f t="shared" ref="H641:I641" si="817">SUM(H637:H640)</f>
        <v>2160</v>
      </c>
      <c r="I641" s="320">
        <f t="shared" si="817"/>
        <v>1894</v>
      </c>
      <c r="J641" s="343">
        <f>+G641/F641</f>
        <v>5.0674999999999998E-2</v>
      </c>
      <c r="K641" s="319">
        <f t="shared" ref="K641" si="818">SUM(K637:K640)</f>
        <v>21470</v>
      </c>
      <c r="L641" s="320">
        <f>SUM(L637:L640)</f>
        <v>18000</v>
      </c>
      <c r="M641" s="321">
        <f t="shared" ref="M641" si="819">SUM(M637:M640)</f>
        <v>3470</v>
      </c>
      <c r="N641" s="337" t="str">
        <f t="shared" si="815"/>
        <v>-</v>
      </c>
      <c r="O641" s="343">
        <f t="shared" si="800"/>
        <v>0.16162086632510481</v>
      </c>
    </row>
    <row r="642" spans="1:15" ht="24" x14ac:dyDescent="0.25">
      <c r="A642" s="274" t="s">
        <v>103</v>
      </c>
      <c r="B642" s="867" t="s">
        <v>23</v>
      </c>
      <c r="C642" s="275" t="s">
        <v>473</v>
      </c>
      <c r="D642" s="295" t="s">
        <v>237</v>
      </c>
      <c r="E642" s="270">
        <v>10000</v>
      </c>
      <c r="F642" s="271"/>
      <c r="G642" s="330">
        <f t="shared" ref="G642:G650" si="820">+H642+I642</f>
        <v>0</v>
      </c>
      <c r="H642" s="272">
        <v>0</v>
      </c>
      <c r="I642" s="272">
        <v>0</v>
      </c>
      <c r="J642" s="349" t="str">
        <f>IFERROR(G642/F642,"-")</f>
        <v>-</v>
      </c>
      <c r="K642" s="330">
        <f t="shared" ref="K642:K650" si="821">+L642+M642</f>
        <v>0</v>
      </c>
      <c r="L642" s="272">
        <f t="shared" ref="L642:L650" si="822">+H642+L524</f>
        <v>0</v>
      </c>
      <c r="M642" s="273">
        <f t="shared" ref="M642:M650" si="823">+I642+M524</f>
        <v>0</v>
      </c>
      <c r="N642" s="334">
        <f t="shared" si="815"/>
        <v>0</v>
      </c>
      <c r="O642" s="344" t="str">
        <f t="shared" si="800"/>
        <v>-</v>
      </c>
    </row>
    <row r="643" spans="1:15" ht="24" x14ac:dyDescent="0.25">
      <c r="A643" s="274" t="s">
        <v>103</v>
      </c>
      <c r="B643" s="868"/>
      <c r="C643" s="275" t="s">
        <v>24</v>
      </c>
      <c r="D643" s="275" t="s">
        <v>237</v>
      </c>
      <c r="E643" s="276">
        <v>112000</v>
      </c>
      <c r="F643" s="277"/>
      <c r="G643" s="331">
        <f t="shared" si="820"/>
        <v>14910</v>
      </c>
      <c r="H643" s="278">
        <v>14875</v>
      </c>
      <c r="I643" s="278">
        <v>35</v>
      </c>
      <c r="J643" s="349" t="str">
        <f t="shared" ref="J643:J650" si="824">IFERROR(G643/F643,"-")</f>
        <v>-</v>
      </c>
      <c r="K643" s="331">
        <f t="shared" si="821"/>
        <v>54540</v>
      </c>
      <c r="L643" s="272">
        <f t="shared" si="822"/>
        <v>54378</v>
      </c>
      <c r="M643" s="273">
        <f t="shared" si="823"/>
        <v>162</v>
      </c>
      <c r="N643" s="335">
        <f t="shared" si="815"/>
        <v>0.48696428571428574</v>
      </c>
      <c r="O643" s="263">
        <f t="shared" si="800"/>
        <v>2.9702970297029703E-3</v>
      </c>
    </row>
    <row r="644" spans="1:15" ht="24" x14ac:dyDescent="0.25">
      <c r="A644" s="274" t="s">
        <v>103</v>
      </c>
      <c r="B644" s="868"/>
      <c r="C644" s="275" t="s">
        <v>235</v>
      </c>
      <c r="D644" s="275" t="s">
        <v>237</v>
      </c>
      <c r="E644" s="276">
        <v>40000</v>
      </c>
      <c r="F644" s="277"/>
      <c r="G644" s="331">
        <f t="shared" si="820"/>
        <v>0</v>
      </c>
      <c r="H644" s="278">
        <v>0</v>
      </c>
      <c r="I644" s="278">
        <v>0</v>
      </c>
      <c r="J644" s="349" t="str">
        <f t="shared" si="824"/>
        <v>-</v>
      </c>
      <c r="K644" s="331">
        <f t="shared" si="821"/>
        <v>0</v>
      </c>
      <c r="L644" s="272">
        <f t="shared" si="822"/>
        <v>0</v>
      </c>
      <c r="M644" s="273">
        <f t="shared" si="823"/>
        <v>0</v>
      </c>
      <c r="N644" s="335">
        <f t="shared" si="815"/>
        <v>0</v>
      </c>
      <c r="O644" s="263" t="str">
        <f t="shared" si="800"/>
        <v>-</v>
      </c>
    </row>
    <row r="645" spans="1:15" ht="24" x14ac:dyDescent="0.25">
      <c r="A645" s="274" t="s">
        <v>103</v>
      </c>
      <c r="B645" s="868"/>
      <c r="C645" s="275" t="s">
        <v>238</v>
      </c>
      <c r="D645" s="275" t="s">
        <v>237</v>
      </c>
      <c r="E645" s="276">
        <v>4000</v>
      </c>
      <c r="F645" s="277"/>
      <c r="G645" s="331">
        <f t="shared" si="820"/>
        <v>0</v>
      </c>
      <c r="H645" s="278">
        <v>0</v>
      </c>
      <c r="I645" s="278">
        <v>0</v>
      </c>
      <c r="J645" s="349" t="str">
        <f t="shared" si="824"/>
        <v>-</v>
      </c>
      <c r="K645" s="331">
        <f t="shared" si="821"/>
        <v>0</v>
      </c>
      <c r="L645" s="272">
        <f t="shared" si="822"/>
        <v>0</v>
      </c>
      <c r="M645" s="273">
        <f t="shared" si="823"/>
        <v>0</v>
      </c>
      <c r="N645" s="335">
        <f t="shared" si="815"/>
        <v>0</v>
      </c>
      <c r="O645" s="263" t="str">
        <f t="shared" si="800"/>
        <v>-</v>
      </c>
    </row>
    <row r="646" spans="1:15" ht="24" x14ac:dyDescent="0.25">
      <c r="A646" s="274" t="s">
        <v>103</v>
      </c>
      <c r="B646" s="868"/>
      <c r="C646" s="294" t="s">
        <v>392</v>
      </c>
      <c r="D646" s="275" t="s">
        <v>237</v>
      </c>
      <c r="E646" s="276">
        <v>8500</v>
      </c>
      <c r="F646" s="277"/>
      <c r="G646" s="331">
        <f t="shared" si="820"/>
        <v>0</v>
      </c>
      <c r="H646" s="278">
        <v>0</v>
      </c>
      <c r="I646" s="278">
        <v>0</v>
      </c>
      <c r="J646" s="349" t="str">
        <f t="shared" si="824"/>
        <v>-</v>
      </c>
      <c r="K646" s="331">
        <f t="shared" si="821"/>
        <v>0</v>
      </c>
      <c r="L646" s="272">
        <f t="shared" si="822"/>
        <v>0</v>
      </c>
      <c r="M646" s="273">
        <f t="shared" si="823"/>
        <v>0</v>
      </c>
      <c r="N646" s="335">
        <f t="shared" si="815"/>
        <v>0</v>
      </c>
      <c r="O646" s="263" t="str">
        <f t="shared" si="800"/>
        <v>-</v>
      </c>
    </row>
    <row r="647" spans="1:15" ht="24" x14ac:dyDescent="0.25">
      <c r="A647" s="274" t="s">
        <v>103</v>
      </c>
      <c r="B647" s="868"/>
      <c r="C647" s="294" t="s">
        <v>420</v>
      </c>
      <c r="D647" s="275" t="s">
        <v>237</v>
      </c>
      <c r="E647" s="276">
        <v>10000</v>
      </c>
      <c r="F647" s="277"/>
      <c r="G647" s="331">
        <f t="shared" si="820"/>
        <v>0</v>
      </c>
      <c r="H647" s="278">
        <v>0</v>
      </c>
      <c r="I647" s="278">
        <v>0</v>
      </c>
      <c r="J647" s="349" t="str">
        <f t="shared" si="824"/>
        <v>-</v>
      </c>
      <c r="K647" s="331">
        <f t="shared" si="821"/>
        <v>0</v>
      </c>
      <c r="L647" s="272">
        <f t="shared" si="822"/>
        <v>0</v>
      </c>
      <c r="M647" s="273">
        <f t="shared" si="823"/>
        <v>0</v>
      </c>
      <c r="N647" s="335">
        <f t="shared" si="815"/>
        <v>0</v>
      </c>
      <c r="O647" s="263" t="str">
        <f t="shared" si="800"/>
        <v>-</v>
      </c>
    </row>
    <row r="648" spans="1:15" ht="24" x14ac:dyDescent="0.25">
      <c r="A648" s="274" t="s">
        <v>103</v>
      </c>
      <c r="B648" s="868"/>
      <c r="C648" s="294" t="s">
        <v>240</v>
      </c>
      <c r="D648" s="275" t="s">
        <v>242</v>
      </c>
      <c r="E648" s="276"/>
      <c r="F648" s="277"/>
      <c r="G648" s="331">
        <f t="shared" si="820"/>
        <v>0</v>
      </c>
      <c r="H648" s="278">
        <v>0</v>
      </c>
      <c r="I648" s="278">
        <v>0</v>
      </c>
      <c r="J648" s="349" t="str">
        <f t="shared" si="824"/>
        <v>-</v>
      </c>
      <c r="K648" s="331">
        <f t="shared" si="821"/>
        <v>0</v>
      </c>
      <c r="L648" s="272">
        <f t="shared" si="822"/>
        <v>0</v>
      </c>
      <c r="M648" s="273">
        <f t="shared" si="823"/>
        <v>0</v>
      </c>
      <c r="N648" s="335" t="str">
        <f t="shared" si="815"/>
        <v>-</v>
      </c>
      <c r="O648" s="263" t="str">
        <f t="shared" si="800"/>
        <v>-</v>
      </c>
    </row>
    <row r="649" spans="1:15" ht="24" x14ac:dyDescent="0.25">
      <c r="A649" s="274"/>
      <c r="B649" s="869"/>
      <c r="C649" s="294" t="s">
        <v>481</v>
      </c>
      <c r="D649" s="275" t="s">
        <v>237</v>
      </c>
      <c r="E649" s="280">
        <v>6000</v>
      </c>
      <c r="F649" s="281"/>
      <c r="G649" s="331">
        <f t="shared" si="820"/>
        <v>0</v>
      </c>
      <c r="H649" s="278">
        <v>0</v>
      </c>
      <c r="I649" s="278">
        <v>0</v>
      </c>
      <c r="J649" s="349" t="str">
        <f t="shared" si="824"/>
        <v>-</v>
      </c>
      <c r="K649" s="331">
        <f t="shared" si="821"/>
        <v>0</v>
      </c>
      <c r="L649" s="272">
        <f t="shared" si="822"/>
        <v>0</v>
      </c>
      <c r="M649" s="273">
        <f t="shared" si="823"/>
        <v>0</v>
      </c>
      <c r="N649" s="335">
        <f t="shared" si="815"/>
        <v>0</v>
      </c>
      <c r="O649" s="263" t="str">
        <f t="shared" si="800"/>
        <v>-</v>
      </c>
    </row>
    <row r="650" spans="1:15" ht="24.75" thickBot="1" x14ac:dyDescent="0.3">
      <c r="A650" s="274" t="s">
        <v>103</v>
      </c>
      <c r="B650" s="869"/>
      <c r="C650" s="294" t="s">
        <v>241</v>
      </c>
      <c r="D650" s="275" t="s">
        <v>237</v>
      </c>
      <c r="E650" s="280">
        <v>5000</v>
      </c>
      <c r="F650" s="281"/>
      <c r="G650" s="332">
        <f t="shared" si="820"/>
        <v>0</v>
      </c>
      <c r="H650" s="278">
        <v>0</v>
      </c>
      <c r="I650" s="278">
        <v>0</v>
      </c>
      <c r="J650" s="349" t="str">
        <f t="shared" si="824"/>
        <v>-</v>
      </c>
      <c r="K650" s="332">
        <f t="shared" si="821"/>
        <v>0</v>
      </c>
      <c r="L650" s="272">
        <f t="shared" si="822"/>
        <v>0</v>
      </c>
      <c r="M650" s="273">
        <f t="shared" si="823"/>
        <v>0</v>
      </c>
      <c r="N650" s="336">
        <f t="shared" si="815"/>
        <v>0</v>
      </c>
      <c r="O650" s="345" t="str">
        <f t="shared" si="800"/>
        <v>-</v>
      </c>
    </row>
    <row r="651" spans="1:15" ht="23.25" thickBot="1" x14ac:dyDescent="0.3">
      <c r="A651" s="274" t="s">
        <v>103</v>
      </c>
      <c r="B651" s="845" t="s">
        <v>49</v>
      </c>
      <c r="C651" s="846"/>
      <c r="D651" s="847"/>
      <c r="E651" s="283">
        <f>SUM(E642:E650)</f>
        <v>195500</v>
      </c>
      <c r="F651" s="284">
        <v>14000</v>
      </c>
      <c r="G651" s="319">
        <f>SUM(G642:G650)</f>
        <v>14910</v>
      </c>
      <c r="H651" s="320">
        <f t="shared" ref="H651:I651" si="825">SUM(H642:H650)</f>
        <v>14875</v>
      </c>
      <c r="I651" s="320">
        <f t="shared" si="825"/>
        <v>35</v>
      </c>
      <c r="J651" s="343">
        <f>+G652/F652</f>
        <v>0.20174468085106384</v>
      </c>
      <c r="K651" s="319">
        <f>SUM(K642:K650)</f>
        <v>54540</v>
      </c>
      <c r="L651" s="320">
        <f>SUM(L642:L650)</f>
        <v>54378</v>
      </c>
      <c r="M651" s="320">
        <f>SUM(M642:M650)</f>
        <v>162</v>
      </c>
      <c r="N651" s="337">
        <f t="shared" si="815"/>
        <v>0.27897698209718669</v>
      </c>
      <c r="O651" s="343">
        <f t="shared" si="800"/>
        <v>2.9702970297029703E-3</v>
      </c>
    </row>
    <row r="652" spans="1:15" ht="23.25" thickBot="1" x14ac:dyDescent="0.3">
      <c r="A652" s="274" t="s">
        <v>103</v>
      </c>
      <c r="B652" s="853" t="s">
        <v>25</v>
      </c>
      <c r="C652" s="854"/>
      <c r="D652" s="855"/>
      <c r="E652" s="324">
        <f t="shared" ref="E652:F652" si="826">+E641+E651</f>
        <v>195500</v>
      </c>
      <c r="F652" s="325">
        <f t="shared" si="826"/>
        <v>94000</v>
      </c>
      <c r="G652" s="324">
        <f>+G641+G651</f>
        <v>18964</v>
      </c>
      <c r="H652" s="322">
        <f t="shared" ref="H652:I652" si="827">+H641+H651</f>
        <v>17035</v>
      </c>
      <c r="I652" s="322">
        <f t="shared" si="827"/>
        <v>1929</v>
      </c>
      <c r="J652" s="347" t="str">
        <f>IFERROR(G652/#REF!,"-")</f>
        <v>-</v>
      </c>
      <c r="K652" s="324">
        <f t="shared" ref="K652" si="828">+K641+K651</f>
        <v>76010</v>
      </c>
      <c r="L652" s="322">
        <f>+L641+L651</f>
        <v>72378</v>
      </c>
      <c r="M652" s="323">
        <f t="shared" ref="M652" si="829">+M641+M651</f>
        <v>3632</v>
      </c>
      <c r="N652" s="339">
        <f t="shared" si="815"/>
        <v>0.38879795396419436</v>
      </c>
      <c r="O652" s="347">
        <f t="shared" si="800"/>
        <v>4.7783186422839102E-2</v>
      </c>
    </row>
    <row r="653" spans="1:15" ht="23.25" thickBot="1" x14ac:dyDescent="0.3">
      <c r="A653" s="274" t="s">
        <v>103</v>
      </c>
      <c r="B653" s="839" t="s">
        <v>172</v>
      </c>
      <c r="C653" s="840"/>
      <c r="D653" s="865"/>
      <c r="E653" s="328">
        <f>+E636+E652</f>
        <v>3345500</v>
      </c>
      <c r="F653" s="329">
        <f t="shared" ref="F653:I653" si="830">+F636+F652</f>
        <v>449000</v>
      </c>
      <c r="G653" s="328">
        <f t="shared" si="830"/>
        <v>92056</v>
      </c>
      <c r="H653" s="326">
        <f t="shared" si="830"/>
        <v>89503</v>
      </c>
      <c r="I653" s="326">
        <f t="shared" si="830"/>
        <v>2553</v>
      </c>
      <c r="J653" s="348">
        <f>+G653/F653</f>
        <v>0.20502449888641425</v>
      </c>
      <c r="K653" s="328">
        <f>+K636+K652</f>
        <v>401147</v>
      </c>
      <c r="L653" s="326">
        <f t="shared" ref="L653:M653" si="831">+L636+L652</f>
        <v>393894</v>
      </c>
      <c r="M653" s="327">
        <f t="shared" si="831"/>
        <v>7253</v>
      </c>
      <c r="N653" s="340">
        <f>IFERROR(K653/E653,"-")</f>
        <v>0.11990644148856673</v>
      </c>
      <c r="O653" s="348">
        <f t="shared" si="800"/>
        <v>1.8080653725442295E-2</v>
      </c>
    </row>
    <row r="654" spans="1:15" ht="24" x14ac:dyDescent="0.25">
      <c r="A654" s="268" t="s">
        <v>101</v>
      </c>
      <c r="B654" s="849" t="s">
        <v>26</v>
      </c>
      <c r="C654" s="736" t="s">
        <v>296</v>
      </c>
      <c r="D654" s="741" t="s">
        <v>177</v>
      </c>
      <c r="E654" s="738">
        <v>2047672</v>
      </c>
      <c r="F654" s="271"/>
      <c r="G654" s="330">
        <f t="shared" ref="G654:G663" si="832">+H654+I654</f>
        <v>0</v>
      </c>
      <c r="H654" s="272">
        <v>0</v>
      </c>
      <c r="I654" s="272">
        <v>0</v>
      </c>
      <c r="J654" s="349" t="str">
        <f>IFERROR(G654/F654,"-")</f>
        <v>-</v>
      </c>
      <c r="K654" s="330">
        <f t="shared" ref="K654:K663" si="833">+L654+M654</f>
        <v>0</v>
      </c>
      <c r="L654" s="272">
        <f t="shared" ref="L654:L663" si="834">+H654+L536</f>
        <v>0</v>
      </c>
      <c r="M654" s="273">
        <f t="shared" ref="M654:M663" si="835">+I654+M536</f>
        <v>0</v>
      </c>
      <c r="N654" s="334">
        <f t="shared" ref="N654:N672" si="836">IFERROR(K654/E654,"-")</f>
        <v>0</v>
      </c>
      <c r="O654" s="344" t="str">
        <f t="shared" si="800"/>
        <v>-</v>
      </c>
    </row>
    <row r="655" spans="1:15" ht="24" x14ac:dyDescent="0.25">
      <c r="A655" s="274" t="s">
        <v>101</v>
      </c>
      <c r="B655" s="849"/>
      <c r="C655" s="253" t="s">
        <v>422</v>
      </c>
      <c r="D655" s="742" t="s">
        <v>421</v>
      </c>
      <c r="E655" s="507"/>
      <c r="F655" s="277"/>
      <c r="G655" s="331">
        <f t="shared" si="832"/>
        <v>0</v>
      </c>
      <c r="H655" s="278">
        <v>0</v>
      </c>
      <c r="I655" s="278">
        <v>0</v>
      </c>
      <c r="J655" s="349" t="str">
        <f t="shared" ref="J655:J663" si="837">IFERROR(G655/F655,"-")</f>
        <v>-</v>
      </c>
      <c r="K655" s="331">
        <f t="shared" si="833"/>
        <v>0</v>
      </c>
      <c r="L655" s="272">
        <f t="shared" si="834"/>
        <v>0</v>
      </c>
      <c r="M655" s="273">
        <f t="shared" si="835"/>
        <v>0</v>
      </c>
      <c r="N655" s="335" t="str">
        <f t="shared" si="836"/>
        <v>-</v>
      </c>
      <c r="O655" s="263" t="str">
        <f t="shared" si="800"/>
        <v>-</v>
      </c>
    </row>
    <row r="656" spans="1:15" ht="24" x14ac:dyDescent="0.25">
      <c r="A656" s="274" t="s">
        <v>101</v>
      </c>
      <c r="B656" s="849"/>
      <c r="C656" s="721" t="s">
        <v>27</v>
      </c>
      <c r="D656" s="742" t="s">
        <v>332</v>
      </c>
      <c r="E656" s="739"/>
      <c r="F656" s="281"/>
      <c r="G656" s="331">
        <f t="shared" si="832"/>
        <v>0</v>
      </c>
      <c r="H656" s="278">
        <v>0</v>
      </c>
      <c r="I656" s="278">
        <v>0</v>
      </c>
      <c r="J656" s="349" t="str">
        <f t="shared" si="837"/>
        <v>-</v>
      </c>
      <c r="K656" s="331">
        <f t="shared" si="833"/>
        <v>0</v>
      </c>
      <c r="L656" s="272">
        <f t="shared" si="834"/>
        <v>0</v>
      </c>
      <c r="M656" s="273">
        <f t="shared" si="835"/>
        <v>0</v>
      </c>
      <c r="N656" s="335" t="str">
        <f t="shared" si="836"/>
        <v>-</v>
      </c>
      <c r="O656" s="263" t="str">
        <f t="shared" si="800"/>
        <v>-</v>
      </c>
    </row>
    <row r="657" spans="1:15" ht="24" x14ac:dyDescent="0.25">
      <c r="A657" s="274" t="s">
        <v>101</v>
      </c>
      <c r="B657" s="849"/>
      <c r="C657" s="721" t="s">
        <v>27</v>
      </c>
      <c r="D657" s="743" t="s">
        <v>468</v>
      </c>
      <c r="E657" s="739"/>
      <c r="F657" s="281"/>
      <c r="G657" s="331">
        <f t="shared" si="832"/>
        <v>0</v>
      </c>
      <c r="H657" s="278">
        <v>0</v>
      </c>
      <c r="I657" s="278">
        <v>0</v>
      </c>
      <c r="J657" s="349" t="str">
        <f t="shared" si="837"/>
        <v>-</v>
      </c>
      <c r="K657" s="331">
        <f t="shared" si="833"/>
        <v>0</v>
      </c>
      <c r="L657" s="272">
        <f t="shared" si="834"/>
        <v>0</v>
      </c>
      <c r="M657" s="273">
        <f t="shared" si="835"/>
        <v>0</v>
      </c>
      <c r="N657" s="335" t="str">
        <f t="shared" si="836"/>
        <v>-</v>
      </c>
      <c r="O657" s="263" t="str">
        <f t="shared" si="800"/>
        <v>-</v>
      </c>
    </row>
    <row r="658" spans="1:15" ht="24" x14ac:dyDescent="0.25">
      <c r="A658" s="274" t="s">
        <v>101</v>
      </c>
      <c r="B658" s="849"/>
      <c r="C658" s="736" t="s">
        <v>475</v>
      </c>
      <c r="D658" s="742" t="s">
        <v>233</v>
      </c>
      <c r="E658" s="739"/>
      <c r="F658" s="281"/>
      <c r="G658" s="331">
        <f t="shared" si="832"/>
        <v>0</v>
      </c>
      <c r="H658" s="278">
        <v>0</v>
      </c>
      <c r="I658" s="278">
        <v>0</v>
      </c>
      <c r="J658" s="349" t="str">
        <f t="shared" si="837"/>
        <v>-</v>
      </c>
      <c r="K658" s="331">
        <f t="shared" si="833"/>
        <v>0</v>
      </c>
      <c r="L658" s="272">
        <f t="shared" si="834"/>
        <v>0</v>
      </c>
      <c r="M658" s="273">
        <f t="shared" si="835"/>
        <v>0</v>
      </c>
      <c r="N658" s="335" t="str">
        <f t="shared" si="836"/>
        <v>-</v>
      </c>
      <c r="O658" s="263" t="str">
        <f t="shared" si="800"/>
        <v>-</v>
      </c>
    </row>
    <row r="659" spans="1:15" ht="24" x14ac:dyDescent="0.25">
      <c r="A659" s="274"/>
      <c r="B659" s="849"/>
      <c r="C659" s="721" t="s">
        <v>485</v>
      </c>
      <c r="D659" s="742" t="s">
        <v>502</v>
      </c>
      <c r="E659" s="739"/>
      <c r="F659" s="281"/>
      <c r="G659" s="332">
        <f t="shared" si="832"/>
        <v>0</v>
      </c>
      <c r="H659" s="278"/>
      <c r="I659" s="278"/>
      <c r="J659" s="349" t="str">
        <f t="shared" si="837"/>
        <v>-</v>
      </c>
      <c r="K659" s="332">
        <f t="shared" si="833"/>
        <v>37292</v>
      </c>
      <c r="L659" s="272">
        <f t="shared" si="834"/>
        <v>35802</v>
      </c>
      <c r="M659" s="273">
        <f t="shared" si="835"/>
        <v>1490</v>
      </c>
      <c r="N659" s="335" t="str">
        <f t="shared" si="836"/>
        <v>-</v>
      </c>
      <c r="O659" s="263">
        <f t="shared" si="800"/>
        <v>3.9954950123350853E-2</v>
      </c>
    </row>
    <row r="660" spans="1:15" ht="24" x14ac:dyDescent="0.25">
      <c r="A660" s="274"/>
      <c r="B660" s="849"/>
      <c r="C660" s="721" t="s">
        <v>331</v>
      </c>
      <c r="D660" s="742" t="s">
        <v>502</v>
      </c>
      <c r="E660" s="739"/>
      <c r="F660" s="281"/>
      <c r="G660" s="332">
        <f t="shared" si="832"/>
        <v>24610</v>
      </c>
      <c r="H660" s="278">
        <v>23868</v>
      </c>
      <c r="I660" s="278">
        <v>742</v>
      </c>
      <c r="J660" s="349" t="str">
        <f t="shared" si="837"/>
        <v>-</v>
      </c>
      <c r="K660" s="332">
        <f t="shared" si="833"/>
        <v>206235</v>
      </c>
      <c r="L660" s="272">
        <f t="shared" si="834"/>
        <v>202878</v>
      </c>
      <c r="M660" s="273">
        <f t="shared" si="835"/>
        <v>3357</v>
      </c>
      <c r="N660" s="335" t="str">
        <f t="shared" si="836"/>
        <v>-</v>
      </c>
      <c r="O660" s="263">
        <f t="shared" si="800"/>
        <v>1.6277547457996946E-2</v>
      </c>
    </row>
    <row r="661" spans="1:15" ht="24" x14ac:dyDescent="0.25">
      <c r="A661" s="274"/>
      <c r="B661" s="849"/>
      <c r="C661" s="721" t="s">
        <v>429</v>
      </c>
      <c r="D661" s="742" t="s">
        <v>480</v>
      </c>
      <c r="E661" s="739"/>
      <c r="F661" s="281"/>
      <c r="G661" s="332">
        <f t="shared" si="832"/>
        <v>0</v>
      </c>
      <c r="H661" s="278">
        <v>0</v>
      </c>
      <c r="I661" s="278">
        <v>0</v>
      </c>
      <c r="J661" s="349" t="str">
        <f t="shared" si="837"/>
        <v>-</v>
      </c>
      <c r="K661" s="332">
        <f t="shared" si="833"/>
        <v>0</v>
      </c>
      <c r="L661" s="272">
        <f t="shared" si="834"/>
        <v>0</v>
      </c>
      <c r="M661" s="272">
        <f t="shared" si="835"/>
        <v>0</v>
      </c>
      <c r="N661" s="335" t="str">
        <f t="shared" si="836"/>
        <v>-</v>
      </c>
      <c r="O661" s="263" t="str">
        <f t="shared" si="800"/>
        <v>-</v>
      </c>
    </row>
    <row r="662" spans="1:15" ht="24" x14ac:dyDescent="0.25">
      <c r="A662" s="274"/>
      <c r="B662" s="849"/>
      <c r="C662" s="721" t="s">
        <v>380</v>
      </c>
      <c r="D662" s="742" t="s">
        <v>364</v>
      </c>
      <c r="E662" s="739"/>
      <c r="F662" s="281"/>
      <c r="G662" s="332">
        <f t="shared" si="832"/>
        <v>0</v>
      </c>
      <c r="H662" s="278">
        <v>0</v>
      </c>
      <c r="I662" s="278">
        <v>0</v>
      </c>
      <c r="J662" s="349" t="str">
        <f t="shared" si="837"/>
        <v>-</v>
      </c>
      <c r="K662" s="332">
        <f t="shared" si="833"/>
        <v>0</v>
      </c>
      <c r="L662" s="272">
        <f t="shared" si="834"/>
        <v>0</v>
      </c>
      <c r="M662" s="273">
        <f t="shared" si="835"/>
        <v>0</v>
      </c>
      <c r="N662" s="335" t="str">
        <f t="shared" si="836"/>
        <v>-</v>
      </c>
      <c r="O662" s="263" t="str">
        <f t="shared" si="800"/>
        <v>-</v>
      </c>
    </row>
    <row r="663" spans="1:15" ht="24.75" thickBot="1" x14ac:dyDescent="0.3">
      <c r="A663" s="274" t="s">
        <v>101</v>
      </c>
      <c r="B663" s="849"/>
      <c r="C663" s="737" t="s">
        <v>504</v>
      </c>
      <c r="D663" s="744" t="s">
        <v>288</v>
      </c>
      <c r="E663" s="739"/>
      <c r="F663" s="281"/>
      <c r="G663" s="332">
        <f t="shared" si="832"/>
        <v>0</v>
      </c>
      <c r="H663" s="278"/>
      <c r="I663" s="278"/>
      <c r="J663" s="349" t="str">
        <f t="shared" si="837"/>
        <v>-</v>
      </c>
      <c r="K663" s="332">
        <f t="shared" si="833"/>
        <v>113149</v>
      </c>
      <c r="L663" s="272">
        <f t="shared" si="834"/>
        <v>111384</v>
      </c>
      <c r="M663" s="273">
        <f t="shared" si="835"/>
        <v>1765</v>
      </c>
      <c r="N663" s="335" t="str">
        <f t="shared" si="836"/>
        <v>-</v>
      </c>
      <c r="O663" s="345">
        <f t="shared" si="800"/>
        <v>1.5598900564742066E-2</v>
      </c>
    </row>
    <row r="664" spans="1:15" ht="23.25" thickBot="1" x14ac:dyDescent="0.3">
      <c r="A664" s="274" t="s">
        <v>101</v>
      </c>
      <c r="B664" s="866"/>
      <c r="C664" s="300"/>
      <c r="D664" s="740" t="s">
        <v>52</v>
      </c>
      <c r="E664" s="283">
        <f>SUM(E654:E663)</f>
        <v>2047672</v>
      </c>
      <c r="F664" s="284">
        <v>160000</v>
      </c>
      <c r="G664" s="319">
        <f>SUM(G654:G663)</f>
        <v>24610</v>
      </c>
      <c r="H664" s="320">
        <f>SUM(H654:H663)</f>
        <v>23868</v>
      </c>
      <c r="I664" s="320">
        <f>SUM(I654:I663)</f>
        <v>742</v>
      </c>
      <c r="J664" s="343">
        <f>+G664/F664</f>
        <v>0.15381249999999999</v>
      </c>
      <c r="K664" s="319">
        <f>SUM(K654:K663)</f>
        <v>356676</v>
      </c>
      <c r="L664" s="320">
        <f>SUM(L654:L663)</f>
        <v>350064</v>
      </c>
      <c r="M664" s="321">
        <f>SUM(M654:M663)</f>
        <v>6612</v>
      </c>
      <c r="N664" s="337">
        <f t="shared" si="836"/>
        <v>0.17418610011759697</v>
      </c>
      <c r="O664" s="343">
        <f t="shared" si="800"/>
        <v>1.8537832654846414E-2</v>
      </c>
    </row>
    <row r="665" spans="1:15" ht="24" x14ac:dyDescent="0.25">
      <c r="A665" s="274" t="s">
        <v>101</v>
      </c>
      <c r="B665" s="848" t="s">
        <v>28</v>
      </c>
      <c r="C665" s="298" t="s">
        <v>27</v>
      </c>
      <c r="D665" s="296" t="s">
        <v>468</v>
      </c>
      <c r="E665" s="270"/>
      <c r="F665" s="271"/>
      <c r="G665" s="330">
        <f t="shared" ref="G665:G670" si="838">+H665+I665</f>
        <v>0</v>
      </c>
      <c r="H665" s="272">
        <v>0</v>
      </c>
      <c r="I665" s="272">
        <v>0</v>
      </c>
      <c r="J665" s="349" t="str">
        <f>IFERROR(G665/F665,"-")</f>
        <v>-</v>
      </c>
      <c r="K665" s="330">
        <f t="shared" ref="K665:K671" si="839">+L665+M665</f>
        <v>0</v>
      </c>
      <c r="L665" s="272">
        <f t="shared" ref="L665:L671" si="840">+H665+L547</f>
        <v>0</v>
      </c>
      <c r="M665" s="273">
        <f t="shared" ref="M665:M671" si="841">+I665+M547</f>
        <v>0</v>
      </c>
      <c r="N665" s="334" t="str">
        <f t="shared" si="836"/>
        <v>-</v>
      </c>
      <c r="O665" s="344" t="str">
        <f t="shared" si="800"/>
        <v>-</v>
      </c>
    </row>
    <row r="666" spans="1:15" ht="24" x14ac:dyDescent="0.25">
      <c r="A666" s="274" t="s">
        <v>101</v>
      </c>
      <c r="B666" s="849"/>
      <c r="C666" s="298" t="s">
        <v>383</v>
      </c>
      <c r="D666" s="298" t="s">
        <v>332</v>
      </c>
      <c r="E666" s="276"/>
      <c r="F666" s="277"/>
      <c r="G666" s="331">
        <f t="shared" si="838"/>
        <v>0</v>
      </c>
      <c r="H666" s="278">
        <v>0</v>
      </c>
      <c r="I666" s="278">
        <v>0</v>
      </c>
      <c r="J666" s="349" t="str">
        <f t="shared" ref="J666:J671" si="842">IFERROR(G666/F666,"-")</f>
        <v>-</v>
      </c>
      <c r="K666" s="331">
        <f t="shared" si="839"/>
        <v>0</v>
      </c>
      <c r="L666" s="272">
        <f t="shared" si="840"/>
        <v>0</v>
      </c>
      <c r="M666" s="273">
        <f t="shared" si="841"/>
        <v>0</v>
      </c>
      <c r="N666" s="335" t="str">
        <f t="shared" si="836"/>
        <v>-</v>
      </c>
      <c r="O666" s="263" t="str">
        <f t="shared" si="800"/>
        <v>-</v>
      </c>
    </row>
    <row r="667" spans="1:15" ht="24" x14ac:dyDescent="0.25">
      <c r="A667" s="274" t="s">
        <v>101</v>
      </c>
      <c r="B667" s="849"/>
      <c r="C667" s="298" t="s">
        <v>27</v>
      </c>
      <c r="D667" s="298" t="s">
        <v>332</v>
      </c>
      <c r="E667" s="276"/>
      <c r="F667" s="277"/>
      <c r="G667" s="331">
        <f t="shared" si="838"/>
        <v>0</v>
      </c>
      <c r="H667" s="278">
        <v>0</v>
      </c>
      <c r="I667" s="278">
        <v>0</v>
      </c>
      <c r="J667" s="349" t="str">
        <f t="shared" si="842"/>
        <v>-</v>
      </c>
      <c r="K667" s="331">
        <f t="shared" si="839"/>
        <v>0</v>
      </c>
      <c r="L667" s="272">
        <f t="shared" si="840"/>
        <v>0</v>
      </c>
      <c r="M667" s="273">
        <f t="shared" si="841"/>
        <v>0</v>
      </c>
      <c r="N667" s="335" t="str">
        <f t="shared" si="836"/>
        <v>-</v>
      </c>
      <c r="O667" s="263" t="str">
        <f t="shared" si="800"/>
        <v>-</v>
      </c>
    </row>
    <row r="668" spans="1:15" ht="24" x14ac:dyDescent="0.25">
      <c r="A668" s="274"/>
      <c r="B668" s="849"/>
      <c r="C668" s="298" t="s">
        <v>454</v>
      </c>
      <c r="D668" s="298" t="s">
        <v>332</v>
      </c>
      <c r="E668" s="280"/>
      <c r="F668" s="281"/>
      <c r="G668" s="331">
        <f t="shared" si="838"/>
        <v>0</v>
      </c>
      <c r="H668" s="278">
        <v>0</v>
      </c>
      <c r="I668" s="278">
        <v>0</v>
      </c>
      <c r="J668" s="349" t="str">
        <f t="shared" si="842"/>
        <v>-</v>
      </c>
      <c r="K668" s="331">
        <f t="shared" si="839"/>
        <v>0</v>
      </c>
      <c r="L668" s="272">
        <f t="shared" si="840"/>
        <v>0</v>
      </c>
      <c r="M668" s="273">
        <f t="shared" si="841"/>
        <v>0</v>
      </c>
      <c r="N668" s="335" t="str">
        <f t="shared" si="836"/>
        <v>-</v>
      </c>
      <c r="O668" s="263" t="str">
        <f t="shared" si="800"/>
        <v>-</v>
      </c>
    </row>
    <row r="669" spans="1:15" ht="24" x14ac:dyDescent="0.25">
      <c r="A669" s="274" t="s">
        <v>101</v>
      </c>
      <c r="B669" s="849"/>
      <c r="C669" s="298" t="s">
        <v>503</v>
      </c>
      <c r="D669" s="742" t="s">
        <v>502</v>
      </c>
      <c r="E669" s="280"/>
      <c r="F669" s="281"/>
      <c r="G669" s="332">
        <f t="shared" si="838"/>
        <v>0</v>
      </c>
      <c r="H669" s="278"/>
      <c r="I669" s="278"/>
      <c r="J669" s="349" t="str">
        <f t="shared" si="842"/>
        <v>-</v>
      </c>
      <c r="K669" s="332">
        <f t="shared" si="839"/>
        <v>81337</v>
      </c>
      <c r="L669" s="272">
        <f t="shared" si="840"/>
        <v>79560</v>
      </c>
      <c r="M669" s="806">
        <f t="shared" si="841"/>
        <v>1777</v>
      </c>
      <c r="N669" s="336" t="str">
        <f t="shared" si="836"/>
        <v>-</v>
      </c>
      <c r="O669" s="345">
        <f t="shared" si="800"/>
        <v>2.1847375733061215E-2</v>
      </c>
    </row>
    <row r="670" spans="1:15" ht="24" x14ac:dyDescent="0.25">
      <c r="A670" s="274"/>
      <c r="B670" s="849"/>
      <c r="C670" s="298" t="s">
        <v>452</v>
      </c>
      <c r="D670" s="742" t="s">
        <v>502</v>
      </c>
      <c r="E670" s="280"/>
      <c r="F670" s="281"/>
      <c r="G670" s="332">
        <f t="shared" si="838"/>
        <v>160424</v>
      </c>
      <c r="H670" s="278">
        <v>159120</v>
      </c>
      <c r="I670" s="278">
        <v>1304</v>
      </c>
      <c r="J670" s="349" t="str">
        <f t="shared" si="842"/>
        <v>-</v>
      </c>
      <c r="K670" s="332">
        <f t="shared" si="839"/>
        <v>505619</v>
      </c>
      <c r="L670" s="272">
        <f t="shared" si="840"/>
        <v>501228</v>
      </c>
      <c r="M670" s="674">
        <f t="shared" si="841"/>
        <v>4391</v>
      </c>
      <c r="N670" s="336" t="str">
        <f t="shared" si="836"/>
        <v>-</v>
      </c>
      <c r="O670" s="345">
        <f t="shared" si="800"/>
        <v>8.6844046604261319E-3</v>
      </c>
    </row>
    <row r="671" spans="1:15" ht="24.75" thickBot="1" x14ac:dyDescent="0.3">
      <c r="A671" s="274" t="s">
        <v>101</v>
      </c>
      <c r="B671" s="849"/>
      <c r="C671" s="737" t="s">
        <v>504</v>
      </c>
      <c r="D671" s="299" t="s">
        <v>178</v>
      </c>
      <c r="E671" s="280"/>
      <c r="F671" s="281"/>
      <c r="G671" s="332">
        <f t="shared" ref="G671" si="843">+H671+I671</f>
        <v>0</v>
      </c>
      <c r="H671" s="278"/>
      <c r="I671" s="278"/>
      <c r="J671" s="349" t="str">
        <f t="shared" si="842"/>
        <v>-</v>
      </c>
      <c r="K671" s="332">
        <f t="shared" si="839"/>
        <v>149369</v>
      </c>
      <c r="L671" s="272">
        <f t="shared" si="840"/>
        <v>147186</v>
      </c>
      <c r="M671" s="806">
        <f t="shared" si="841"/>
        <v>2183</v>
      </c>
      <c r="N671" s="336" t="str">
        <f t="shared" si="836"/>
        <v>-</v>
      </c>
      <c r="O671" s="345">
        <f t="shared" si="800"/>
        <v>1.4614812979935596E-2</v>
      </c>
    </row>
    <row r="672" spans="1:15" ht="23.25" thickBot="1" x14ac:dyDescent="0.3">
      <c r="A672" s="274" t="s">
        <v>101</v>
      </c>
      <c r="B672" s="849"/>
      <c r="C672" s="303"/>
      <c r="D672" s="304" t="s">
        <v>52</v>
      </c>
      <c r="E672" s="305">
        <f>SUM(E665:E671)</f>
        <v>0</v>
      </c>
      <c r="F672" s="306">
        <v>80000</v>
      </c>
      <c r="G672" s="364">
        <f>SUM(G665:G671)</f>
        <v>160424</v>
      </c>
      <c r="H672" s="363">
        <f>SUM(H665:H671)</f>
        <v>159120</v>
      </c>
      <c r="I672" s="363">
        <f>SUM(I665:I671)</f>
        <v>1304</v>
      </c>
      <c r="J672" s="354">
        <f>+G672/F672</f>
        <v>2.0053000000000001</v>
      </c>
      <c r="K672" s="364">
        <f>SUM(K665:K671)</f>
        <v>736325</v>
      </c>
      <c r="L672" s="363">
        <f>SUM(L665:L671)</f>
        <v>727974</v>
      </c>
      <c r="M672" s="365">
        <f>SUM(M665:M671)</f>
        <v>8351</v>
      </c>
      <c r="N672" s="353" t="str">
        <f t="shared" si="836"/>
        <v>-</v>
      </c>
      <c r="O672" s="354">
        <f t="shared" si="800"/>
        <v>1.1341459274097715E-2</v>
      </c>
    </row>
    <row r="673" spans="1:15" ht="23.25" thickBot="1" x14ac:dyDescent="0.3">
      <c r="A673" s="835" t="s">
        <v>101</v>
      </c>
      <c r="B673" s="850" t="s">
        <v>162</v>
      </c>
      <c r="C673" s="851"/>
      <c r="D673" s="852"/>
      <c r="E673" s="307">
        <f>+E672+E664</f>
        <v>2047672</v>
      </c>
      <c r="F673" s="308">
        <f>+F672+F664</f>
        <v>240000</v>
      </c>
      <c r="G673" s="367">
        <f>+G664+G672</f>
        <v>185034</v>
      </c>
      <c r="H673" s="366">
        <f>+H664+H672</f>
        <v>182988</v>
      </c>
      <c r="I673" s="366">
        <f>+I664+I672</f>
        <v>2046</v>
      </c>
      <c r="J673" s="356">
        <f>+G673/F673</f>
        <v>0.77097499999999997</v>
      </c>
      <c r="K673" s="367">
        <f>+K664+K672</f>
        <v>1093001</v>
      </c>
      <c r="L673" s="366">
        <f>+L664+L672</f>
        <v>1078038</v>
      </c>
      <c r="M673" s="368">
        <f>+M664+M672</f>
        <v>14963</v>
      </c>
      <c r="N673" s="355">
        <f>IFERROR(K673/E673,"-")</f>
        <v>0.53377738231513638</v>
      </c>
      <c r="O673" s="356">
        <f t="shared" si="800"/>
        <v>1.3689831939769498E-2</v>
      </c>
    </row>
    <row r="674" spans="1:15" ht="24" x14ac:dyDescent="0.25">
      <c r="A674" s="274" t="s">
        <v>101</v>
      </c>
      <c r="B674" s="849" t="s">
        <v>30</v>
      </c>
      <c r="C674" s="302" t="s">
        <v>441</v>
      </c>
      <c r="D674" s="298" t="s">
        <v>468</v>
      </c>
      <c r="E674" s="270">
        <v>1120000</v>
      </c>
      <c r="F674" s="271"/>
      <c r="G674" s="330">
        <f t="shared" ref="G674:G676" si="844">+H674+I674</f>
        <v>0</v>
      </c>
      <c r="H674" s="272">
        <v>0</v>
      </c>
      <c r="I674" s="272">
        <v>0</v>
      </c>
      <c r="J674" s="349" t="str">
        <f>IFERROR(G674/F674,"-")</f>
        <v>-</v>
      </c>
      <c r="K674" s="330">
        <f t="shared" ref="K674:K676" si="845">+L674+M674</f>
        <v>0</v>
      </c>
      <c r="L674" s="272">
        <f t="shared" ref="L674:L676" si="846">+H674+L556</f>
        <v>0</v>
      </c>
      <c r="M674" s="273">
        <f t="shared" ref="M674:M676" si="847">+I674+M556</f>
        <v>0</v>
      </c>
      <c r="N674" s="334">
        <f t="shared" ref="N674:N687" si="848">IFERROR(K674/E674,"-")</f>
        <v>0</v>
      </c>
      <c r="O674" s="344" t="str">
        <f t="shared" si="800"/>
        <v>-</v>
      </c>
    </row>
    <row r="675" spans="1:15" ht="24" x14ac:dyDescent="0.25">
      <c r="A675" s="274" t="s">
        <v>101</v>
      </c>
      <c r="B675" s="849"/>
      <c r="C675" s="299" t="s">
        <v>482</v>
      </c>
      <c r="D675" s="302" t="s">
        <v>476</v>
      </c>
      <c r="E675" s="276"/>
      <c r="F675" s="277"/>
      <c r="G675" s="331">
        <f t="shared" si="844"/>
        <v>0</v>
      </c>
      <c r="H675" s="278">
        <v>0</v>
      </c>
      <c r="I675" s="278">
        <v>0</v>
      </c>
      <c r="J675" s="349" t="str">
        <f t="shared" ref="J675:J676" si="849">IFERROR(G675/F675,"-")</f>
        <v>-</v>
      </c>
      <c r="K675" s="331">
        <f t="shared" si="845"/>
        <v>0</v>
      </c>
      <c r="L675" s="272">
        <f t="shared" si="846"/>
        <v>0</v>
      </c>
      <c r="M675" s="273">
        <f t="shared" si="847"/>
        <v>0</v>
      </c>
      <c r="N675" s="335" t="str">
        <f t="shared" si="848"/>
        <v>-</v>
      </c>
      <c r="O675" s="263" t="str">
        <f t="shared" si="800"/>
        <v>-</v>
      </c>
    </row>
    <row r="676" spans="1:15" ht="24.75" thickBot="1" x14ac:dyDescent="0.3">
      <c r="A676" s="274" t="s">
        <v>101</v>
      </c>
      <c r="B676" s="849"/>
      <c r="C676" s="299" t="s">
        <v>290</v>
      </c>
      <c r="D676" s="299" t="s">
        <v>364</v>
      </c>
      <c r="E676" s="280"/>
      <c r="F676" s="281"/>
      <c r="G676" s="332">
        <f t="shared" si="844"/>
        <v>0</v>
      </c>
      <c r="H676" s="282">
        <v>0</v>
      </c>
      <c r="I676" s="282">
        <v>0</v>
      </c>
      <c r="J676" s="349" t="str">
        <f t="shared" si="849"/>
        <v>-</v>
      </c>
      <c r="K676" s="332">
        <f t="shared" si="845"/>
        <v>4844</v>
      </c>
      <c r="L676" s="272">
        <f t="shared" si="846"/>
        <v>3744</v>
      </c>
      <c r="M676" s="273">
        <f t="shared" si="847"/>
        <v>1100</v>
      </c>
      <c r="N676" s="336" t="str">
        <f t="shared" si="848"/>
        <v>-</v>
      </c>
      <c r="O676" s="345">
        <f t="shared" si="800"/>
        <v>0.22708505367464904</v>
      </c>
    </row>
    <row r="677" spans="1:15" ht="23.25" thickBot="1" x14ac:dyDescent="0.3">
      <c r="A677" s="274" t="s">
        <v>101</v>
      </c>
      <c r="B677" s="849"/>
      <c r="C677" s="300"/>
      <c r="D677" s="301" t="s">
        <v>50</v>
      </c>
      <c r="E677" s="283">
        <f>SUM(E674:E676)</f>
        <v>1120000</v>
      </c>
      <c r="F677" s="284">
        <v>50000</v>
      </c>
      <c r="G677" s="319">
        <f>SUM(G674:G676)</f>
        <v>0</v>
      </c>
      <c r="H677" s="320">
        <f>SUM(H674:H676)</f>
        <v>0</v>
      </c>
      <c r="I677" s="320">
        <f>SUM(I674:I676)</f>
        <v>0</v>
      </c>
      <c r="J677" s="343">
        <f>+G677/F677</f>
        <v>0</v>
      </c>
      <c r="K677" s="319">
        <f>SUM(K674:K676)</f>
        <v>4844</v>
      </c>
      <c r="L677" s="320">
        <f>SUM(L674:L676)</f>
        <v>3744</v>
      </c>
      <c r="M677" s="321">
        <f>SUM(M674:M676)</f>
        <v>1100</v>
      </c>
      <c r="N677" s="337">
        <f t="shared" si="848"/>
        <v>4.3249999999999999E-3</v>
      </c>
      <c r="O677" s="343">
        <f t="shared" si="800"/>
        <v>0.22708505367464904</v>
      </c>
    </row>
    <row r="678" spans="1:15" ht="24" x14ac:dyDescent="0.25">
      <c r="A678" s="274" t="s">
        <v>101</v>
      </c>
      <c r="B678" s="849"/>
      <c r="C678" s="296" t="s">
        <v>430</v>
      </c>
      <c r="D678" s="296" t="s">
        <v>92</v>
      </c>
      <c r="E678" s="270"/>
      <c r="F678" s="271"/>
      <c r="G678" s="330">
        <f t="shared" ref="G678:G683" si="850">+H678+I678</f>
        <v>0</v>
      </c>
      <c r="H678" s="272">
        <v>0</v>
      </c>
      <c r="I678" s="272">
        <v>0</v>
      </c>
      <c r="J678" s="349" t="str">
        <f>IFERROR(G678/F678,"-")</f>
        <v>-</v>
      </c>
      <c r="K678" s="330">
        <f t="shared" ref="K678:K683" si="851">+L678+M678</f>
        <v>0</v>
      </c>
      <c r="L678" s="272">
        <f t="shared" ref="L678:L683" si="852">+H678+L560</f>
        <v>0</v>
      </c>
      <c r="M678" s="273">
        <f t="shared" ref="M678:M683" si="853">+I678+M560</f>
        <v>0</v>
      </c>
      <c r="N678" s="334" t="str">
        <f t="shared" si="848"/>
        <v>-</v>
      </c>
      <c r="O678" s="344" t="str">
        <f t="shared" si="800"/>
        <v>-</v>
      </c>
    </row>
    <row r="679" spans="1:15" ht="24" x14ac:dyDescent="0.25">
      <c r="A679" s="274"/>
      <c r="B679" s="849"/>
      <c r="C679" s="302" t="s">
        <v>444</v>
      </c>
      <c r="D679" s="298" t="s">
        <v>332</v>
      </c>
      <c r="E679" s="270"/>
      <c r="F679" s="271"/>
      <c r="G679" s="330">
        <f t="shared" si="850"/>
        <v>0</v>
      </c>
      <c r="H679" s="272">
        <v>0</v>
      </c>
      <c r="I679" s="272">
        <v>0</v>
      </c>
      <c r="J679" s="349" t="str">
        <f t="shared" ref="J679:J683" si="854">IFERROR(G679/F679,"-")</f>
        <v>-</v>
      </c>
      <c r="K679" s="330">
        <f t="shared" si="851"/>
        <v>0</v>
      </c>
      <c r="L679" s="272">
        <f t="shared" si="852"/>
        <v>0</v>
      </c>
      <c r="M679" s="273">
        <f t="shared" si="853"/>
        <v>0</v>
      </c>
      <c r="N679" s="335" t="str">
        <f t="shared" si="848"/>
        <v>-</v>
      </c>
      <c r="O679" s="344" t="str">
        <f t="shared" si="800"/>
        <v>-</v>
      </c>
    </row>
    <row r="680" spans="1:15" ht="24" x14ac:dyDescent="0.25">
      <c r="A680" s="274"/>
      <c r="B680" s="849"/>
      <c r="C680" s="302" t="s">
        <v>447</v>
      </c>
      <c r="D680" s="298" t="s">
        <v>332</v>
      </c>
      <c r="E680" s="270"/>
      <c r="F680" s="271"/>
      <c r="G680" s="330">
        <f t="shared" si="850"/>
        <v>0</v>
      </c>
      <c r="H680" s="272">
        <v>0</v>
      </c>
      <c r="I680" s="272">
        <v>0</v>
      </c>
      <c r="J680" s="349" t="str">
        <f t="shared" si="854"/>
        <v>-</v>
      </c>
      <c r="K680" s="330">
        <f t="shared" si="851"/>
        <v>0</v>
      </c>
      <c r="L680" s="272">
        <f t="shared" si="852"/>
        <v>0</v>
      </c>
      <c r="M680" s="273">
        <f t="shared" si="853"/>
        <v>0</v>
      </c>
      <c r="N680" s="335" t="str">
        <f t="shared" si="848"/>
        <v>-</v>
      </c>
      <c r="O680" s="344" t="str">
        <f t="shared" si="800"/>
        <v>-</v>
      </c>
    </row>
    <row r="681" spans="1:15" ht="24" x14ac:dyDescent="0.25">
      <c r="A681" s="274" t="s">
        <v>101</v>
      </c>
      <c r="B681" s="849"/>
      <c r="C681" s="302" t="s">
        <v>474</v>
      </c>
      <c r="D681" s="299" t="s">
        <v>421</v>
      </c>
      <c r="E681" s="276"/>
      <c r="F681" s="277"/>
      <c r="G681" s="331">
        <f t="shared" si="850"/>
        <v>0</v>
      </c>
      <c r="H681" s="278">
        <v>0</v>
      </c>
      <c r="I681" s="272">
        <v>0</v>
      </c>
      <c r="J681" s="349" t="str">
        <f t="shared" si="854"/>
        <v>-</v>
      </c>
      <c r="K681" s="331">
        <f t="shared" si="851"/>
        <v>0</v>
      </c>
      <c r="L681" s="272">
        <f t="shared" si="852"/>
        <v>0</v>
      </c>
      <c r="M681" s="273">
        <f t="shared" si="853"/>
        <v>0</v>
      </c>
      <c r="N681" s="335" t="str">
        <f t="shared" si="848"/>
        <v>-</v>
      </c>
      <c r="O681" s="263" t="str">
        <f t="shared" si="800"/>
        <v>-</v>
      </c>
    </row>
    <row r="682" spans="1:15" ht="24" x14ac:dyDescent="0.25">
      <c r="A682" s="274"/>
      <c r="B682" s="849"/>
      <c r="C682" s="299" t="s">
        <v>453</v>
      </c>
      <c r="D682" s="299" t="s">
        <v>364</v>
      </c>
      <c r="E682" s="280"/>
      <c r="F682" s="281"/>
      <c r="G682" s="332">
        <f t="shared" si="850"/>
        <v>0</v>
      </c>
      <c r="H682" s="282">
        <v>0</v>
      </c>
      <c r="I682" s="278">
        <v>0</v>
      </c>
      <c r="J682" s="349" t="str">
        <f t="shared" si="854"/>
        <v>-</v>
      </c>
      <c r="K682" s="331">
        <f t="shared" si="851"/>
        <v>0</v>
      </c>
      <c r="L682" s="272">
        <f t="shared" si="852"/>
        <v>0</v>
      </c>
      <c r="M682" s="272">
        <f t="shared" si="853"/>
        <v>0</v>
      </c>
      <c r="N682" s="335" t="str">
        <f t="shared" si="848"/>
        <v>-</v>
      </c>
      <c r="O682" s="263" t="str">
        <f t="shared" si="800"/>
        <v>-</v>
      </c>
    </row>
    <row r="683" spans="1:15" ht="24.75" thickBot="1" x14ac:dyDescent="0.3">
      <c r="A683" s="274" t="s">
        <v>101</v>
      </c>
      <c r="B683" s="849"/>
      <c r="C683" s="299" t="s">
        <v>431</v>
      </c>
      <c r="D683" s="299" t="s">
        <v>421</v>
      </c>
      <c r="E683" s="280"/>
      <c r="F683" s="281"/>
      <c r="G683" s="332">
        <f t="shared" si="850"/>
        <v>0</v>
      </c>
      <c r="H683" s="282">
        <v>0</v>
      </c>
      <c r="I683" s="272">
        <v>0</v>
      </c>
      <c r="J683" s="349" t="str">
        <f t="shared" si="854"/>
        <v>-</v>
      </c>
      <c r="K683" s="332">
        <f t="shared" si="851"/>
        <v>0</v>
      </c>
      <c r="L683" s="272">
        <f t="shared" si="852"/>
        <v>0</v>
      </c>
      <c r="M683" s="273">
        <f t="shared" si="853"/>
        <v>0</v>
      </c>
      <c r="N683" s="336" t="str">
        <f t="shared" si="848"/>
        <v>-</v>
      </c>
      <c r="O683" s="345" t="str">
        <f t="shared" si="800"/>
        <v>-</v>
      </c>
    </row>
    <row r="684" spans="1:15" ht="23.25" thickBot="1" x14ac:dyDescent="0.3">
      <c r="A684" s="274" t="s">
        <v>101</v>
      </c>
      <c r="B684" s="849"/>
      <c r="C684" s="303"/>
      <c r="D684" s="304" t="s">
        <v>51</v>
      </c>
      <c r="E684" s="305">
        <f>SUM(E678:E683)</f>
        <v>0</v>
      </c>
      <c r="F684" s="306">
        <v>50000</v>
      </c>
      <c r="G684" s="364">
        <f>SUM(G678:G683)</f>
        <v>0</v>
      </c>
      <c r="H684" s="363">
        <f t="shared" ref="H684:I684" si="855">SUM(H678:H683)</f>
        <v>0</v>
      </c>
      <c r="I684" s="363">
        <f t="shared" si="855"/>
        <v>0</v>
      </c>
      <c r="J684" s="354">
        <f>+G684/F684</f>
        <v>0</v>
      </c>
      <c r="K684" s="364">
        <f t="shared" ref="K684:M684" si="856">SUM(K678:K683)</f>
        <v>0</v>
      </c>
      <c r="L684" s="363">
        <f t="shared" si="856"/>
        <v>0</v>
      </c>
      <c r="M684" s="365">
        <f t="shared" si="856"/>
        <v>0</v>
      </c>
      <c r="N684" s="353" t="str">
        <f t="shared" si="848"/>
        <v>-</v>
      </c>
      <c r="O684" s="354" t="str">
        <f t="shared" si="800"/>
        <v>-</v>
      </c>
    </row>
    <row r="685" spans="1:15" ht="23.25" thickBot="1" x14ac:dyDescent="0.3">
      <c r="A685" s="274" t="s">
        <v>101</v>
      </c>
      <c r="B685" s="850" t="s">
        <v>163</v>
      </c>
      <c r="C685" s="851"/>
      <c r="D685" s="852"/>
      <c r="E685" s="307">
        <f>+E684+E677</f>
        <v>1120000</v>
      </c>
      <c r="F685" s="308">
        <v>50000</v>
      </c>
      <c r="G685" s="367">
        <f>+G677+G684</f>
        <v>0</v>
      </c>
      <c r="H685" s="366">
        <f t="shared" ref="H685:I685" si="857">+H677+H684</f>
        <v>0</v>
      </c>
      <c r="I685" s="366">
        <f t="shared" si="857"/>
        <v>0</v>
      </c>
      <c r="J685" s="356">
        <f>+G685/F685</f>
        <v>0</v>
      </c>
      <c r="K685" s="367">
        <f t="shared" ref="K685:M685" si="858">+K677+K684</f>
        <v>4844</v>
      </c>
      <c r="L685" s="366">
        <f t="shared" si="858"/>
        <v>3744</v>
      </c>
      <c r="M685" s="368">
        <f t="shared" si="858"/>
        <v>1100</v>
      </c>
      <c r="N685" s="355">
        <f t="shared" si="848"/>
        <v>4.3249999999999999E-3</v>
      </c>
      <c r="O685" s="356">
        <f t="shared" si="800"/>
        <v>0.22708505367464904</v>
      </c>
    </row>
    <row r="686" spans="1:15" ht="24.75" thickBot="1" x14ac:dyDescent="0.3">
      <c r="A686" s="274" t="s">
        <v>101</v>
      </c>
      <c r="B686" s="591" t="s">
        <v>32</v>
      </c>
      <c r="C686" s="830"/>
      <c r="D686" s="309" t="s">
        <v>32</v>
      </c>
      <c r="E686" s="286">
        <v>0</v>
      </c>
      <c r="F686" s="287">
        <v>110000</v>
      </c>
      <c r="G686" s="333">
        <f t="shared" ref="G686" si="859">+H686+I686</f>
        <v>0</v>
      </c>
      <c r="H686" s="288">
        <v>0</v>
      </c>
      <c r="I686" s="288">
        <v>0</v>
      </c>
      <c r="J686" s="352">
        <f>IFERROR(G686/F686,"-")</f>
        <v>0</v>
      </c>
      <c r="K686" s="333">
        <f>+L686+M686</f>
        <v>0</v>
      </c>
      <c r="L686" s="288">
        <f>+H686+L568</f>
        <v>0</v>
      </c>
      <c r="M686" s="289">
        <f>+I686+M568</f>
        <v>0</v>
      </c>
      <c r="N686" s="338" t="str">
        <f t="shared" si="848"/>
        <v>-</v>
      </c>
      <c r="O686" s="346" t="str">
        <f t="shared" si="800"/>
        <v>-</v>
      </c>
    </row>
    <row r="687" spans="1:15" ht="23.25" thickBot="1" x14ac:dyDescent="0.3">
      <c r="A687" s="274" t="s">
        <v>101</v>
      </c>
      <c r="B687" s="853" t="s">
        <v>21</v>
      </c>
      <c r="C687" s="854"/>
      <c r="D687" s="855"/>
      <c r="E687" s="324">
        <f>+E673+E685+E686</f>
        <v>3167672</v>
      </c>
      <c r="F687" s="325">
        <f>+F673+F685+F686</f>
        <v>400000</v>
      </c>
      <c r="G687" s="324">
        <f>+G673+G685+G686</f>
        <v>185034</v>
      </c>
      <c r="H687" s="322">
        <f>+H673+H685+H686</f>
        <v>182988</v>
      </c>
      <c r="I687" s="322">
        <f>+I673+I685+I686</f>
        <v>2046</v>
      </c>
      <c r="J687" s="347">
        <f>+G687/F687</f>
        <v>0.46258500000000002</v>
      </c>
      <c r="K687" s="324">
        <f>+K673+K685+K686</f>
        <v>1097845</v>
      </c>
      <c r="L687" s="322">
        <f>+L673+L685+L686</f>
        <v>1081782</v>
      </c>
      <c r="M687" s="323">
        <f>+M673+M685+M686</f>
        <v>16063</v>
      </c>
      <c r="N687" s="339">
        <f t="shared" si="848"/>
        <v>0.34657786538505247</v>
      </c>
      <c r="O687" s="347">
        <f t="shared" si="800"/>
        <v>1.4631391498799922E-2</v>
      </c>
    </row>
    <row r="688" spans="1:15" ht="23.25" thickBot="1" x14ac:dyDescent="0.3">
      <c r="A688" s="274" t="s">
        <v>101</v>
      </c>
      <c r="B688" s="839" t="s">
        <v>171</v>
      </c>
      <c r="C688" s="840"/>
      <c r="D688" s="841"/>
      <c r="E688" s="328">
        <f>+E687</f>
        <v>3167672</v>
      </c>
      <c r="F688" s="329">
        <f t="shared" ref="F688:I688" si="860">+F687</f>
        <v>400000</v>
      </c>
      <c r="G688" s="328">
        <f t="shared" si="860"/>
        <v>185034</v>
      </c>
      <c r="H688" s="326">
        <f t="shared" si="860"/>
        <v>182988</v>
      </c>
      <c r="I688" s="326">
        <f t="shared" si="860"/>
        <v>2046</v>
      </c>
      <c r="J688" s="732">
        <f>+G688/F688</f>
        <v>0.46258500000000002</v>
      </c>
      <c r="K688" s="328">
        <f>+K687</f>
        <v>1097845</v>
      </c>
      <c r="L688" s="326">
        <f t="shared" ref="L688" si="861">+L687</f>
        <v>1081782</v>
      </c>
      <c r="M688" s="327">
        <f>+M687</f>
        <v>16063</v>
      </c>
      <c r="N688" s="340">
        <f t="shared" ref="N688:O688" si="862">+N687</f>
        <v>0.34657786538505247</v>
      </c>
      <c r="O688" s="348">
        <f t="shared" si="862"/>
        <v>1.4631391498799922E-2</v>
      </c>
    </row>
    <row r="689" spans="1:15" ht="24" x14ac:dyDescent="0.25">
      <c r="A689" s="268" t="s">
        <v>102</v>
      </c>
      <c r="B689" s="842" t="s">
        <v>399</v>
      </c>
      <c r="C689" s="310" t="s">
        <v>113</v>
      </c>
      <c r="D689" s="310"/>
      <c r="E689" s="270">
        <v>2000</v>
      </c>
      <c r="F689" s="271"/>
      <c r="G689" s="330">
        <f t="shared" ref="G689:G691" si="863">+H689+I689</f>
        <v>0</v>
      </c>
      <c r="H689" s="272">
        <v>0</v>
      </c>
      <c r="I689" s="272">
        <v>0</v>
      </c>
      <c r="J689" s="349" t="str">
        <f>IFERROR(G689/F689,"-")</f>
        <v>-</v>
      </c>
      <c r="K689" s="330">
        <f t="shared" ref="K689:K691" si="864">+L689+M689</f>
        <v>0</v>
      </c>
      <c r="L689" s="272">
        <f t="shared" ref="L689:L691" si="865">+H689+L571</f>
        <v>0</v>
      </c>
      <c r="M689" s="273">
        <f t="shared" ref="M689:M691" si="866">+I689+M571</f>
        <v>0</v>
      </c>
      <c r="N689" s="334">
        <f t="shared" ref="N689:N696" si="867">IFERROR(K689/E689,"-")</f>
        <v>0</v>
      </c>
      <c r="O689" s="344" t="str">
        <f t="shared" ref="O689:O714" si="868">IFERROR(M689/K689,"-")</f>
        <v>-</v>
      </c>
    </row>
    <row r="690" spans="1:15" ht="24" x14ac:dyDescent="0.25">
      <c r="A690" s="274" t="s">
        <v>102</v>
      </c>
      <c r="B690" s="843"/>
      <c r="C690" s="311" t="s">
        <v>246</v>
      </c>
      <c r="D690" s="311"/>
      <c r="E690" s="276"/>
      <c r="F690" s="277"/>
      <c r="G690" s="331">
        <f t="shared" si="863"/>
        <v>0</v>
      </c>
      <c r="H690" s="278">
        <v>0</v>
      </c>
      <c r="I690" s="278">
        <v>0</v>
      </c>
      <c r="J690" s="349" t="str">
        <f t="shared" ref="J690:J691" si="869">IFERROR(G690/F690,"-")</f>
        <v>-</v>
      </c>
      <c r="K690" s="331">
        <f t="shared" si="864"/>
        <v>0</v>
      </c>
      <c r="L690" s="272">
        <f t="shared" si="865"/>
        <v>0</v>
      </c>
      <c r="M690" s="273">
        <f t="shared" si="866"/>
        <v>0</v>
      </c>
      <c r="N690" s="335" t="str">
        <f t="shared" si="867"/>
        <v>-</v>
      </c>
      <c r="O690" s="263" t="str">
        <f t="shared" si="868"/>
        <v>-</v>
      </c>
    </row>
    <row r="691" spans="1:15" ht="24.75" thickBot="1" x14ac:dyDescent="0.3">
      <c r="A691" s="274" t="s">
        <v>102</v>
      </c>
      <c r="B691" s="844"/>
      <c r="C691" s="312" t="s">
        <v>33</v>
      </c>
      <c r="D691" s="312"/>
      <c r="E691" s="280"/>
      <c r="F691" s="281"/>
      <c r="G691" s="332">
        <f t="shared" si="863"/>
        <v>0</v>
      </c>
      <c r="H691" s="282">
        <v>0</v>
      </c>
      <c r="I691" s="282">
        <v>0</v>
      </c>
      <c r="J691" s="349" t="str">
        <f t="shared" si="869"/>
        <v>-</v>
      </c>
      <c r="K691" s="332">
        <f t="shared" si="864"/>
        <v>0</v>
      </c>
      <c r="L691" s="272">
        <f t="shared" si="865"/>
        <v>0</v>
      </c>
      <c r="M691" s="273">
        <f t="shared" si="866"/>
        <v>0</v>
      </c>
      <c r="N691" s="336" t="str">
        <f t="shared" si="867"/>
        <v>-</v>
      </c>
      <c r="O691" s="345" t="str">
        <f t="shared" si="868"/>
        <v>-</v>
      </c>
    </row>
    <row r="692" spans="1:15" ht="23.25" thickBot="1" x14ac:dyDescent="0.3">
      <c r="A692" s="274" t="s">
        <v>102</v>
      </c>
      <c r="B692" s="845" t="s">
        <v>34</v>
      </c>
      <c r="C692" s="846"/>
      <c r="D692" s="847"/>
      <c r="E692" s="283">
        <f>SUM(E689:E691)</f>
        <v>2000</v>
      </c>
      <c r="F692" s="284">
        <v>6500</v>
      </c>
      <c r="G692" s="319">
        <f>SUM(G689:G691)</f>
        <v>0</v>
      </c>
      <c r="H692" s="320">
        <f t="shared" ref="H692:I692" si="870">SUM(H689:H691)</f>
        <v>0</v>
      </c>
      <c r="I692" s="320">
        <f t="shared" si="870"/>
        <v>0</v>
      </c>
      <c r="J692" s="343">
        <f>IFERROR(G692/F692,"-")</f>
        <v>0</v>
      </c>
      <c r="K692" s="319">
        <f t="shared" ref="K692:M692" si="871">SUM(K689:K691)</f>
        <v>0</v>
      </c>
      <c r="L692" s="320">
        <f t="shared" si="871"/>
        <v>0</v>
      </c>
      <c r="M692" s="321">
        <f t="shared" si="871"/>
        <v>0</v>
      </c>
      <c r="N692" s="337">
        <f t="shared" si="867"/>
        <v>0</v>
      </c>
      <c r="O692" s="343" t="str">
        <f t="shared" si="868"/>
        <v>-</v>
      </c>
    </row>
    <row r="693" spans="1:15" ht="24" x14ac:dyDescent="0.25">
      <c r="A693" s="274" t="s">
        <v>102</v>
      </c>
      <c r="B693" s="842" t="s">
        <v>35</v>
      </c>
      <c r="C693" s="310" t="s">
        <v>113</v>
      </c>
      <c r="D693" s="310"/>
      <c r="E693" s="270">
        <v>106160</v>
      </c>
      <c r="F693" s="271"/>
      <c r="G693" s="330">
        <f t="shared" ref="G693:G696" si="872">+H693+I693</f>
        <v>0</v>
      </c>
      <c r="H693" s="272">
        <v>0</v>
      </c>
      <c r="I693" s="272">
        <v>0</v>
      </c>
      <c r="J693" s="349" t="str">
        <f>IFERROR(G693/F693,"-")</f>
        <v>-</v>
      </c>
      <c r="K693" s="330">
        <f t="shared" ref="K693:K696" si="873">+L693+M693</f>
        <v>0</v>
      </c>
      <c r="L693" s="272">
        <f t="shared" ref="L693:L696" si="874">+H693+L575</f>
        <v>0</v>
      </c>
      <c r="M693" s="273">
        <f t="shared" ref="M693:M696" si="875">+I693+M575</f>
        <v>0</v>
      </c>
      <c r="N693" s="334">
        <f t="shared" si="867"/>
        <v>0</v>
      </c>
      <c r="O693" s="344" t="str">
        <f t="shared" si="868"/>
        <v>-</v>
      </c>
    </row>
    <row r="694" spans="1:15" ht="24" x14ac:dyDescent="0.25">
      <c r="A694" s="274" t="s">
        <v>102</v>
      </c>
      <c r="B694" s="843"/>
      <c r="C694" s="311" t="s">
        <v>246</v>
      </c>
      <c r="D694" s="311"/>
      <c r="E694" s="276">
        <v>10000</v>
      </c>
      <c r="F694" s="277"/>
      <c r="G694" s="331">
        <f t="shared" si="872"/>
        <v>0</v>
      </c>
      <c r="H694" s="278">
        <v>0</v>
      </c>
      <c r="I694" s="278">
        <v>0</v>
      </c>
      <c r="J694" s="349" t="str">
        <f t="shared" ref="J694:J696" si="876">IFERROR(G694/F694,"-")</f>
        <v>-</v>
      </c>
      <c r="K694" s="331">
        <f t="shared" si="873"/>
        <v>0</v>
      </c>
      <c r="L694" s="272">
        <f t="shared" si="874"/>
        <v>0</v>
      </c>
      <c r="M694" s="273">
        <f t="shared" si="875"/>
        <v>0</v>
      </c>
      <c r="N694" s="335">
        <f t="shared" si="867"/>
        <v>0</v>
      </c>
      <c r="O694" s="263" t="str">
        <f t="shared" si="868"/>
        <v>-</v>
      </c>
    </row>
    <row r="695" spans="1:15" ht="24" x14ac:dyDescent="0.25">
      <c r="A695" s="274" t="s">
        <v>102</v>
      </c>
      <c r="B695" s="843"/>
      <c r="C695" s="311" t="s">
        <v>469</v>
      </c>
      <c r="D695" s="311"/>
      <c r="E695" s="276"/>
      <c r="F695" s="277"/>
      <c r="G695" s="331">
        <f t="shared" si="872"/>
        <v>0</v>
      </c>
      <c r="H695" s="278">
        <v>0</v>
      </c>
      <c r="I695" s="278">
        <v>0</v>
      </c>
      <c r="J695" s="349" t="str">
        <f t="shared" si="876"/>
        <v>-</v>
      </c>
      <c r="K695" s="331">
        <f t="shared" si="873"/>
        <v>0</v>
      </c>
      <c r="L695" s="272">
        <f t="shared" si="874"/>
        <v>0</v>
      </c>
      <c r="M695" s="273">
        <f t="shared" si="875"/>
        <v>0</v>
      </c>
      <c r="N695" s="335" t="str">
        <f t="shared" si="867"/>
        <v>-</v>
      </c>
      <c r="O695" s="263" t="str">
        <f t="shared" si="868"/>
        <v>-</v>
      </c>
    </row>
    <row r="696" spans="1:15" ht="24.75" thickBot="1" x14ac:dyDescent="0.3">
      <c r="A696" s="274" t="s">
        <v>102</v>
      </c>
      <c r="B696" s="844"/>
      <c r="C696" s="312" t="s">
        <v>36</v>
      </c>
      <c r="D696" s="312"/>
      <c r="E696" s="280"/>
      <c r="F696" s="281"/>
      <c r="G696" s="332">
        <f t="shared" si="872"/>
        <v>0</v>
      </c>
      <c r="H696" s="278">
        <v>0</v>
      </c>
      <c r="I696" s="278">
        <v>0</v>
      </c>
      <c r="J696" s="349" t="str">
        <f t="shared" si="876"/>
        <v>-</v>
      </c>
      <c r="K696" s="332">
        <f t="shared" si="873"/>
        <v>0</v>
      </c>
      <c r="L696" s="272">
        <f t="shared" si="874"/>
        <v>0</v>
      </c>
      <c r="M696" s="273">
        <f t="shared" si="875"/>
        <v>0</v>
      </c>
      <c r="N696" s="336" t="str">
        <f t="shared" si="867"/>
        <v>-</v>
      </c>
      <c r="O696" s="345" t="str">
        <f t="shared" si="868"/>
        <v>-</v>
      </c>
    </row>
    <row r="697" spans="1:15" ht="23.25" thickBot="1" x14ac:dyDescent="0.3">
      <c r="A697" s="274" t="s">
        <v>102</v>
      </c>
      <c r="B697" s="845" t="s">
        <v>37</v>
      </c>
      <c r="C697" s="846"/>
      <c r="D697" s="847"/>
      <c r="E697" s="283">
        <f>SUM(E693:E696)</f>
        <v>116160</v>
      </c>
      <c r="F697" s="284">
        <v>6500</v>
      </c>
      <c r="G697" s="319">
        <f>SUM(G693:G696)</f>
        <v>0</v>
      </c>
      <c r="H697" s="320">
        <f t="shared" ref="H697:I697" si="877">SUM(H693:H696)</f>
        <v>0</v>
      </c>
      <c r="I697" s="320">
        <f t="shared" si="877"/>
        <v>0</v>
      </c>
      <c r="J697" s="343">
        <f>IFERROR(G697/F697,"-")</f>
        <v>0</v>
      </c>
      <c r="K697" s="319">
        <f t="shared" ref="K697:M697" si="878">SUM(K693:K696)</f>
        <v>0</v>
      </c>
      <c r="L697" s="320">
        <f t="shared" si="878"/>
        <v>0</v>
      </c>
      <c r="M697" s="321">
        <f t="shared" si="878"/>
        <v>0</v>
      </c>
      <c r="N697" s="337">
        <f>IFERROR(K697/E697,"-")</f>
        <v>0</v>
      </c>
      <c r="O697" s="343" t="str">
        <f t="shared" si="868"/>
        <v>-</v>
      </c>
    </row>
    <row r="698" spans="1:15" ht="24" x14ac:dyDescent="0.25">
      <c r="A698" s="274" t="s">
        <v>102</v>
      </c>
      <c r="B698" s="842" t="s">
        <v>400</v>
      </c>
      <c r="C698" s="313" t="s">
        <v>116</v>
      </c>
      <c r="D698" s="313"/>
      <c r="E698" s="270">
        <v>22000</v>
      </c>
      <c r="F698" s="271"/>
      <c r="G698" s="330">
        <f t="shared" ref="G698:G699" si="879">+H698+I698</f>
        <v>0</v>
      </c>
      <c r="H698" s="272">
        <v>0</v>
      </c>
      <c r="I698" s="272">
        <v>0</v>
      </c>
      <c r="J698" s="349" t="str">
        <f>IFERROR(G698/F698,"-")</f>
        <v>-</v>
      </c>
      <c r="K698" s="330">
        <f t="shared" ref="K698:K699" si="880">+L698+M698</f>
        <v>0</v>
      </c>
      <c r="L698" s="272">
        <f t="shared" ref="L698:L699" si="881">+H698+L580</f>
        <v>0</v>
      </c>
      <c r="M698" s="273">
        <f t="shared" ref="M698:M699" si="882">+I698+M580</f>
        <v>0</v>
      </c>
      <c r="N698" s="334">
        <f t="shared" ref="N698:N714" si="883">IFERROR(K698/E698,"-")</f>
        <v>0</v>
      </c>
      <c r="O698" s="344" t="str">
        <f t="shared" si="868"/>
        <v>-</v>
      </c>
    </row>
    <row r="699" spans="1:15" ht="24.75" thickBot="1" x14ac:dyDescent="0.3">
      <c r="A699" s="274" t="s">
        <v>102</v>
      </c>
      <c r="B699" s="844"/>
      <c r="C699" s="285" t="s">
        <v>132</v>
      </c>
      <c r="D699" s="285"/>
      <c r="E699" s="280">
        <v>9000</v>
      </c>
      <c r="F699" s="281"/>
      <c r="G699" s="332">
        <f t="shared" si="879"/>
        <v>0</v>
      </c>
      <c r="H699" s="282">
        <v>0</v>
      </c>
      <c r="I699" s="282">
        <v>0</v>
      </c>
      <c r="J699" s="349" t="str">
        <f>IFERROR(G699/F699,"-")</f>
        <v>-</v>
      </c>
      <c r="K699" s="332">
        <f t="shared" si="880"/>
        <v>0</v>
      </c>
      <c r="L699" s="272">
        <f t="shared" si="881"/>
        <v>0</v>
      </c>
      <c r="M699" s="273">
        <f t="shared" si="882"/>
        <v>0</v>
      </c>
      <c r="N699" s="336">
        <f t="shared" si="883"/>
        <v>0</v>
      </c>
      <c r="O699" s="345" t="str">
        <f t="shared" si="868"/>
        <v>-</v>
      </c>
    </row>
    <row r="700" spans="1:15" ht="23.25" thickBot="1" x14ac:dyDescent="0.3">
      <c r="A700" s="835" t="s">
        <v>102</v>
      </c>
      <c r="B700" s="845" t="s">
        <v>38</v>
      </c>
      <c r="C700" s="846"/>
      <c r="D700" s="847"/>
      <c r="E700" s="283">
        <f>SUM(E698:E699)</f>
        <v>31000</v>
      </c>
      <c r="F700" s="284">
        <v>2800</v>
      </c>
      <c r="G700" s="319">
        <f>SUM(G698:G699)</f>
        <v>0</v>
      </c>
      <c r="H700" s="320">
        <f t="shared" ref="H700:I700" si="884">SUM(H698:H699)</f>
        <v>0</v>
      </c>
      <c r="I700" s="320">
        <f t="shared" si="884"/>
        <v>0</v>
      </c>
      <c r="J700" s="343" t="str">
        <f>IFERROR(G700/F690,"-")</f>
        <v>-</v>
      </c>
      <c r="K700" s="319">
        <f t="shared" ref="K700:M700" si="885">SUM(K698:K699)</f>
        <v>0</v>
      </c>
      <c r="L700" s="320">
        <f t="shared" si="885"/>
        <v>0</v>
      </c>
      <c r="M700" s="321">
        <f t="shared" si="885"/>
        <v>0</v>
      </c>
      <c r="N700" s="337">
        <f t="shared" si="883"/>
        <v>0</v>
      </c>
      <c r="O700" s="343" t="str">
        <f t="shared" si="868"/>
        <v>-</v>
      </c>
    </row>
    <row r="701" spans="1:15" ht="24" x14ac:dyDescent="0.25">
      <c r="A701" s="274" t="s">
        <v>102</v>
      </c>
      <c r="B701" s="842" t="s">
        <v>401</v>
      </c>
      <c r="C701" s="269" t="s">
        <v>305</v>
      </c>
      <c r="D701" s="269"/>
      <c r="E701" s="270">
        <v>978200</v>
      </c>
      <c r="F701" s="314"/>
      <c r="G701" s="330">
        <f t="shared" ref="G701:G705" si="886">+H701+I701</f>
        <v>72858</v>
      </c>
      <c r="H701" s="272">
        <v>72240</v>
      </c>
      <c r="I701" s="272">
        <v>618</v>
      </c>
      <c r="J701" s="369" t="str">
        <f>IFERROR(G701/F701,"-")</f>
        <v>-</v>
      </c>
      <c r="K701" s="330">
        <f t="shared" ref="K701:K705" si="887">+L701+M701</f>
        <v>309351</v>
      </c>
      <c r="L701" s="272">
        <f t="shared" ref="L701:L705" si="888">+H701+L583</f>
        <v>305820</v>
      </c>
      <c r="M701" s="272">
        <f t="shared" ref="M701:M705" si="889">+I701+M583</f>
        <v>3531</v>
      </c>
      <c r="N701" s="357">
        <f t="shared" si="883"/>
        <v>0.3162451441423022</v>
      </c>
      <c r="O701" s="358">
        <f t="shared" si="868"/>
        <v>1.1414218800003879E-2</v>
      </c>
    </row>
    <row r="702" spans="1:15" ht="24" x14ac:dyDescent="0.25">
      <c r="A702" s="274" t="s">
        <v>102</v>
      </c>
      <c r="B702" s="843"/>
      <c r="C702" s="269" t="s">
        <v>306</v>
      </c>
      <c r="D702" s="275"/>
      <c r="E702" s="276"/>
      <c r="F702" s="315"/>
      <c r="G702" s="331">
        <f t="shared" si="886"/>
        <v>0</v>
      </c>
      <c r="H702" s="278">
        <v>0</v>
      </c>
      <c r="I702" s="278">
        <v>0</v>
      </c>
      <c r="J702" s="369" t="str">
        <f t="shared" ref="J702:J705" si="890">IFERROR(G702/F702,"-")</f>
        <v>-</v>
      </c>
      <c r="K702" s="331">
        <f t="shared" si="887"/>
        <v>0</v>
      </c>
      <c r="L702" s="272">
        <f t="shared" si="888"/>
        <v>0</v>
      </c>
      <c r="M702" s="273">
        <f t="shared" si="889"/>
        <v>0</v>
      </c>
      <c r="N702" s="359" t="str">
        <f t="shared" si="883"/>
        <v>-</v>
      </c>
      <c r="O702" s="360" t="str">
        <f t="shared" si="868"/>
        <v>-</v>
      </c>
    </row>
    <row r="703" spans="1:15" ht="24" x14ac:dyDescent="0.25">
      <c r="A703" s="274" t="s">
        <v>102</v>
      </c>
      <c r="B703" s="843"/>
      <c r="C703" s="275" t="s">
        <v>343</v>
      </c>
      <c r="D703" s="275"/>
      <c r="E703" s="276">
        <v>75000</v>
      </c>
      <c r="F703" s="315"/>
      <c r="G703" s="331">
        <f t="shared" si="886"/>
        <v>0</v>
      </c>
      <c r="H703" s="278"/>
      <c r="I703" s="278"/>
      <c r="J703" s="369" t="str">
        <f t="shared" si="890"/>
        <v>-</v>
      </c>
      <c r="K703" s="331">
        <f t="shared" si="887"/>
        <v>40870</v>
      </c>
      <c r="L703" s="272">
        <f t="shared" si="888"/>
        <v>40296</v>
      </c>
      <c r="M703" s="273">
        <f t="shared" si="889"/>
        <v>574</v>
      </c>
      <c r="N703" s="359">
        <f t="shared" si="883"/>
        <v>0.54493333333333338</v>
      </c>
      <c r="O703" s="360">
        <f t="shared" si="868"/>
        <v>1.4044531441154881E-2</v>
      </c>
    </row>
    <row r="704" spans="1:15" ht="24" x14ac:dyDescent="0.25">
      <c r="A704" s="274" t="s">
        <v>102</v>
      </c>
      <c r="B704" s="843"/>
      <c r="C704" s="275" t="s">
        <v>157</v>
      </c>
      <c r="D704" s="275"/>
      <c r="E704" s="276">
        <v>70040</v>
      </c>
      <c r="F704" s="315"/>
      <c r="G704" s="331">
        <f t="shared" si="886"/>
        <v>0</v>
      </c>
      <c r="H704" s="278">
        <v>0</v>
      </c>
      <c r="I704" s="278">
        <v>0</v>
      </c>
      <c r="J704" s="369" t="str">
        <f t="shared" si="890"/>
        <v>-</v>
      </c>
      <c r="K704" s="331">
        <f t="shared" si="887"/>
        <v>0</v>
      </c>
      <c r="L704" s="272">
        <f t="shared" si="888"/>
        <v>0</v>
      </c>
      <c r="M704" s="273">
        <f t="shared" si="889"/>
        <v>0</v>
      </c>
      <c r="N704" s="359">
        <f t="shared" si="883"/>
        <v>0</v>
      </c>
      <c r="O704" s="360" t="str">
        <f t="shared" si="868"/>
        <v>-</v>
      </c>
    </row>
    <row r="705" spans="1:15" ht="24.75" thickBot="1" x14ac:dyDescent="0.3">
      <c r="A705" s="274" t="s">
        <v>102</v>
      </c>
      <c r="B705" s="844"/>
      <c r="C705" s="279" t="s">
        <v>158</v>
      </c>
      <c r="D705" s="279"/>
      <c r="E705" s="280"/>
      <c r="F705" s="316"/>
      <c r="G705" s="332">
        <f t="shared" si="886"/>
        <v>0</v>
      </c>
      <c r="H705" s="278">
        <v>0</v>
      </c>
      <c r="I705" s="278">
        <v>0</v>
      </c>
      <c r="J705" s="369" t="str">
        <f t="shared" si="890"/>
        <v>-</v>
      </c>
      <c r="K705" s="332">
        <f t="shared" si="887"/>
        <v>0</v>
      </c>
      <c r="L705" s="272">
        <f t="shared" si="888"/>
        <v>0</v>
      </c>
      <c r="M705" s="273">
        <f t="shared" si="889"/>
        <v>0</v>
      </c>
      <c r="N705" s="361" t="str">
        <f t="shared" si="883"/>
        <v>-</v>
      </c>
      <c r="O705" s="362" t="str">
        <f t="shared" si="868"/>
        <v>-</v>
      </c>
    </row>
    <row r="706" spans="1:15" ht="23.25" thickBot="1" x14ac:dyDescent="0.3">
      <c r="A706" s="274" t="s">
        <v>102</v>
      </c>
      <c r="B706" s="845" t="s">
        <v>39</v>
      </c>
      <c r="C706" s="846"/>
      <c r="D706" s="847"/>
      <c r="E706" s="319">
        <f>SUM(E701:E705)</f>
        <v>1123240</v>
      </c>
      <c r="F706" s="284">
        <v>25000</v>
      </c>
      <c r="G706" s="319">
        <f>SUM(G701:G705)</f>
        <v>72858</v>
      </c>
      <c r="H706" s="320">
        <f>SUM(H701:H705)</f>
        <v>72240</v>
      </c>
      <c r="I706" s="320">
        <f>SUM(I701:I705)</f>
        <v>618</v>
      </c>
      <c r="J706" s="343">
        <f>IFERROR(G706/F706,"-")</f>
        <v>2.91432</v>
      </c>
      <c r="K706" s="319">
        <f>SUM(K701:K705)</f>
        <v>350221</v>
      </c>
      <c r="L706" s="320">
        <f>SUM(L701:L705)</f>
        <v>346116</v>
      </c>
      <c r="M706" s="321">
        <f>SUM(M701:M705)</f>
        <v>4105</v>
      </c>
      <c r="N706" s="337">
        <f t="shared" si="883"/>
        <v>0.31179534204622344</v>
      </c>
      <c r="O706" s="343">
        <f t="shared" si="868"/>
        <v>1.1721170346723925E-2</v>
      </c>
    </row>
    <row r="707" spans="1:15" ht="24" x14ac:dyDescent="0.25">
      <c r="A707" s="274" t="s">
        <v>102</v>
      </c>
      <c r="B707" s="842" t="s">
        <v>402</v>
      </c>
      <c r="C707" s="269" t="s">
        <v>186</v>
      </c>
      <c r="D707" s="269"/>
      <c r="E707" s="270"/>
      <c r="F707" s="271"/>
      <c r="G707" s="330">
        <f t="shared" ref="G707:G709" si="891">+H707+I707</f>
        <v>0</v>
      </c>
      <c r="H707" s="272">
        <v>0</v>
      </c>
      <c r="I707" s="272">
        <v>0</v>
      </c>
      <c r="J707" s="349" t="str">
        <f>IFERROR(G707/F707,"-")</f>
        <v>-</v>
      </c>
      <c r="K707" s="330">
        <f t="shared" ref="K707:K709" si="892">+L707+M707</f>
        <v>0</v>
      </c>
      <c r="L707" s="272">
        <f t="shared" ref="L707:L709" si="893">+H707+L589</f>
        <v>0</v>
      </c>
      <c r="M707" s="273">
        <f t="shared" ref="M707:M709" si="894">+I707+M589</f>
        <v>0</v>
      </c>
      <c r="N707" s="334" t="str">
        <f t="shared" si="883"/>
        <v>-</v>
      </c>
      <c r="O707" s="344" t="str">
        <f t="shared" si="868"/>
        <v>-</v>
      </c>
    </row>
    <row r="708" spans="1:15" ht="24" x14ac:dyDescent="0.25">
      <c r="A708" s="274" t="s">
        <v>102</v>
      </c>
      <c r="B708" s="843"/>
      <c r="C708" s="275" t="s">
        <v>470</v>
      </c>
      <c r="D708" s="275"/>
      <c r="E708" s="276"/>
      <c r="F708" s="277"/>
      <c r="G708" s="331">
        <f t="shared" si="891"/>
        <v>0</v>
      </c>
      <c r="H708" s="278">
        <v>0</v>
      </c>
      <c r="I708" s="278">
        <v>0</v>
      </c>
      <c r="J708" s="349" t="str">
        <f t="shared" ref="J708:J709" si="895">IFERROR(G708/F708,"-")</f>
        <v>-</v>
      </c>
      <c r="K708" s="331">
        <f t="shared" si="892"/>
        <v>0</v>
      </c>
      <c r="L708" s="674">
        <f t="shared" si="893"/>
        <v>0</v>
      </c>
      <c r="M708" s="273">
        <f t="shared" si="894"/>
        <v>0</v>
      </c>
      <c r="N708" s="359" t="str">
        <f t="shared" si="883"/>
        <v>-</v>
      </c>
      <c r="O708" s="360" t="str">
        <f t="shared" si="868"/>
        <v>-</v>
      </c>
    </row>
    <row r="709" spans="1:15" ht="24.75" thickBot="1" x14ac:dyDescent="0.3">
      <c r="A709" s="274" t="s">
        <v>102</v>
      </c>
      <c r="B709" s="844"/>
      <c r="C709" s="279" t="s">
        <v>471</v>
      </c>
      <c r="D709" s="279"/>
      <c r="E709" s="280"/>
      <c r="F709" s="281"/>
      <c r="G709" s="332">
        <f t="shared" si="891"/>
        <v>0</v>
      </c>
      <c r="H709" s="278">
        <v>0</v>
      </c>
      <c r="I709" s="278">
        <v>0</v>
      </c>
      <c r="J709" s="349" t="str">
        <f t="shared" si="895"/>
        <v>-</v>
      </c>
      <c r="K709" s="332">
        <f t="shared" si="892"/>
        <v>0</v>
      </c>
      <c r="L709" s="272">
        <f t="shared" si="893"/>
        <v>0</v>
      </c>
      <c r="M709" s="273">
        <f t="shared" si="894"/>
        <v>0</v>
      </c>
      <c r="N709" s="361" t="str">
        <f t="shared" si="883"/>
        <v>-</v>
      </c>
      <c r="O709" s="362" t="str">
        <f t="shared" si="868"/>
        <v>-</v>
      </c>
    </row>
    <row r="710" spans="1:15" ht="23.25" thickBot="1" x14ac:dyDescent="0.3">
      <c r="A710" s="274" t="s">
        <v>102</v>
      </c>
      <c r="B710" s="862" t="s">
        <v>41</v>
      </c>
      <c r="C710" s="863"/>
      <c r="D710" s="864"/>
      <c r="E710" s="319">
        <f>SUM(E707:E709)</f>
        <v>0</v>
      </c>
      <c r="F710" s="284"/>
      <c r="G710" s="319">
        <f>SUM(G707:G709)</f>
        <v>0</v>
      </c>
      <c r="H710" s="320">
        <f t="shared" ref="H710:I710" si="896">SUM(H707:H709)</f>
        <v>0</v>
      </c>
      <c r="I710" s="320">
        <f t="shared" si="896"/>
        <v>0</v>
      </c>
      <c r="J710" s="343" t="str">
        <f>IFERROR(G710/F710,"-")</f>
        <v>-</v>
      </c>
      <c r="K710" s="319">
        <f t="shared" ref="K710:M710" si="897">SUM(K707:K709)</f>
        <v>0</v>
      </c>
      <c r="L710" s="363">
        <f t="shared" si="897"/>
        <v>0</v>
      </c>
      <c r="M710" s="365">
        <f t="shared" si="897"/>
        <v>0</v>
      </c>
      <c r="N710" s="337" t="str">
        <f t="shared" si="883"/>
        <v>-</v>
      </c>
      <c r="O710" s="343" t="str">
        <f t="shared" si="868"/>
        <v>-</v>
      </c>
    </row>
    <row r="711" spans="1:15" ht="24.75" thickBot="1" x14ac:dyDescent="0.3">
      <c r="A711" s="274" t="s">
        <v>102</v>
      </c>
      <c r="B711" s="842" t="s">
        <v>42</v>
      </c>
      <c r="C711" s="269" t="s">
        <v>160</v>
      </c>
      <c r="D711" s="269"/>
      <c r="E711" s="270"/>
      <c r="F711" s="271"/>
      <c r="G711" s="330">
        <f t="shared" ref="G711:G712" si="898">+H711+I711</f>
        <v>0</v>
      </c>
      <c r="H711" s="272"/>
      <c r="I711" s="272"/>
      <c r="J711" s="369" t="str">
        <f>IFERROR(G711/F711,"-")</f>
        <v>-</v>
      </c>
      <c r="K711" s="656">
        <f t="shared" ref="K711:K712" si="899">+L711+M711</f>
        <v>18234</v>
      </c>
      <c r="L711" s="649">
        <f t="shared" ref="L711:L712" si="900">+H711+L593</f>
        <v>17920</v>
      </c>
      <c r="M711" s="649">
        <f t="shared" ref="M711:M712" si="901">+I711+M593</f>
        <v>314</v>
      </c>
      <c r="N711" s="357" t="str">
        <f t="shared" si="883"/>
        <v>-</v>
      </c>
      <c r="O711" s="358">
        <f t="shared" si="868"/>
        <v>1.7220576944170233E-2</v>
      </c>
    </row>
    <row r="712" spans="1:15" ht="24.75" thickBot="1" x14ac:dyDescent="0.3">
      <c r="A712" s="274" t="s">
        <v>102</v>
      </c>
      <c r="B712" s="844"/>
      <c r="C712" s="279" t="s">
        <v>161</v>
      </c>
      <c r="D712" s="279"/>
      <c r="E712" s="280"/>
      <c r="F712" s="281"/>
      <c r="G712" s="332">
        <f t="shared" si="898"/>
        <v>0</v>
      </c>
      <c r="H712" s="282">
        <v>0</v>
      </c>
      <c r="I712" s="282">
        <v>0</v>
      </c>
      <c r="J712" s="371" t="str">
        <f>IFERROR(G712/F712,"-")</f>
        <v>-</v>
      </c>
      <c r="K712" s="657">
        <f t="shared" si="899"/>
        <v>0</v>
      </c>
      <c r="L712" s="649">
        <f t="shared" si="900"/>
        <v>0</v>
      </c>
      <c r="M712" s="649">
        <f t="shared" si="901"/>
        <v>0</v>
      </c>
      <c r="N712" s="361" t="str">
        <f t="shared" si="883"/>
        <v>-</v>
      </c>
      <c r="O712" s="362" t="str">
        <f t="shared" si="868"/>
        <v>-</v>
      </c>
    </row>
    <row r="713" spans="1:15" ht="23.25" thickBot="1" x14ac:dyDescent="0.3">
      <c r="A713" s="274" t="s">
        <v>102</v>
      </c>
      <c r="B713" s="862" t="s">
        <v>43</v>
      </c>
      <c r="C713" s="863"/>
      <c r="D713" s="864"/>
      <c r="E713" s="283">
        <f>SUM(E711:E712)</f>
        <v>0</v>
      </c>
      <c r="F713" s="284">
        <v>25000</v>
      </c>
      <c r="G713" s="319">
        <f>SUM(G711:G712)</f>
        <v>0</v>
      </c>
      <c r="H713" s="320">
        <f t="shared" ref="H713:I713" si="902">SUM(H711:H712)</f>
        <v>0</v>
      </c>
      <c r="I713" s="320">
        <f t="shared" si="902"/>
        <v>0</v>
      </c>
      <c r="J713" s="343">
        <f>IFERROR(G713/F713,"-")</f>
        <v>0</v>
      </c>
      <c r="K713" s="719">
        <f t="shared" ref="K713:M713" si="903">SUM(K711:K712)</f>
        <v>18234</v>
      </c>
      <c r="L713" s="720">
        <f t="shared" si="903"/>
        <v>17920</v>
      </c>
      <c r="M713" s="720">
        <f t="shared" si="903"/>
        <v>314</v>
      </c>
      <c r="N713" s="337" t="str">
        <f t="shared" si="883"/>
        <v>-</v>
      </c>
      <c r="O713" s="343">
        <f t="shared" si="868"/>
        <v>1.7220576944170233E-2</v>
      </c>
    </row>
    <row r="714" spans="1:15" ht="23.25" thickBot="1" x14ac:dyDescent="0.3">
      <c r="A714" s="274" t="s">
        <v>102</v>
      </c>
      <c r="B714" s="856" t="s">
        <v>25</v>
      </c>
      <c r="C714" s="857"/>
      <c r="D714" s="858"/>
      <c r="E714" s="324">
        <f t="shared" ref="E714:F714" si="904">+E692+E697+E700+E706+E710+E713</f>
        <v>1272400</v>
      </c>
      <c r="F714" s="325">
        <f t="shared" si="904"/>
        <v>65800</v>
      </c>
      <c r="G714" s="324">
        <f>+G692+G697+G700+G706+G710+G713</f>
        <v>72858</v>
      </c>
      <c r="H714" s="322">
        <f>+H692+H697+H700+H706+H710+H713</f>
        <v>72240</v>
      </c>
      <c r="I714" s="322">
        <f t="shared" ref="I714" si="905">+I692+I697+I700+I706+I710+I713</f>
        <v>618</v>
      </c>
      <c r="J714" s="347">
        <f>IFERROR(G714/F714,"-")</f>
        <v>1.1072644376899696</v>
      </c>
      <c r="K714" s="324">
        <f>+K692+K697+K700+K706+K710+K713</f>
        <v>368455</v>
      </c>
      <c r="L714" s="718">
        <f t="shared" ref="L714:M714" si="906">+L692+L697+L700+L706+L710+L713</f>
        <v>364036</v>
      </c>
      <c r="M714" s="323">
        <f t="shared" si="906"/>
        <v>4419</v>
      </c>
      <c r="N714" s="339">
        <f t="shared" si="883"/>
        <v>0.28957481923923295</v>
      </c>
      <c r="O714" s="347">
        <f t="shared" si="868"/>
        <v>1.1993323472337192E-2</v>
      </c>
    </row>
    <row r="715" spans="1:15" ht="23.25" thickBot="1" x14ac:dyDescent="0.3">
      <c r="A715" s="317" t="s">
        <v>102</v>
      </c>
      <c r="B715" s="840" t="s">
        <v>173</v>
      </c>
      <c r="C715" s="840"/>
      <c r="D715" s="841"/>
      <c r="E715" s="328">
        <f>+E714</f>
        <v>1272400</v>
      </c>
      <c r="F715" s="329">
        <f t="shared" ref="F715:I715" si="907">+F714</f>
        <v>65800</v>
      </c>
      <c r="G715" s="328">
        <f t="shared" si="907"/>
        <v>72858</v>
      </c>
      <c r="H715" s="326">
        <f t="shared" si="907"/>
        <v>72240</v>
      </c>
      <c r="I715" s="326">
        <f t="shared" si="907"/>
        <v>618</v>
      </c>
      <c r="J715" s="348">
        <f>+G715/F715</f>
        <v>1.1072644376899696</v>
      </c>
      <c r="K715" s="328">
        <f t="shared" ref="K715:O715" si="908">+K714</f>
        <v>368455</v>
      </c>
      <c r="L715" s="326">
        <f t="shared" si="908"/>
        <v>364036</v>
      </c>
      <c r="M715" s="327">
        <f t="shared" si="908"/>
        <v>4419</v>
      </c>
      <c r="N715" s="340">
        <f t="shared" si="908"/>
        <v>0.28957481923923295</v>
      </c>
      <c r="O715" s="348">
        <f t="shared" si="908"/>
        <v>1.1993323472337192E-2</v>
      </c>
    </row>
    <row r="716" spans="1:15" ht="26.25" thickBot="1" x14ac:dyDescent="0.3">
      <c r="A716" s="318"/>
      <c r="B716" s="859" t="s">
        <v>174</v>
      </c>
      <c r="C716" s="860"/>
      <c r="D716" s="861"/>
      <c r="E716" s="372">
        <f>+E653+E688+E715</f>
        <v>7785572</v>
      </c>
      <c r="F716" s="372">
        <f>+F653+F688+F715</f>
        <v>914800</v>
      </c>
      <c r="G716" s="372">
        <f>+G653+G688+G715</f>
        <v>349948</v>
      </c>
      <c r="H716" s="372">
        <f>+H653+H688+H715</f>
        <v>344731</v>
      </c>
      <c r="I716" s="372">
        <f>+I653+I688+I715</f>
        <v>5217</v>
      </c>
      <c r="J716" s="373">
        <f>IFERROR(G716/F716,"-")</f>
        <v>0.38254044599912551</v>
      </c>
      <c r="K716" s="372">
        <f>+K653+K688+K715</f>
        <v>1867447</v>
      </c>
      <c r="L716" s="372">
        <f>+L653+L688+L715</f>
        <v>1839712</v>
      </c>
      <c r="M716" s="372">
        <f>+M653+M688+M715</f>
        <v>27735</v>
      </c>
      <c r="N716" s="373">
        <f>IFERROR(K716/E716,"-")</f>
        <v>0.23985996147746114</v>
      </c>
      <c r="O716" s="373">
        <f>IFERROR(M716/K716,"-")</f>
        <v>1.4851827120127104E-2</v>
      </c>
    </row>
    <row r="719" spans="1:15" x14ac:dyDescent="0.25">
      <c r="G719" s="222"/>
      <c r="J719" s="222"/>
      <c r="K719" s="222"/>
      <c r="N719" s="222"/>
      <c r="O719" s="222"/>
    </row>
  </sheetData>
  <mergeCells count="301">
    <mergeCell ref="B714:D714"/>
    <mergeCell ref="B715:D715"/>
    <mergeCell ref="B716:D716"/>
    <mergeCell ref="B697:D697"/>
    <mergeCell ref="B698:B699"/>
    <mergeCell ref="B700:D700"/>
    <mergeCell ref="B701:B705"/>
    <mergeCell ref="B706:D706"/>
    <mergeCell ref="B707:B709"/>
    <mergeCell ref="B710:D710"/>
    <mergeCell ref="B711:B712"/>
    <mergeCell ref="B713:D713"/>
    <mergeCell ref="B665:B672"/>
    <mergeCell ref="B673:D673"/>
    <mergeCell ref="B674:B684"/>
    <mergeCell ref="B685:D685"/>
    <mergeCell ref="B687:D687"/>
    <mergeCell ref="B688:D688"/>
    <mergeCell ref="B689:B691"/>
    <mergeCell ref="B692:D692"/>
    <mergeCell ref="B693:B696"/>
    <mergeCell ref="B635:D635"/>
    <mergeCell ref="B636:D636"/>
    <mergeCell ref="B637:B640"/>
    <mergeCell ref="B641:D641"/>
    <mergeCell ref="B642:B650"/>
    <mergeCell ref="B651:D651"/>
    <mergeCell ref="B652:D652"/>
    <mergeCell ref="B653:D653"/>
    <mergeCell ref="B654:B664"/>
    <mergeCell ref="B603:B606"/>
    <mergeCell ref="B607:D607"/>
    <mergeCell ref="B608:B614"/>
    <mergeCell ref="B615:D615"/>
    <mergeCell ref="B616:B622"/>
    <mergeCell ref="B623:D623"/>
    <mergeCell ref="B624:B630"/>
    <mergeCell ref="B631:D631"/>
    <mergeCell ref="B632:B634"/>
    <mergeCell ref="A600:A602"/>
    <mergeCell ref="B600:B602"/>
    <mergeCell ref="C600:C602"/>
    <mergeCell ref="D600:D602"/>
    <mergeCell ref="E600:O600"/>
    <mergeCell ref="E601:E602"/>
    <mergeCell ref="F601:F602"/>
    <mergeCell ref="G601:J601"/>
    <mergeCell ref="K601:M601"/>
    <mergeCell ref="N601:N602"/>
    <mergeCell ref="O601:O602"/>
    <mergeCell ref="B596:D596"/>
    <mergeCell ref="B597:D597"/>
    <mergeCell ref="B598:D598"/>
    <mergeCell ref="B579:D579"/>
    <mergeCell ref="B580:B581"/>
    <mergeCell ref="B582:D582"/>
    <mergeCell ref="B583:B587"/>
    <mergeCell ref="B588:D588"/>
    <mergeCell ref="B589:B591"/>
    <mergeCell ref="B592:D592"/>
    <mergeCell ref="B593:B594"/>
    <mergeCell ref="B595:D595"/>
    <mergeCell ref="B547:B554"/>
    <mergeCell ref="B555:D555"/>
    <mergeCell ref="B556:B566"/>
    <mergeCell ref="B567:D567"/>
    <mergeCell ref="B569:D569"/>
    <mergeCell ref="B570:D570"/>
    <mergeCell ref="B571:B573"/>
    <mergeCell ref="B574:D574"/>
    <mergeCell ref="B575:B578"/>
    <mergeCell ref="B517:D517"/>
    <mergeCell ref="B518:D518"/>
    <mergeCell ref="B519:B522"/>
    <mergeCell ref="B523:D523"/>
    <mergeCell ref="B524:B532"/>
    <mergeCell ref="B533:D533"/>
    <mergeCell ref="B534:D534"/>
    <mergeCell ref="B535:D535"/>
    <mergeCell ref="B536:B546"/>
    <mergeCell ref="B485:B488"/>
    <mergeCell ref="B489:D489"/>
    <mergeCell ref="B490:B496"/>
    <mergeCell ref="B497:D497"/>
    <mergeCell ref="B498:B504"/>
    <mergeCell ref="B505:D505"/>
    <mergeCell ref="B506:B512"/>
    <mergeCell ref="B513:D513"/>
    <mergeCell ref="B514:B516"/>
    <mergeCell ref="A482:A484"/>
    <mergeCell ref="B482:B484"/>
    <mergeCell ref="C482:C484"/>
    <mergeCell ref="D482:D484"/>
    <mergeCell ref="E482:O482"/>
    <mergeCell ref="E483:E484"/>
    <mergeCell ref="F483:F484"/>
    <mergeCell ref="G483:J483"/>
    <mergeCell ref="K483:M483"/>
    <mergeCell ref="N483:N484"/>
    <mergeCell ref="O483:O484"/>
    <mergeCell ref="B478:D478"/>
    <mergeCell ref="B479:D479"/>
    <mergeCell ref="B480:D480"/>
    <mergeCell ref="B461:D461"/>
    <mergeCell ref="B462:B463"/>
    <mergeCell ref="B464:D464"/>
    <mergeCell ref="B465:B469"/>
    <mergeCell ref="B470:D470"/>
    <mergeCell ref="B471:B473"/>
    <mergeCell ref="B474:D474"/>
    <mergeCell ref="B475:B476"/>
    <mergeCell ref="B477:D477"/>
    <mergeCell ref="B429:B436"/>
    <mergeCell ref="B437:D437"/>
    <mergeCell ref="B438:B448"/>
    <mergeCell ref="B449:D449"/>
    <mergeCell ref="B451:D451"/>
    <mergeCell ref="B452:D452"/>
    <mergeCell ref="B453:B455"/>
    <mergeCell ref="B456:D456"/>
    <mergeCell ref="B457:B460"/>
    <mergeCell ref="B399:D399"/>
    <mergeCell ref="B400:D400"/>
    <mergeCell ref="B401:B404"/>
    <mergeCell ref="B405:D405"/>
    <mergeCell ref="B406:B414"/>
    <mergeCell ref="B415:D415"/>
    <mergeCell ref="B416:D416"/>
    <mergeCell ref="B417:D417"/>
    <mergeCell ref="B418:B428"/>
    <mergeCell ref="B367:B370"/>
    <mergeCell ref="B371:D371"/>
    <mergeCell ref="B372:B378"/>
    <mergeCell ref="B379:D379"/>
    <mergeCell ref="B380:B386"/>
    <mergeCell ref="B387:D387"/>
    <mergeCell ref="B388:B394"/>
    <mergeCell ref="B395:D395"/>
    <mergeCell ref="B396:B398"/>
    <mergeCell ref="A364:A366"/>
    <mergeCell ref="B364:B366"/>
    <mergeCell ref="C364:C366"/>
    <mergeCell ref="D364:D366"/>
    <mergeCell ref="E364:O364"/>
    <mergeCell ref="E365:E366"/>
    <mergeCell ref="F365:F366"/>
    <mergeCell ref="G365:J365"/>
    <mergeCell ref="K365:M365"/>
    <mergeCell ref="N365:N366"/>
    <mergeCell ref="O365:O366"/>
    <mergeCell ref="B360:D360"/>
    <mergeCell ref="B361:D361"/>
    <mergeCell ref="B362:D362"/>
    <mergeCell ref="B343:D343"/>
    <mergeCell ref="B344:B345"/>
    <mergeCell ref="B346:D346"/>
    <mergeCell ref="B347:B351"/>
    <mergeCell ref="B352:D352"/>
    <mergeCell ref="B353:B355"/>
    <mergeCell ref="B356:D356"/>
    <mergeCell ref="B357:B358"/>
    <mergeCell ref="B359:D359"/>
    <mergeCell ref="B311:B318"/>
    <mergeCell ref="B319:D319"/>
    <mergeCell ref="B320:B330"/>
    <mergeCell ref="B331:D331"/>
    <mergeCell ref="B333:D333"/>
    <mergeCell ref="B334:D334"/>
    <mergeCell ref="B335:B337"/>
    <mergeCell ref="B338:D338"/>
    <mergeCell ref="B339:B342"/>
    <mergeCell ref="B281:D281"/>
    <mergeCell ref="B282:D282"/>
    <mergeCell ref="B283:B286"/>
    <mergeCell ref="B287:D287"/>
    <mergeCell ref="B288:B296"/>
    <mergeCell ref="B297:D297"/>
    <mergeCell ref="B298:D298"/>
    <mergeCell ref="B299:D299"/>
    <mergeCell ref="B300:B310"/>
    <mergeCell ref="B249:B252"/>
    <mergeCell ref="B253:D253"/>
    <mergeCell ref="B254:B260"/>
    <mergeCell ref="B261:D261"/>
    <mergeCell ref="B262:B268"/>
    <mergeCell ref="B269:D269"/>
    <mergeCell ref="B270:B276"/>
    <mergeCell ref="B277:D277"/>
    <mergeCell ref="B278:B280"/>
    <mergeCell ref="A246:A248"/>
    <mergeCell ref="B246:B248"/>
    <mergeCell ref="C246:C248"/>
    <mergeCell ref="D246:D248"/>
    <mergeCell ref="E246:O246"/>
    <mergeCell ref="E247:E248"/>
    <mergeCell ref="F247:F248"/>
    <mergeCell ref="G247:J247"/>
    <mergeCell ref="K247:M247"/>
    <mergeCell ref="N247:N248"/>
    <mergeCell ref="O247:O248"/>
    <mergeCell ref="B241:D241"/>
    <mergeCell ref="B242:D242"/>
    <mergeCell ref="B243:D243"/>
    <mergeCell ref="B244:D244"/>
    <mergeCell ref="B229:B233"/>
    <mergeCell ref="B234:D234"/>
    <mergeCell ref="B235:B237"/>
    <mergeCell ref="B238:D238"/>
    <mergeCell ref="B239:B240"/>
    <mergeCell ref="B220:D220"/>
    <mergeCell ref="B221:B224"/>
    <mergeCell ref="B225:D225"/>
    <mergeCell ref="B226:B227"/>
    <mergeCell ref="B228:D228"/>
    <mergeCell ref="B202:B212"/>
    <mergeCell ref="B213:D213"/>
    <mergeCell ref="B215:D215"/>
    <mergeCell ref="B216:D216"/>
    <mergeCell ref="B217:B219"/>
    <mergeCell ref="B180:D180"/>
    <mergeCell ref="B181:D181"/>
    <mergeCell ref="B182:B192"/>
    <mergeCell ref="B193:B200"/>
    <mergeCell ref="B201:D201"/>
    <mergeCell ref="B164:D164"/>
    <mergeCell ref="B165:B168"/>
    <mergeCell ref="B169:D169"/>
    <mergeCell ref="B170:B178"/>
    <mergeCell ref="B179:D179"/>
    <mergeCell ref="B151:D151"/>
    <mergeCell ref="B152:B158"/>
    <mergeCell ref="B159:D159"/>
    <mergeCell ref="B160:B162"/>
    <mergeCell ref="B163:D163"/>
    <mergeCell ref="B131:B134"/>
    <mergeCell ref="B135:D135"/>
    <mergeCell ref="B136:B142"/>
    <mergeCell ref="B143:D143"/>
    <mergeCell ref="B144:B150"/>
    <mergeCell ref="A128:A130"/>
    <mergeCell ref="B128:B130"/>
    <mergeCell ref="C128:C130"/>
    <mergeCell ref="D128:D130"/>
    <mergeCell ref="E128:O128"/>
    <mergeCell ref="E129:E130"/>
    <mergeCell ref="F129:F130"/>
    <mergeCell ref="G129:J129"/>
    <mergeCell ref="K129:M129"/>
    <mergeCell ref="N129:N130"/>
    <mergeCell ref="O129:O130"/>
    <mergeCell ref="A8:O8"/>
    <mergeCell ref="A10:A12"/>
    <mergeCell ref="B10:B12"/>
    <mergeCell ref="C10:C12"/>
    <mergeCell ref="D10:D12"/>
    <mergeCell ref="E10:O10"/>
    <mergeCell ref="E11:E12"/>
    <mergeCell ref="F11:F12"/>
    <mergeCell ref="G11:J11"/>
    <mergeCell ref="K11:M11"/>
    <mergeCell ref="N11:N12"/>
    <mergeCell ref="O11:O12"/>
    <mergeCell ref="B61:D61"/>
    <mergeCell ref="B62:D62"/>
    <mergeCell ref="B63:D63"/>
    <mergeCell ref="B64:B74"/>
    <mergeCell ref="B13:B16"/>
    <mergeCell ref="B17:D17"/>
    <mergeCell ref="B18:B24"/>
    <mergeCell ref="B25:D25"/>
    <mergeCell ref="B26:B32"/>
    <mergeCell ref="B33:D33"/>
    <mergeCell ref="B34:B40"/>
    <mergeCell ref="B41:D41"/>
    <mergeCell ref="B42:B44"/>
    <mergeCell ref="B45:D45"/>
    <mergeCell ref="B46:D46"/>
    <mergeCell ref="B47:B50"/>
    <mergeCell ref="B51:D51"/>
    <mergeCell ref="B52:B60"/>
    <mergeCell ref="B124:D124"/>
    <mergeCell ref="B125:D125"/>
    <mergeCell ref="B126:D126"/>
    <mergeCell ref="B107:D107"/>
    <mergeCell ref="B108:B109"/>
    <mergeCell ref="B110:D110"/>
    <mergeCell ref="B111:B115"/>
    <mergeCell ref="B116:D116"/>
    <mergeCell ref="B117:B119"/>
    <mergeCell ref="B120:D120"/>
    <mergeCell ref="B121:B122"/>
    <mergeCell ref="B123:D123"/>
    <mergeCell ref="B98:D98"/>
    <mergeCell ref="B99:B101"/>
    <mergeCell ref="B102:D102"/>
    <mergeCell ref="B103:B106"/>
    <mergeCell ref="B75:B82"/>
    <mergeCell ref="B83:D83"/>
    <mergeCell ref="B84:B94"/>
    <mergeCell ref="B95:D95"/>
    <mergeCell ref="B97:D97"/>
  </mergeCells>
  <pageMargins left="0.19685039370078741" right="0.19685039370078741" top="0.19685039370078741" bottom="0.19685039370078741" header="0.19685039370078741" footer="0.19685039370078741"/>
  <pageSetup paperSize="9" scale="27" orientation="portrait" verticalDpi="300" r:id="rId1"/>
  <rowBreaks count="5" manualBreakCount="5">
    <brk id="126" max="14" man="1"/>
    <brk id="244" max="14" man="1"/>
    <brk id="362" max="14" man="1"/>
    <brk id="480" max="14" man="1"/>
    <brk id="598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7:O720"/>
  <sheetViews>
    <sheetView view="pageBreakPreview" topLeftCell="A614" zoomScale="50" zoomScaleNormal="70" zoomScaleSheetLayoutView="50" workbookViewId="0">
      <selection activeCell="F633" sqref="F633"/>
    </sheetView>
  </sheetViews>
  <sheetFormatPr baseColWidth="10" defaultColWidth="9.140625" defaultRowHeight="16.5" x14ac:dyDescent="0.25"/>
  <cols>
    <col min="1" max="1" width="10.140625" style="229" customWidth="1"/>
    <col min="2" max="2" width="26.42578125" style="266" bestFit="1" customWidth="1"/>
    <col min="3" max="3" width="83.42578125" style="266" customWidth="1"/>
    <col min="4" max="4" width="44.28515625" style="229" customWidth="1"/>
    <col min="5" max="5" width="14.7109375" style="374" customWidth="1"/>
    <col min="6" max="7" width="33.140625" style="375" customWidth="1"/>
    <col min="8" max="8" width="14.7109375" style="374" customWidth="1"/>
    <col min="9" max="10" width="33.140625" style="375" customWidth="1"/>
    <col min="11" max="11" width="9.140625" style="229"/>
    <col min="12" max="12" width="11.28515625" style="229" bestFit="1" customWidth="1"/>
    <col min="13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879" t="s">
        <v>492</v>
      </c>
      <c r="B9" s="880"/>
      <c r="C9" s="880"/>
      <c r="D9" s="880"/>
      <c r="E9" s="880"/>
      <c r="F9" s="880"/>
      <c r="G9" s="880"/>
      <c r="H9" s="880"/>
      <c r="I9" s="880"/>
      <c r="J9" s="880"/>
    </row>
    <row r="10" spans="1:10" ht="24.6" customHeight="1" thickBot="1" x14ac:dyDescent="0.3">
      <c r="A10" s="230"/>
      <c r="B10" s="230"/>
      <c r="C10" s="230"/>
      <c r="D10" s="230"/>
      <c r="E10" s="376"/>
      <c r="F10" s="376"/>
      <c r="G10" s="376"/>
      <c r="H10" s="376"/>
      <c r="I10" s="376"/>
      <c r="J10" s="376"/>
    </row>
    <row r="11" spans="1:10" ht="22.5" x14ac:dyDescent="0.25">
      <c r="A11" s="881" t="s">
        <v>1</v>
      </c>
      <c r="B11" s="884" t="s">
        <v>2</v>
      </c>
      <c r="C11" s="887" t="s">
        <v>394</v>
      </c>
      <c r="D11" s="887" t="s">
        <v>395</v>
      </c>
      <c r="E11" s="909" t="s">
        <v>403</v>
      </c>
      <c r="F11" s="910"/>
      <c r="G11" s="910"/>
      <c r="H11" s="438"/>
      <c r="I11" s="438"/>
      <c r="J11" s="439"/>
    </row>
    <row r="12" spans="1:10" ht="22.5" x14ac:dyDescent="0.25">
      <c r="A12" s="882"/>
      <c r="B12" s="885"/>
      <c r="C12" s="888"/>
      <c r="D12" s="888"/>
      <c r="E12" s="911" t="s">
        <v>406</v>
      </c>
      <c r="F12" s="912"/>
      <c r="G12" s="913"/>
      <c r="H12" s="911" t="s">
        <v>168</v>
      </c>
      <c r="I12" s="912"/>
      <c r="J12" s="913"/>
    </row>
    <row r="13" spans="1:10" ht="45" x14ac:dyDescent="0.25">
      <c r="A13" s="883"/>
      <c r="B13" s="907"/>
      <c r="C13" s="908"/>
      <c r="D13" s="908"/>
      <c r="E13" s="377" t="s">
        <v>170</v>
      </c>
      <c r="F13" s="701" t="s">
        <v>405</v>
      </c>
      <c r="G13" s="702" t="s">
        <v>404</v>
      </c>
      <c r="H13" s="914" t="s">
        <v>170</v>
      </c>
      <c r="I13" s="916" t="s">
        <v>137</v>
      </c>
      <c r="J13" s="918" t="s">
        <v>404</v>
      </c>
    </row>
    <row r="14" spans="1:10" ht="23.25" thickBot="1" x14ac:dyDescent="0.3">
      <c r="A14" s="883"/>
      <c r="B14" s="886"/>
      <c r="C14" s="889"/>
      <c r="D14" s="889"/>
      <c r="E14" s="920" t="s">
        <v>487</v>
      </c>
      <c r="F14" s="921"/>
      <c r="G14" s="922"/>
      <c r="H14" s="915"/>
      <c r="I14" s="917"/>
      <c r="J14" s="919"/>
    </row>
    <row r="15" spans="1:10" ht="24" x14ac:dyDescent="0.25">
      <c r="A15" s="268" t="s">
        <v>103</v>
      </c>
      <c r="B15" s="867" t="s">
        <v>16</v>
      </c>
      <c r="C15" s="269" t="s">
        <v>366</v>
      </c>
      <c r="D15" s="269" t="s">
        <v>367</v>
      </c>
      <c r="E15" s="665">
        <v>81.360699999999994</v>
      </c>
      <c r="F15" s="398">
        <f>IFERROR(E15*'01 Prod Physique Boites'!H13,"-")</f>
        <v>0</v>
      </c>
      <c r="G15" s="398">
        <f>IFERROR(E15*'01 Prod Physique Boites'!L13,"-")</f>
        <v>0</v>
      </c>
      <c r="H15" s="666">
        <v>143.28</v>
      </c>
      <c r="I15" s="415">
        <f>IFERROR(H15*(F15/E15),"-")</f>
        <v>0</v>
      </c>
      <c r="J15" s="416">
        <f t="shared" ref="J15:J17" si="0">IFERROR(H15*(G15/E15),"-")</f>
        <v>0</v>
      </c>
    </row>
    <row r="16" spans="1:10" ht="24" x14ac:dyDescent="0.25">
      <c r="A16" s="673"/>
      <c r="B16" s="868"/>
      <c r="C16" s="275" t="s">
        <v>464</v>
      </c>
      <c r="D16" s="275" t="s">
        <v>373</v>
      </c>
      <c r="E16" s="501">
        <v>81.360699999999994</v>
      </c>
      <c r="F16" s="398">
        <f>IFERROR(E16*'01 Prod Physique Boites'!H14,"-")</f>
        <v>0</v>
      </c>
      <c r="G16" s="398">
        <f>IFERROR(E16*'01 Prod Physique Boites'!L14,"-")</f>
        <v>0</v>
      </c>
      <c r="H16" s="668">
        <v>143.28</v>
      </c>
      <c r="I16" s="415">
        <f>IFERROR(H16*(F16/E16),"-")</f>
        <v>0</v>
      </c>
      <c r="J16" s="416">
        <f t="shared" si="0"/>
        <v>0</v>
      </c>
    </row>
    <row r="17" spans="1:15" ht="24" x14ac:dyDescent="0.25">
      <c r="A17" s="274" t="s">
        <v>103</v>
      </c>
      <c r="B17" s="868"/>
      <c r="C17" s="275" t="s">
        <v>427</v>
      </c>
      <c r="D17" s="275" t="s">
        <v>382</v>
      </c>
      <c r="E17" s="645">
        <v>77.170400000000001</v>
      </c>
      <c r="F17" s="398">
        <f>IFERROR(E17*'01 Prod Physique Boites'!H15,"-")</f>
        <v>321028.864</v>
      </c>
      <c r="G17" s="646">
        <f>IFERROR(E17*'01 Prod Physique Boites'!L15,"-")</f>
        <v>321028.864</v>
      </c>
      <c r="H17" s="382">
        <v>0</v>
      </c>
      <c r="I17" s="415">
        <f>IFERROR(H17*(F17/E17),"-")</f>
        <v>0</v>
      </c>
      <c r="J17" s="416">
        <f t="shared" si="0"/>
        <v>0</v>
      </c>
    </row>
    <row r="18" spans="1:15" ht="24.75" thickBot="1" x14ac:dyDescent="0.3">
      <c r="A18" s="274" t="s">
        <v>103</v>
      </c>
      <c r="B18" s="869"/>
      <c r="C18" s="279" t="s">
        <v>261</v>
      </c>
      <c r="D18" s="279" t="s">
        <v>230</v>
      </c>
      <c r="E18" s="497">
        <v>60.703499999999998</v>
      </c>
      <c r="F18" s="398">
        <f>IFERROR(E18*'01 Prod Physique Boites'!H16,"-")</f>
        <v>0</v>
      </c>
      <c r="G18" s="398">
        <f>IFERROR(E18*'01 Prod Physique Boites'!L16,"-")</f>
        <v>0</v>
      </c>
      <c r="H18" s="384">
        <v>111.09</v>
      </c>
      <c r="I18" s="415">
        <f>IFERROR(H18*(F18/E18),"-")</f>
        <v>0</v>
      </c>
      <c r="J18" s="416">
        <f>IFERROR(H18*(G18/E18),"-")</f>
        <v>0</v>
      </c>
    </row>
    <row r="19" spans="1:15" ht="23.25" thickBot="1" x14ac:dyDescent="0.3">
      <c r="A19" s="274" t="s">
        <v>103</v>
      </c>
      <c r="B19" s="845" t="s">
        <v>44</v>
      </c>
      <c r="C19" s="846"/>
      <c r="D19" s="847"/>
      <c r="E19" s="386"/>
      <c r="F19" s="402">
        <f t="shared" ref="F19" si="1">SUM(F15:F18)</f>
        <v>321028.864</v>
      </c>
      <c r="G19" s="403">
        <f>SUM(G15:G18)</f>
        <v>321028.864</v>
      </c>
      <c r="H19" s="387"/>
      <c r="I19" s="402">
        <f t="shared" ref="I19:J19" si="2">SUM(I15:I18)</f>
        <v>0</v>
      </c>
      <c r="J19" s="421">
        <f t="shared" si="2"/>
        <v>0</v>
      </c>
      <c r="K19" s="664"/>
      <c r="L19" s="664"/>
      <c r="M19" s="664"/>
      <c r="N19" s="664"/>
      <c r="O19" s="664"/>
    </row>
    <row r="20" spans="1:15" ht="24" x14ac:dyDescent="0.25">
      <c r="A20" s="274" t="s">
        <v>103</v>
      </c>
      <c r="B20" s="867" t="s">
        <v>17</v>
      </c>
      <c r="C20" s="269" t="s">
        <v>293</v>
      </c>
      <c r="D20" s="269"/>
      <c r="E20" s="500">
        <v>12.5275</v>
      </c>
      <c r="F20" s="398">
        <f>IFERROR(E20*'01 Prod Physique Boites'!H18,"-")</f>
        <v>0</v>
      </c>
      <c r="G20" s="398">
        <f>IFERROR(E20*'01 Prod Physique Boites'!L18,"-")</f>
        <v>0</v>
      </c>
      <c r="H20" s="642">
        <v>18.836400000000001</v>
      </c>
      <c r="I20" s="415">
        <f t="shared" ref="I20:I26" si="3">IFERROR(H20*(F20/E20),"-")</f>
        <v>0</v>
      </c>
      <c r="J20" s="416">
        <f t="shared" ref="J20:J25" si="4">IFERROR(H20*(G20/E20),"-")</f>
        <v>0</v>
      </c>
    </row>
    <row r="21" spans="1:15" ht="24" x14ac:dyDescent="0.25">
      <c r="A21" s="274" t="s">
        <v>103</v>
      </c>
      <c r="B21" s="868"/>
      <c r="C21" s="275" t="s">
        <v>342</v>
      </c>
      <c r="D21" s="275" t="s">
        <v>231</v>
      </c>
      <c r="E21" s="638">
        <v>13.002700000000001</v>
      </c>
      <c r="F21" s="398">
        <f>IFERROR(E21*'01 Prod Physique Boites'!H19,"-")</f>
        <v>0</v>
      </c>
      <c r="G21" s="398">
        <f>IFERROR(E21*'01 Prod Physique Boites'!L19,"-")</f>
        <v>0</v>
      </c>
      <c r="H21" s="382">
        <v>21.18</v>
      </c>
      <c r="I21" s="417">
        <f t="shared" si="3"/>
        <v>0</v>
      </c>
      <c r="J21" s="418">
        <f t="shared" si="4"/>
        <v>0</v>
      </c>
    </row>
    <row r="22" spans="1:15" ht="24" x14ac:dyDescent="0.25">
      <c r="A22" s="274" t="s">
        <v>103</v>
      </c>
      <c r="B22" s="868"/>
      <c r="C22" s="275" t="s">
        <v>349</v>
      </c>
      <c r="D22" s="275" t="s">
        <v>187</v>
      </c>
      <c r="E22" s="638">
        <v>12.9049</v>
      </c>
      <c r="F22" s="398">
        <f>IFERROR(E22*'01 Prod Physique Boites'!H20,"-")</f>
        <v>307910.91399999999</v>
      </c>
      <c r="G22" s="398">
        <f>IFERROR(E22*'01 Prod Physique Boites'!L20,"-")</f>
        <v>307910.91399999999</v>
      </c>
      <c r="H22" s="382">
        <v>20.5</v>
      </c>
      <c r="I22" s="417">
        <f t="shared" si="3"/>
        <v>489130</v>
      </c>
      <c r="J22" s="418">
        <f t="shared" si="4"/>
        <v>489130</v>
      </c>
    </row>
    <row r="23" spans="1:15" ht="24" x14ac:dyDescent="0.25">
      <c r="A23" s="274" t="s">
        <v>103</v>
      </c>
      <c r="B23" s="868"/>
      <c r="C23" s="275" t="s">
        <v>292</v>
      </c>
      <c r="D23" s="275" t="s">
        <v>188</v>
      </c>
      <c r="E23" s="501">
        <v>13.078200000000001</v>
      </c>
      <c r="F23" s="398">
        <f>IFERROR(E23*'01 Prod Physique Boites'!H21,"-")</f>
        <v>0</v>
      </c>
      <c r="G23" s="398">
        <f>IFERROR(E23*'01 Prod Physique Boites'!L21,"-")</f>
        <v>0</v>
      </c>
      <c r="H23" s="382">
        <v>20.6</v>
      </c>
      <c r="I23" s="417">
        <f t="shared" si="3"/>
        <v>0</v>
      </c>
      <c r="J23" s="418">
        <f t="shared" si="4"/>
        <v>0</v>
      </c>
    </row>
    <row r="24" spans="1:15" ht="24" x14ac:dyDescent="0.25">
      <c r="A24" s="274" t="s">
        <v>103</v>
      </c>
      <c r="B24" s="868"/>
      <c r="C24" s="275" t="s">
        <v>321</v>
      </c>
      <c r="D24" s="275" t="s">
        <v>316</v>
      </c>
      <c r="E24" s="501">
        <v>13.1958</v>
      </c>
      <c r="F24" s="398">
        <f>IFERROR(E24*'01 Prod Physique Boites'!H22,"-")</f>
        <v>0</v>
      </c>
      <c r="G24" s="398">
        <f>IFERROR(E24*'01 Prod Physique Boites'!L22,"-")</f>
        <v>0</v>
      </c>
      <c r="H24" s="382">
        <v>21.28</v>
      </c>
      <c r="I24" s="417">
        <f t="shared" si="3"/>
        <v>0</v>
      </c>
      <c r="J24" s="418">
        <f t="shared" si="4"/>
        <v>0</v>
      </c>
    </row>
    <row r="25" spans="1:15" ht="24" x14ac:dyDescent="0.25">
      <c r="A25" s="274">
        <v>1</v>
      </c>
      <c r="B25" s="868"/>
      <c r="C25" s="275" t="s">
        <v>350</v>
      </c>
      <c r="D25" s="275" t="s">
        <v>189</v>
      </c>
      <c r="E25" s="638">
        <v>12.9049</v>
      </c>
      <c r="F25" s="398">
        <f>IFERROR(E25*'01 Prod Physique Boites'!H23,"-")</f>
        <v>0</v>
      </c>
      <c r="G25" s="398">
        <f>IFERROR(E25*'01 Prod Physique Boites'!L23,"-")</f>
        <v>0</v>
      </c>
      <c r="H25" s="629">
        <v>20.5</v>
      </c>
      <c r="I25" s="417">
        <f t="shared" si="3"/>
        <v>0</v>
      </c>
      <c r="J25" s="418">
        <f t="shared" si="4"/>
        <v>0</v>
      </c>
    </row>
    <row r="26" spans="1:15" ht="24.75" thickBot="1" x14ac:dyDescent="0.3">
      <c r="A26" s="274" t="s">
        <v>103</v>
      </c>
      <c r="B26" s="869"/>
      <c r="C26" s="279" t="s">
        <v>339</v>
      </c>
      <c r="D26" s="279" t="s">
        <v>175</v>
      </c>
      <c r="E26" s="497">
        <v>13.6509</v>
      </c>
      <c r="F26" s="398">
        <f>IFERROR(E26*'01 Prod Physique Boites'!H24,"-")</f>
        <v>0</v>
      </c>
      <c r="G26" s="398">
        <f>IFERROR(E26*'01 Prod Physique Boites'!L24,"-")</f>
        <v>0</v>
      </c>
      <c r="H26" s="384">
        <v>21.18</v>
      </c>
      <c r="I26" s="419">
        <f t="shared" si="3"/>
        <v>0</v>
      </c>
      <c r="J26" s="420">
        <f>IFERROR(H26*(G26/E26),"-")</f>
        <v>0</v>
      </c>
    </row>
    <row r="27" spans="1:15" ht="23.25" thickBot="1" x14ac:dyDescent="0.3">
      <c r="A27" s="274" t="s">
        <v>103</v>
      </c>
      <c r="B27" s="845" t="s">
        <v>45</v>
      </c>
      <c r="C27" s="846"/>
      <c r="D27" s="847"/>
      <c r="E27" s="386"/>
      <c r="F27" s="402">
        <f t="shared" ref="F27" si="5">SUM(F20:F26)</f>
        <v>307910.91399999999</v>
      </c>
      <c r="G27" s="403">
        <f>SUM(G20:G26)</f>
        <v>307910.91399999999</v>
      </c>
      <c r="H27" s="387"/>
      <c r="I27" s="402">
        <f t="shared" ref="I27" si="6">SUM(I20:I26)</f>
        <v>489130</v>
      </c>
      <c r="J27" s="421">
        <f>SUM(J20:J26)</f>
        <v>489130</v>
      </c>
      <c r="K27" s="664"/>
      <c r="L27" s="664"/>
      <c r="M27" s="664"/>
      <c r="N27" s="664"/>
      <c r="O27" s="664"/>
    </row>
    <row r="28" spans="1:15" ht="24" x14ac:dyDescent="0.25">
      <c r="A28" s="274" t="s">
        <v>103</v>
      </c>
      <c r="B28" s="867" t="s">
        <v>18</v>
      </c>
      <c r="C28" s="269" t="s">
        <v>311</v>
      </c>
      <c r="D28" s="269" t="s">
        <v>92</v>
      </c>
      <c r="E28" s="500">
        <v>17.8202</v>
      </c>
      <c r="F28" s="398">
        <f>IFERROR(E28*'01 Prod Physique Boites'!H26,"-")</f>
        <v>0</v>
      </c>
      <c r="G28" s="399">
        <f>IFERROR(E28*'01 Prod Physique Boites'!L26,"-")</f>
        <v>0</v>
      </c>
      <c r="H28" s="379">
        <v>24.93</v>
      </c>
      <c r="I28" s="415">
        <f t="shared" ref="I28:I34" si="7">IFERROR(H28*(F28/E28),"-")</f>
        <v>0</v>
      </c>
      <c r="J28" s="416">
        <f t="shared" ref="J28:J30" si="8">IFERROR(H28*(G28/E28),"-")</f>
        <v>0</v>
      </c>
    </row>
    <row r="29" spans="1:15" ht="24" x14ac:dyDescent="0.25">
      <c r="A29" s="274" t="s">
        <v>103</v>
      </c>
      <c r="B29" s="868"/>
      <c r="C29" s="275" t="s">
        <v>130</v>
      </c>
      <c r="D29" s="275"/>
      <c r="E29" s="501">
        <v>17.8202</v>
      </c>
      <c r="F29" s="398">
        <f>IFERROR(E29*'01 Prod Physique Boites'!H27,"-")</f>
        <v>0</v>
      </c>
      <c r="G29" s="399">
        <f>IFERROR(E29*'01 Prod Physique Boites'!L27,"-")</f>
        <v>0</v>
      </c>
      <c r="H29" s="382">
        <v>0</v>
      </c>
      <c r="I29" s="417">
        <f t="shared" si="7"/>
        <v>0</v>
      </c>
      <c r="J29" s="418">
        <f t="shared" si="8"/>
        <v>0</v>
      </c>
    </row>
    <row r="30" spans="1:15" ht="24" x14ac:dyDescent="0.25">
      <c r="A30" s="274" t="s">
        <v>103</v>
      </c>
      <c r="B30" s="868"/>
      <c r="C30" s="275" t="s">
        <v>115</v>
      </c>
      <c r="D30" s="275"/>
      <c r="E30" s="501">
        <v>16.4071</v>
      </c>
      <c r="F30" s="398">
        <f>IFERROR(E30*'01 Prod Physique Boites'!H28,"-")</f>
        <v>0</v>
      </c>
      <c r="G30" s="399">
        <f>IFERROR(E30*'01 Prod Physique Boites'!L28,"-")</f>
        <v>0</v>
      </c>
      <c r="H30" s="382">
        <v>0</v>
      </c>
      <c r="I30" s="417">
        <f t="shared" si="7"/>
        <v>0</v>
      </c>
      <c r="J30" s="418">
        <f t="shared" si="8"/>
        <v>0</v>
      </c>
    </row>
    <row r="31" spans="1:15" ht="24" x14ac:dyDescent="0.25">
      <c r="A31" s="274" t="s">
        <v>103</v>
      </c>
      <c r="B31" s="868"/>
      <c r="C31" s="275" t="s">
        <v>122</v>
      </c>
      <c r="D31" s="275"/>
      <c r="E31" s="501">
        <v>17.8202</v>
      </c>
      <c r="F31" s="398">
        <f>IFERROR(E31*'01 Prod Physique Boites'!H29,"-")</f>
        <v>0</v>
      </c>
      <c r="G31" s="399">
        <f>IFERROR(E31*'01 Prod Physique Boites'!L29,"-")</f>
        <v>0</v>
      </c>
      <c r="H31" s="382">
        <v>0</v>
      </c>
      <c r="I31" s="417">
        <f t="shared" si="7"/>
        <v>0</v>
      </c>
      <c r="J31" s="418">
        <f>IFERROR(H31*(G31/E31),"-")</f>
        <v>0</v>
      </c>
    </row>
    <row r="32" spans="1:15" ht="24" x14ac:dyDescent="0.25">
      <c r="A32" s="274" t="s">
        <v>103</v>
      </c>
      <c r="B32" s="868"/>
      <c r="C32" s="275" t="s">
        <v>176</v>
      </c>
      <c r="D32" s="275" t="s">
        <v>177</v>
      </c>
      <c r="E32" s="501">
        <v>17.8202</v>
      </c>
      <c r="F32" s="398">
        <f>IFERROR(E32*'01 Prod Physique Boites'!H30,"-")</f>
        <v>0</v>
      </c>
      <c r="G32" s="399">
        <f>IFERROR(E32*'01 Prod Physique Boites'!L30,"-")</f>
        <v>0</v>
      </c>
      <c r="H32" s="382">
        <v>0</v>
      </c>
      <c r="I32" s="417">
        <f t="shared" si="7"/>
        <v>0</v>
      </c>
      <c r="J32" s="418">
        <f t="shared" ref="J32:J34" si="9">IFERROR(H32*(G32/E32),"-")</f>
        <v>0</v>
      </c>
    </row>
    <row r="33" spans="1:10" ht="24" x14ac:dyDescent="0.25">
      <c r="A33" s="274" t="s">
        <v>103</v>
      </c>
      <c r="B33" s="868"/>
      <c r="C33" s="275" t="s">
        <v>179</v>
      </c>
      <c r="D33" s="275" t="s">
        <v>178</v>
      </c>
      <c r="E33" s="501">
        <v>16.7288</v>
      </c>
      <c r="F33" s="398">
        <f>IFERROR(E33*'01 Prod Physique Boites'!H31,"-")</f>
        <v>0</v>
      </c>
      <c r="G33" s="399">
        <f>IFERROR(E33*'01 Prod Physique Boites'!L31,"-")</f>
        <v>0</v>
      </c>
      <c r="H33" s="382">
        <v>0</v>
      </c>
      <c r="I33" s="417">
        <f t="shared" si="7"/>
        <v>0</v>
      </c>
      <c r="J33" s="418">
        <f t="shared" si="9"/>
        <v>0</v>
      </c>
    </row>
    <row r="34" spans="1:10" ht="24.75" thickBot="1" x14ac:dyDescent="0.3">
      <c r="A34" s="274" t="s">
        <v>103</v>
      </c>
      <c r="B34" s="869"/>
      <c r="C34" s="285" t="s">
        <v>180</v>
      </c>
      <c r="D34" s="285" t="s">
        <v>107</v>
      </c>
      <c r="E34" s="497">
        <v>17.8202</v>
      </c>
      <c r="F34" s="398">
        <f>IFERROR(E34*'01 Prod Physique Boites'!H32,"-")</f>
        <v>0</v>
      </c>
      <c r="G34" s="399">
        <f>IFERROR(E34*'01 Prod Physique Boites'!L32,"-")</f>
        <v>0</v>
      </c>
      <c r="H34" s="382">
        <v>0</v>
      </c>
      <c r="I34" s="419">
        <f t="shared" si="7"/>
        <v>0</v>
      </c>
      <c r="J34" s="420">
        <f t="shared" si="9"/>
        <v>0</v>
      </c>
    </row>
    <row r="35" spans="1:10" ht="23.25" thickBot="1" x14ac:dyDescent="0.3">
      <c r="A35" s="274" t="s">
        <v>103</v>
      </c>
      <c r="B35" s="845" t="s">
        <v>29</v>
      </c>
      <c r="C35" s="870"/>
      <c r="D35" s="871"/>
      <c r="E35" s="763"/>
      <c r="F35" s="768">
        <f t="shared" ref="F35:G35" si="10">SUM(F28:F34)</f>
        <v>0</v>
      </c>
      <c r="G35" s="411">
        <f t="shared" si="10"/>
        <v>0</v>
      </c>
      <c r="H35" s="394"/>
      <c r="I35" s="410">
        <f t="shared" ref="I35:J35" si="11">SUM(I28:I34)</f>
        <v>0</v>
      </c>
      <c r="J35" s="426">
        <f t="shared" si="11"/>
        <v>0</v>
      </c>
    </row>
    <row r="36" spans="1:10" ht="24" x14ac:dyDescent="0.25">
      <c r="A36" s="274"/>
      <c r="B36" s="872" t="s">
        <v>19</v>
      </c>
      <c r="C36" s="734" t="s">
        <v>234</v>
      </c>
      <c r="D36" s="760" t="s">
        <v>177</v>
      </c>
      <c r="E36" s="765">
        <v>12.2659</v>
      </c>
      <c r="F36" s="769">
        <f>IFERROR(E36*'01 Prod Physique Boites'!H34,"-")</f>
        <v>725356.26240000001</v>
      </c>
      <c r="G36" s="772">
        <f>IFERROR(E36*'01 Prod Physique Boites'!L34,"-")</f>
        <v>725356.26240000001</v>
      </c>
      <c r="H36" s="775">
        <v>14.79</v>
      </c>
      <c r="I36" s="769">
        <f t="shared" ref="I36:I41" si="12">IFERROR(H36*(F36/E36),"-")</f>
        <v>874621.43999999994</v>
      </c>
      <c r="J36" s="628">
        <f>IFERROR(H36*(G36/E36),"-")</f>
        <v>874621.43999999994</v>
      </c>
    </row>
    <row r="37" spans="1:10" ht="24" x14ac:dyDescent="0.25">
      <c r="A37" s="274"/>
      <c r="B37" s="873"/>
      <c r="C37" s="733" t="s">
        <v>357</v>
      </c>
      <c r="D37" s="761" t="s">
        <v>421</v>
      </c>
      <c r="E37" s="766">
        <v>12.2659</v>
      </c>
      <c r="F37" s="770">
        <f>IFERROR(E37*'01 Prod Physique Boites'!H35,"-")</f>
        <v>0</v>
      </c>
      <c r="G37" s="773">
        <f>IFERROR(E37*'01 Prod Physique Boites'!L35,"-")</f>
        <v>0</v>
      </c>
      <c r="H37" s="776">
        <v>14.55</v>
      </c>
      <c r="I37" s="770">
        <f t="shared" si="12"/>
        <v>0</v>
      </c>
      <c r="J37" s="622">
        <f t="shared" ref="J37:J41" si="13">IFERROR(H37*(G37/E37),"-")</f>
        <v>0</v>
      </c>
    </row>
    <row r="38" spans="1:10" ht="24" x14ac:dyDescent="0.25">
      <c r="A38" s="274"/>
      <c r="B38" s="873"/>
      <c r="C38" s="733"/>
      <c r="D38" s="761"/>
      <c r="E38" s="766">
        <v>12.2659</v>
      </c>
      <c r="F38" s="770">
        <f>IFERROR(E38*'01 Prod Physique Boites'!H36,"-")</f>
        <v>0</v>
      </c>
      <c r="G38" s="773">
        <f>IFERROR(E38*'01 Prod Physique Boites'!L36,"-")</f>
        <v>0</v>
      </c>
      <c r="H38" s="776">
        <v>16.41</v>
      </c>
      <c r="I38" s="770">
        <f t="shared" si="12"/>
        <v>0</v>
      </c>
      <c r="J38" s="622">
        <f t="shared" si="13"/>
        <v>0</v>
      </c>
    </row>
    <row r="39" spans="1:10" ht="24" x14ac:dyDescent="0.25">
      <c r="A39" s="274"/>
      <c r="B39" s="873"/>
      <c r="C39" s="733"/>
      <c r="D39" s="761"/>
      <c r="E39" s="766">
        <v>12.2659</v>
      </c>
      <c r="F39" s="770">
        <f>IFERROR(E39*'01 Prod Physique Boites'!H37,"-")</f>
        <v>0</v>
      </c>
      <c r="G39" s="773">
        <f>IFERROR(E39*'01 Prod Physique Boites'!L37,"-")</f>
        <v>0</v>
      </c>
      <c r="H39" s="776">
        <v>16.41</v>
      </c>
      <c r="I39" s="770">
        <f t="shared" si="12"/>
        <v>0</v>
      </c>
      <c r="J39" s="622">
        <f t="shared" si="13"/>
        <v>0</v>
      </c>
    </row>
    <row r="40" spans="1:10" ht="24" x14ac:dyDescent="0.25">
      <c r="A40" s="274"/>
      <c r="B40" s="873"/>
      <c r="C40" s="733"/>
      <c r="D40" s="761"/>
      <c r="E40" s="766">
        <v>12.2659</v>
      </c>
      <c r="F40" s="770">
        <f>IFERROR(E40*'01 Prod Physique Boites'!H38,"-")</f>
        <v>0</v>
      </c>
      <c r="G40" s="773">
        <f>IFERROR(E40*'01 Prod Physique Boites'!L38,"-")</f>
        <v>0</v>
      </c>
      <c r="H40" s="776">
        <v>16.41</v>
      </c>
      <c r="I40" s="770">
        <f t="shared" si="12"/>
        <v>0</v>
      </c>
      <c r="J40" s="622">
        <f t="shared" si="13"/>
        <v>0</v>
      </c>
    </row>
    <row r="41" spans="1:10" ht="24" x14ac:dyDescent="0.25">
      <c r="A41" s="274"/>
      <c r="B41" s="873"/>
      <c r="C41" s="733"/>
      <c r="D41" s="761"/>
      <c r="E41" s="766">
        <v>12.2659</v>
      </c>
      <c r="F41" s="770">
        <f>IFERROR(E41*'01 Prod Physique Boites'!H39,"-")</f>
        <v>0</v>
      </c>
      <c r="G41" s="773">
        <f>IFERROR(E41*'01 Prod Physique Boites'!L39,"-")</f>
        <v>0</v>
      </c>
      <c r="H41" s="776">
        <v>14.55</v>
      </c>
      <c r="I41" s="770">
        <f t="shared" si="12"/>
        <v>0</v>
      </c>
      <c r="J41" s="622">
        <f t="shared" si="13"/>
        <v>0</v>
      </c>
    </row>
    <row r="42" spans="1:10" ht="24.75" thickBot="1" x14ac:dyDescent="0.3">
      <c r="A42" s="703" t="s">
        <v>103</v>
      </c>
      <c r="B42" s="874"/>
      <c r="C42" s="735" t="s">
        <v>340</v>
      </c>
      <c r="D42" s="762"/>
      <c r="E42" s="767">
        <v>0</v>
      </c>
      <c r="F42" s="771">
        <f>IFERROR(E42*'01 Prod Physique Boites'!H40,"-")</f>
        <v>0</v>
      </c>
      <c r="G42" s="774">
        <f>IFERROR(E42*'01 Prod Physique Boites'!L40,"-")</f>
        <v>0</v>
      </c>
      <c r="H42" s="777">
        <v>0</v>
      </c>
      <c r="I42" s="779" t="str">
        <f t="shared" ref="I42" si="14">IFERROR(H42*(F42/E42),"-")</f>
        <v>-</v>
      </c>
      <c r="J42" s="780" t="str">
        <f t="shared" ref="J42" si="15">IFERROR(H42*(G42/E42),"-")</f>
        <v>-</v>
      </c>
    </row>
    <row r="43" spans="1:10" ht="23.25" thickBot="1" x14ac:dyDescent="0.3">
      <c r="A43" s="274" t="s">
        <v>103</v>
      </c>
      <c r="B43" s="845" t="s">
        <v>46</v>
      </c>
      <c r="C43" s="876"/>
      <c r="D43" s="877"/>
      <c r="E43" s="764"/>
      <c r="F43" s="519">
        <f>SUM(F36:F42)</f>
        <v>725356.26240000001</v>
      </c>
      <c r="G43" s="519">
        <f>SUM(G36:G42)</f>
        <v>725356.26240000001</v>
      </c>
      <c r="H43" s="518"/>
      <c r="I43" s="519">
        <f>SUM(I36:I42)</f>
        <v>874621.43999999994</v>
      </c>
      <c r="J43" s="778">
        <f>SUM(J36:J42)</f>
        <v>874621.43999999994</v>
      </c>
    </row>
    <row r="44" spans="1:10" ht="24" x14ac:dyDescent="0.25">
      <c r="A44" s="274" t="s">
        <v>103</v>
      </c>
      <c r="B44" s="867" t="s">
        <v>20</v>
      </c>
      <c r="C44" s="290" t="s">
        <v>486</v>
      </c>
      <c r="D44" s="757" t="s">
        <v>288</v>
      </c>
      <c r="E44" s="795">
        <v>27.106400000000001</v>
      </c>
      <c r="F44" s="398">
        <f>IFERROR(E44*'01 Prod Physique Boites'!H42,"-")</f>
        <v>608918.16960000002</v>
      </c>
      <c r="G44" s="399">
        <f>IFERROR(E44*'01 Prod Physique Boites'!L42,"-")</f>
        <v>608918.16960000002</v>
      </c>
      <c r="H44" s="642">
        <v>0</v>
      </c>
      <c r="I44" s="415">
        <f>IFERROR(H44*(F44/E44),"-")</f>
        <v>0</v>
      </c>
      <c r="J44" s="416">
        <f t="shared" ref="J44:J46" si="16">IFERROR(H44*(G44/E44),"-")</f>
        <v>0</v>
      </c>
    </row>
    <row r="45" spans="1:10" ht="24" x14ac:dyDescent="0.25">
      <c r="A45" s="274" t="s">
        <v>103</v>
      </c>
      <c r="B45" s="868"/>
      <c r="C45" s="291" t="s">
        <v>114</v>
      </c>
      <c r="D45" s="291"/>
      <c r="E45" s="381">
        <v>24.2607</v>
      </c>
      <c r="F45" s="398">
        <f>IFERROR(E45*'01 Prod Physique Boites'!H43,"-")</f>
        <v>0</v>
      </c>
      <c r="G45" s="399">
        <f>IFERROR(E45*'01 Prod Physique Boites'!L43,"-")</f>
        <v>0</v>
      </c>
      <c r="H45" s="382">
        <v>37.369999999999997</v>
      </c>
      <c r="I45" s="417">
        <f>IFERROR(H45*(F45/E45),"-")</f>
        <v>0</v>
      </c>
      <c r="J45" s="418">
        <f t="shared" si="16"/>
        <v>0</v>
      </c>
    </row>
    <row r="46" spans="1:10" ht="24.75" thickBot="1" x14ac:dyDescent="0.3">
      <c r="A46" s="274" t="s">
        <v>103</v>
      </c>
      <c r="B46" s="869"/>
      <c r="C46" s="292" t="s">
        <v>120</v>
      </c>
      <c r="D46" s="292"/>
      <c r="E46" s="383">
        <v>26.035799999999998</v>
      </c>
      <c r="F46" s="398">
        <f>IFERROR(E46*'01 Prod Physique Boites'!H44,"-")</f>
        <v>0</v>
      </c>
      <c r="G46" s="399">
        <f>IFERROR(E46*'01 Prod Physique Boites'!L44,"-")</f>
        <v>0</v>
      </c>
      <c r="H46" s="384">
        <v>37.11</v>
      </c>
      <c r="I46" s="419">
        <f>IFERROR(H46*(F46/E46),"-")</f>
        <v>0</v>
      </c>
      <c r="J46" s="420">
        <f t="shared" si="16"/>
        <v>0</v>
      </c>
    </row>
    <row r="47" spans="1:10" ht="23.25" thickBot="1" x14ac:dyDescent="0.3">
      <c r="A47" s="274" t="s">
        <v>103</v>
      </c>
      <c r="B47" s="846" t="s">
        <v>47</v>
      </c>
      <c r="C47" s="846"/>
      <c r="D47" s="878"/>
      <c r="E47" s="386"/>
      <c r="F47" s="402">
        <f t="shared" ref="F47:G47" si="17">SUM(F44:F46)</f>
        <v>608918.16960000002</v>
      </c>
      <c r="G47" s="403">
        <f t="shared" si="17"/>
        <v>608918.16960000002</v>
      </c>
      <c r="H47" s="387"/>
      <c r="I47" s="402">
        <f t="shared" ref="I47:J47" si="18">SUM(I44:I46)</f>
        <v>0</v>
      </c>
      <c r="J47" s="421">
        <f t="shared" si="18"/>
        <v>0</v>
      </c>
    </row>
    <row r="48" spans="1:10" ht="23.25" thickBot="1" x14ac:dyDescent="0.3">
      <c r="A48" s="274" t="s">
        <v>103</v>
      </c>
      <c r="B48" s="853" t="s">
        <v>21</v>
      </c>
      <c r="C48" s="854"/>
      <c r="D48" s="855"/>
      <c r="E48" s="389"/>
      <c r="F48" s="406">
        <f>+F19+F27+F35+F43+F47</f>
        <v>1963214.21</v>
      </c>
      <c r="G48" s="407">
        <f>+G19+G27+G35+G43+G47</f>
        <v>1963214.21</v>
      </c>
      <c r="H48" s="390"/>
      <c r="I48" s="406">
        <f>+I19+I27+I35+I43+I47</f>
        <v>1363751.44</v>
      </c>
      <c r="J48" s="424">
        <f>+J19+J27+J35+J43+J47</f>
        <v>1363751.44</v>
      </c>
    </row>
    <row r="49" spans="1:10" ht="24" x14ac:dyDescent="0.25">
      <c r="A49" s="274" t="s">
        <v>103</v>
      </c>
      <c r="B49" s="867" t="s">
        <v>398</v>
      </c>
      <c r="C49" s="269" t="s">
        <v>125</v>
      </c>
      <c r="D49" s="269"/>
      <c r="E49" s="378">
        <v>22.820599999999999</v>
      </c>
      <c r="F49" s="398">
        <f>IFERROR(E49*'01 Prod Physique Boites'!H47,"-")</f>
        <v>0</v>
      </c>
      <c r="G49" s="399">
        <f>IFERROR(E49*'01 Prod Physique Boites'!L47,"-")</f>
        <v>0</v>
      </c>
      <c r="H49" s="379">
        <v>27.5</v>
      </c>
      <c r="I49" s="415">
        <f>IFERROR(H49*(F49/E49),"-")</f>
        <v>0</v>
      </c>
      <c r="J49" s="416">
        <f t="shared" ref="J49:J52" si="19">IFERROR(H49*(G49/E49),"-")</f>
        <v>0</v>
      </c>
    </row>
    <row r="50" spans="1:10" ht="24" x14ac:dyDescent="0.25">
      <c r="A50" s="274" t="s">
        <v>103</v>
      </c>
      <c r="B50" s="868"/>
      <c r="C50" s="294" t="s">
        <v>262</v>
      </c>
      <c r="D50" s="294" t="s">
        <v>181</v>
      </c>
      <c r="E50" s="381">
        <v>23.570699999999999</v>
      </c>
      <c r="F50" s="398">
        <f>IFERROR(E50*'01 Prod Physique Boites'!H48,"-")</f>
        <v>0</v>
      </c>
      <c r="G50" s="399">
        <f>IFERROR(E50*'01 Prod Physique Boites'!L48,"-")</f>
        <v>0</v>
      </c>
      <c r="H50" s="382">
        <v>27.5</v>
      </c>
      <c r="I50" s="417">
        <f>IFERROR(H50*(F50/E50),"-")</f>
        <v>0</v>
      </c>
      <c r="J50" s="418">
        <f t="shared" si="19"/>
        <v>0</v>
      </c>
    </row>
    <row r="51" spans="1:10" ht="24" x14ac:dyDescent="0.25">
      <c r="A51" s="274" t="s">
        <v>103</v>
      </c>
      <c r="B51" s="868"/>
      <c r="C51" s="294" t="s">
        <v>360</v>
      </c>
      <c r="D51" s="294" t="s">
        <v>181</v>
      </c>
      <c r="E51" s="381">
        <v>22.820599999999999</v>
      </c>
      <c r="F51" s="398">
        <f>IFERROR(E51*'01 Prod Physique Boites'!H49,"-")</f>
        <v>0</v>
      </c>
      <c r="G51" s="399">
        <f>IFERROR(E51*'01 Prod Physique Boites'!L49,"-")</f>
        <v>0</v>
      </c>
      <c r="H51" s="382">
        <v>27.5</v>
      </c>
      <c r="I51" s="417">
        <f>IFERROR(H51*(F51/E51),"-")</f>
        <v>0</v>
      </c>
      <c r="J51" s="418">
        <f t="shared" si="19"/>
        <v>0</v>
      </c>
    </row>
    <row r="52" spans="1:10" ht="24.75" thickBot="1" x14ac:dyDescent="0.3">
      <c r="A52" s="274" t="s">
        <v>103</v>
      </c>
      <c r="B52" s="869"/>
      <c r="C52" s="279" t="s">
        <v>182</v>
      </c>
      <c r="D52" s="279" t="s">
        <v>93</v>
      </c>
      <c r="E52" s="796">
        <v>22.238499999999998</v>
      </c>
      <c r="F52" s="398">
        <f>IFERROR(E52*'01 Prod Physique Boites'!H50,"-")</f>
        <v>44032.229999999996</v>
      </c>
      <c r="G52" s="399">
        <f>IFERROR(E52*'01 Prod Physique Boites'!L50,"-")</f>
        <v>44032.229999999996</v>
      </c>
      <c r="H52" s="384">
        <v>27</v>
      </c>
      <c r="I52" s="419">
        <f>IFERROR(H52*(F52/E52),"-")</f>
        <v>53460</v>
      </c>
      <c r="J52" s="420">
        <f t="shared" si="19"/>
        <v>53460</v>
      </c>
    </row>
    <row r="53" spans="1:10" ht="23.25" thickBot="1" x14ac:dyDescent="0.3">
      <c r="A53" s="274" t="s">
        <v>103</v>
      </c>
      <c r="B53" s="845" t="s">
        <v>48</v>
      </c>
      <c r="C53" s="846"/>
      <c r="D53" s="847"/>
      <c r="E53" s="386"/>
      <c r="F53" s="402">
        <f t="shared" ref="F53:G53" si="20">SUM(F49:F52)</f>
        <v>44032.229999999996</v>
      </c>
      <c r="G53" s="403">
        <f t="shared" si="20"/>
        <v>44032.229999999996</v>
      </c>
      <c r="H53" s="387"/>
      <c r="I53" s="402">
        <f t="shared" ref="I53:J53" si="21">SUM(I49:I52)</f>
        <v>53460</v>
      </c>
      <c r="J53" s="421">
        <f t="shared" si="21"/>
        <v>53460</v>
      </c>
    </row>
    <row r="54" spans="1:10" ht="24" x14ac:dyDescent="0.25">
      <c r="A54" s="274" t="s">
        <v>103</v>
      </c>
      <c r="B54" s="867" t="s">
        <v>23</v>
      </c>
      <c r="C54" s="295" t="s">
        <v>307</v>
      </c>
      <c r="D54" s="295" t="s">
        <v>237</v>
      </c>
      <c r="E54" s="378">
        <v>101.4935</v>
      </c>
      <c r="F54" s="398">
        <f>IFERROR(E54*'01 Prod Physique Boites'!H52,"-")</f>
        <v>0</v>
      </c>
      <c r="G54" s="399">
        <f>IFERROR(E54*'01 Prod Physique Boites'!L52,"-")</f>
        <v>0</v>
      </c>
      <c r="H54" s="382">
        <v>160.44999999999999</v>
      </c>
      <c r="I54" s="415">
        <f t="shared" ref="I54:I62" si="22">IFERROR(H54*(F54/E54),"-")</f>
        <v>0</v>
      </c>
      <c r="J54" s="416">
        <f t="shared" ref="J54:J62" si="23">IFERROR(H54*(G54/E54),"-")</f>
        <v>0</v>
      </c>
    </row>
    <row r="55" spans="1:10" ht="24" x14ac:dyDescent="0.25">
      <c r="A55" s="274" t="s">
        <v>103</v>
      </c>
      <c r="B55" s="868"/>
      <c r="C55" s="275" t="s">
        <v>24</v>
      </c>
      <c r="D55" s="275" t="s">
        <v>237</v>
      </c>
      <c r="E55" s="381">
        <v>101.4935</v>
      </c>
      <c r="F55" s="398">
        <f>IFERROR(E55*'01 Prod Physique Boites'!H53,"-")</f>
        <v>0</v>
      </c>
      <c r="G55" s="399">
        <f>IFERROR(E55*'01 Prod Physique Boites'!L53,"-")</f>
        <v>0</v>
      </c>
      <c r="H55" s="382">
        <v>160.44999999999999</v>
      </c>
      <c r="I55" s="417">
        <f t="shared" si="22"/>
        <v>0</v>
      </c>
      <c r="J55" s="418">
        <f t="shared" si="23"/>
        <v>0</v>
      </c>
    </row>
    <row r="56" spans="1:10" ht="24" x14ac:dyDescent="0.25">
      <c r="A56" s="274" t="s">
        <v>103</v>
      </c>
      <c r="B56" s="868"/>
      <c r="C56" s="275" t="s">
        <v>235</v>
      </c>
      <c r="D56" s="275" t="s">
        <v>237</v>
      </c>
      <c r="E56" s="381">
        <v>101.4935</v>
      </c>
      <c r="F56" s="398">
        <f>IFERROR(E56*'01 Prod Physique Boites'!H54,"-")</f>
        <v>0</v>
      </c>
      <c r="G56" s="399">
        <f>IFERROR(E56*'01 Prod Physique Boites'!L54,"-")</f>
        <v>0</v>
      </c>
      <c r="H56" s="382">
        <v>160.44999999999999</v>
      </c>
      <c r="I56" s="417">
        <f t="shared" si="22"/>
        <v>0</v>
      </c>
      <c r="J56" s="418">
        <f t="shared" si="23"/>
        <v>0</v>
      </c>
    </row>
    <row r="57" spans="1:10" ht="24" x14ac:dyDescent="0.25">
      <c r="A57" s="274" t="s">
        <v>103</v>
      </c>
      <c r="B57" s="868"/>
      <c r="C57" s="275" t="s">
        <v>236</v>
      </c>
      <c r="D57" s="275" t="s">
        <v>237</v>
      </c>
      <c r="E57" s="381">
        <v>101.4935</v>
      </c>
      <c r="F57" s="398">
        <f>IFERROR(E57*'01 Prod Physique Boites'!H55,"-")</f>
        <v>0</v>
      </c>
      <c r="G57" s="399">
        <f>IFERROR(E57*'01 Prod Physique Boites'!L55,"-")</f>
        <v>0</v>
      </c>
      <c r="H57" s="382">
        <v>160.44999999999999</v>
      </c>
      <c r="I57" s="417">
        <f t="shared" si="22"/>
        <v>0</v>
      </c>
      <c r="J57" s="418">
        <f t="shared" si="23"/>
        <v>0</v>
      </c>
    </row>
    <row r="58" spans="1:10" ht="24" x14ac:dyDescent="0.25">
      <c r="A58" s="274" t="s">
        <v>103</v>
      </c>
      <c r="B58" s="868"/>
      <c r="C58" s="294" t="s">
        <v>238</v>
      </c>
      <c r="D58" s="275" t="s">
        <v>237</v>
      </c>
      <c r="E58" s="381">
        <v>101.4935</v>
      </c>
      <c r="F58" s="398">
        <f>IFERROR(E58*'01 Prod Physique Boites'!H56,"-")</f>
        <v>0</v>
      </c>
      <c r="G58" s="399">
        <f>IFERROR(E58*'01 Prod Physique Boites'!L56,"-")</f>
        <v>0</v>
      </c>
      <c r="H58" s="382">
        <v>160.44999999999999</v>
      </c>
      <c r="I58" s="417">
        <f t="shared" si="22"/>
        <v>0</v>
      </c>
      <c r="J58" s="418">
        <f t="shared" si="23"/>
        <v>0</v>
      </c>
    </row>
    <row r="59" spans="1:10" ht="24" x14ac:dyDescent="0.25">
      <c r="A59" s="274" t="s">
        <v>103</v>
      </c>
      <c r="B59" s="868"/>
      <c r="C59" s="294" t="s">
        <v>239</v>
      </c>
      <c r="D59" s="275" t="s">
        <v>237</v>
      </c>
      <c r="E59" s="381">
        <v>101.4935</v>
      </c>
      <c r="F59" s="398">
        <f>IFERROR(E59*'01 Prod Physique Boites'!H57,"-")</f>
        <v>0</v>
      </c>
      <c r="G59" s="399">
        <f>IFERROR(E59*'01 Prod Physique Boites'!L57,"-")</f>
        <v>0</v>
      </c>
      <c r="H59" s="382">
        <v>160.44999999999999</v>
      </c>
      <c r="I59" s="417">
        <f t="shared" si="22"/>
        <v>0</v>
      </c>
      <c r="J59" s="418">
        <f t="shared" si="23"/>
        <v>0</v>
      </c>
    </row>
    <row r="60" spans="1:10" ht="24" x14ac:dyDescent="0.25">
      <c r="A60" s="274" t="s">
        <v>103</v>
      </c>
      <c r="B60" s="868"/>
      <c r="C60" s="294" t="s">
        <v>240</v>
      </c>
      <c r="D60" s="275" t="s">
        <v>242</v>
      </c>
      <c r="E60" s="381">
        <v>101.4935</v>
      </c>
      <c r="F60" s="398">
        <f>IFERROR(E60*'01 Prod Physique Boites'!H58,"-")</f>
        <v>0</v>
      </c>
      <c r="G60" s="399">
        <f>IFERROR(E60*'01 Prod Physique Boites'!L58,"-")</f>
        <v>0</v>
      </c>
      <c r="H60" s="382">
        <v>160.44999999999999</v>
      </c>
      <c r="I60" s="417">
        <f t="shared" si="22"/>
        <v>0</v>
      </c>
      <c r="J60" s="418">
        <f t="shared" si="23"/>
        <v>0</v>
      </c>
    </row>
    <row r="61" spans="1:10" ht="24" x14ac:dyDescent="0.25">
      <c r="A61" s="274"/>
      <c r="B61" s="869"/>
      <c r="C61" s="294" t="s">
        <v>451</v>
      </c>
      <c r="D61" s="275" t="s">
        <v>237</v>
      </c>
      <c r="E61" s="383">
        <v>101.49</v>
      </c>
      <c r="F61" s="398">
        <f>IFERROR(E61*'01 Prod Physique Boites'!H59,"-")</f>
        <v>0</v>
      </c>
      <c r="G61" s="399">
        <f>IFERROR(E61*'01 Prod Physique Boites'!L59,"-")</f>
        <v>0</v>
      </c>
      <c r="H61" s="382">
        <v>160.44999999999999</v>
      </c>
      <c r="I61" s="417">
        <f t="shared" si="22"/>
        <v>0</v>
      </c>
      <c r="J61" s="418">
        <f t="shared" si="23"/>
        <v>0</v>
      </c>
    </row>
    <row r="62" spans="1:10" ht="24.75" thickBot="1" x14ac:dyDescent="0.3">
      <c r="A62" s="274" t="s">
        <v>103</v>
      </c>
      <c r="B62" s="869"/>
      <c r="C62" s="294" t="s">
        <v>241</v>
      </c>
      <c r="D62" s="275" t="s">
        <v>237</v>
      </c>
      <c r="E62" s="383">
        <v>101.4935</v>
      </c>
      <c r="F62" s="398">
        <f>IFERROR(E62*'01 Prod Physique Boites'!H60,"-")</f>
        <v>0</v>
      </c>
      <c r="G62" s="399">
        <f>IFERROR(E62*'01 Prod Physique Boites'!L60,"-")</f>
        <v>0</v>
      </c>
      <c r="H62" s="382">
        <v>160.44999999999999</v>
      </c>
      <c r="I62" s="417">
        <f t="shared" si="22"/>
        <v>0</v>
      </c>
      <c r="J62" s="420">
        <f t="shared" si="23"/>
        <v>0</v>
      </c>
    </row>
    <row r="63" spans="1:10" ht="23.25" thickBot="1" x14ac:dyDescent="0.3">
      <c r="A63" s="274" t="s">
        <v>103</v>
      </c>
      <c r="B63" s="845" t="s">
        <v>49</v>
      </c>
      <c r="C63" s="846"/>
      <c r="D63" s="847"/>
      <c r="E63" s="386"/>
      <c r="F63" s="402">
        <f t="shared" ref="F63" si="24">SUM(F54:F62)</f>
        <v>0</v>
      </c>
      <c r="G63" s="403">
        <f>SUM(G54:G62)</f>
        <v>0</v>
      </c>
      <c r="H63" s="387"/>
      <c r="I63" s="402">
        <f t="shared" ref="I63" si="25">SUM(I54:I62)</f>
        <v>0</v>
      </c>
      <c r="J63" s="421">
        <f>SUM(J54:J62)</f>
        <v>0</v>
      </c>
    </row>
    <row r="64" spans="1:10" ht="23.25" thickBot="1" x14ac:dyDescent="0.3">
      <c r="A64" s="274" t="s">
        <v>103</v>
      </c>
      <c r="B64" s="853" t="s">
        <v>25</v>
      </c>
      <c r="C64" s="854"/>
      <c r="D64" s="855"/>
      <c r="E64" s="389"/>
      <c r="F64" s="406">
        <f t="shared" ref="F64" si="26">+F53+F63</f>
        <v>44032.229999999996</v>
      </c>
      <c r="G64" s="407">
        <f>+G53+G63</f>
        <v>44032.229999999996</v>
      </c>
      <c r="H64" s="390"/>
      <c r="I64" s="406">
        <f t="shared" ref="I64:J64" si="27">+I53+I63</f>
        <v>53460</v>
      </c>
      <c r="J64" s="424">
        <f t="shared" si="27"/>
        <v>53460</v>
      </c>
    </row>
    <row r="65" spans="1:10" ht="23.25" thickBot="1" x14ac:dyDescent="0.3">
      <c r="A65" s="274" t="s">
        <v>103</v>
      </c>
      <c r="B65" s="839" t="s">
        <v>172</v>
      </c>
      <c r="C65" s="840"/>
      <c r="D65" s="841"/>
      <c r="E65" s="391"/>
      <c r="F65" s="408">
        <f t="shared" ref="F65" si="28">+F48+F64</f>
        <v>2007246.44</v>
      </c>
      <c r="G65" s="409">
        <f>+G48+G64</f>
        <v>2007246.44</v>
      </c>
      <c r="H65" s="392"/>
      <c r="I65" s="408">
        <f t="shared" ref="I65:J65" si="29">+I48+I64</f>
        <v>1417211.44</v>
      </c>
      <c r="J65" s="425">
        <f t="shared" si="29"/>
        <v>1417211.44</v>
      </c>
    </row>
    <row r="66" spans="1:10" ht="24" x14ac:dyDescent="0.25">
      <c r="A66" s="268" t="s">
        <v>101</v>
      </c>
      <c r="B66" s="849" t="s">
        <v>26</v>
      </c>
      <c r="C66" s="296" t="s">
        <v>296</v>
      </c>
      <c r="D66" s="298" t="s">
        <v>177</v>
      </c>
      <c r="E66" s="500">
        <v>13.1272</v>
      </c>
      <c r="F66" s="398">
        <f>IFERROR(E66*'01 Prod Physique Boites'!H64,"-")</f>
        <v>0</v>
      </c>
      <c r="G66" s="399">
        <f>IFERROR(E66*'01 Prod Physique Boites'!L64,"-")</f>
        <v>0</v>
      </c>
      <c r="H66" s="379">
        <v>20.76</v>
      </c>
      <c r="I66" s="415">
        <f t="shared" ref="I66:I75" si="30">IFERROR(H66*(F66/E66),"-")</f>
        <v>0</v>
      </c>
      <c r="J66" s="621">
        <f t="shared" ref="J66:J75" si="31">IFERROR(H66*(G66/E66),"-")</f>
        <v>0</v>
      </c>
    </row>
    <row r="67" spans="1:10" ht="24" x14ac:dyDescent="0.25">
      <c r="A67" s="274" t="s">
        <v>101</v>
      </c>
      <c r="B67" s="849"/>
      <c r="C67" s="297" t="s">
        <v>422</v>
      </c>
      <c r="D67" s="297" t="s">
        <v>421</v>
      </c>
      <c r="E67" s="501">
        <v>16.7288</v>
      </c>
      <c r="F67" s="398">
        <f>IFERROR(E67*'01 Prod Physique Boites'!H65,"-")</f>
        <v>0</v>
      </c>
      <c r="G67" s="399">
        <f>IFERROR(E67*'01 Prod Physique Boites'!L65,"-")</f>
        <v>0</v>
      </c>
      <c r="H67" s="382">
        <v>20.76</v>
      </c>
      <c r="I67" s="417">
        <f t="shared" si="30"/>
        <v>0</v>
      </c>
      <c r="J67" s="622">
        <f t="shared" si="31"/>
        <v>0</v>
      </c>
    </row>
    <row r="68" spans="1:10" ht="24" x14ac:dyDescent="0.25">
      <c r="A68" s="274" t="s">
        <v>101</v>
      </c>
      <c r="B68" s="849"/>
      <c r="C68" s="298" t="s">
        <v>27</v>
      </c>
      <c r="D68" s="298" t="s">
        <v>332</v>
      </c>
      <c r="E68" s="497">
        <v>17.8202</v>
      </c>
      <c r="F68" s="398">
        <f>IFERROR(E68*'01 Prod Physique Boites'!H66,"-")</f>
        <v>0</v>
      </c>
      <c r="G68" s="399">
        <f>IFERROR(E68*'01 Prod Physique Boites'!L66,"-")</f>
        <v>0</v>
      </c>
      <c r="H68" s="382">
        <v>21.22</v>
      </c>
      <c r="I68" s="625">
        <f t="shared" si="30"/>
        <v>0</v>
      </c>
      <c r="J68" s="622">
        <f t="shared" si="31"/>
        <v>0</v>
      </c>
    </row>
    <row r="69" spans="1:10" ht="24" x14ac:dyDescent="0.25">
      <c r="A69" s="274" t="s">
        <v>101</v>
      </c>
      <c r="B69" s="849"/>
      <c r="C69" s="298" t="s">
        <v>27</v>
      </c>
      <c r="D69" s="298" t="s">
        <v>233</v>
      </c>
      <c r="E69" s="497">
        <v>17.8202</v>
      </c>
      <c r="F69" s="398">
        <f>IFERROR(E69*'01 Prod Physique Boites'!H67,"-")</f>
        <v>0</v>
      </c>
      <c r="G69" s="399">
        <f>IFERROR(E69*'01 Prod Physique Boites'!L67,"-")</f>
        <v>0</v>
      </c>
      <c r="H69" s="382">
        <v>24.93</v>
      </c>
      <c r="I69" s="625">
        <f t="shared" si="30"/>
        <v>0</v>
      </c>
      <c r="J69" s="622">
        <f t="shared" si="31"/>
        <v>0</v>
      </c>
    </row>
    <row r="70" spans="1:10" ht="24" x14ac:dyDescent="0.25">
      <c r="A70" s="274" t="s">
        <v>101</v>
      </c>
      <c r="B70" s="849"/>
      <c r="C70" s="298" t="s">
        <v>27</v>
      </c>
      <c r="D70" s="298" t="s">
        <v>278</v>
      </c>
      <c r="E70" s="497">
        <v>17.8202</v>
      </c>
      <c r="F70" s="398">
        <f>IFERROR(E70*'01 Prod Physique Boites'!H68,"-")</f>
        <v>0</v>
      </c>
      <c r="G70" s="399">
        <f>IFERROR(E70*'01 Prod Physique Boites'!L68,"-")</f>
        <v>0</v>
      </c>
      <c r="H70" s="382">
        <v>24.93</v>
      </c>
      <c r="I70" s="625">
        <f t="shared" si="30"/>
        <v>0</v>
      </c>
      <c r="J70" s="622">
        <f t="shared" si="31"/>
        <v>0</v>
      </c>
    </row>
    <row r="71" spans="1:10" ht="24" x14ac:dyDescent="0.25">
      <c r="A71" s="274"/>
      <c r="B71" s="849"/>
      <c r="C71" s="721" t="s">
        <v>485</v>
      </c>
      <c r="D71" s="298" t="s">
        <v>502</v>
      </c>
      <c r="E71" s="497">
        <v>16.7288</v>
      </c>
      <c r="F71" s="398">
        <f>IFERROR(E71*'01 Prod Physique Boites'!H69,"-")</f>
        <v>266188.66560000001</v>
      </c>
      <c r="G71" s="399">
        <f>IFERROR(E71*'01 Prod Physique Boites'!L69,"-")</f>
        <v>266188.66560000001</v>
      </c>
      <c r="H71" s="384">
        <v>25</v>
      </c>
      <c r="I71" s="625">
        <f t="shared" si="30"/>
        <v>397800</v>
      </c>
      <c r="J71" s="623">
        <f t="shared" si="31"/>
        <v>397800</v>
      </c>
    </row>
    <row r="72" spans="1:10" ht="24" x14ac:dyDescent="0.25">
      <c r="A72" s="274"/>
      <c r="B72" s="849"/>
      <c r="C72" s="298" t="s">
        <v>432</v>
      </c>
      <c r="D72" s="298" t="s">
        <v>94</v>
      </c>
      <c r="E72" s="497">
        <v>17.8202</v>
      </c>
      <c r="F72" s="398">
        <f>IFERROR(E72*'01 Prod Physique Boites'!H70,"-")</f>
        <v>0</v>
      </c>
      <c r="G72" s="399">
        <f>IFERROR(E72*'01 Prod Physique Boites'!L70,"-")</f>
        <v>0</v>
      </c>
      <c r="H72" s="384">
        <v>24.93</v>
      </c>
      <c r="I72" s="689">
        <f t="shared" si="30"/>
        <v>0</v>
      </c>
      <c r="J72" s="623">
        <f t="shared" si="31"/>
        <v>0</v>
      </c>
    </row>
    <row r="73" spans="1:10" s="690" customFormat="1" ht="24" x14ac:dyDescent="0.25">
      <c r="A73" s="684"/>
      <c r="B73" s="849"/>
      <c r="C73" s="685" t="s">
        <v>381</v>
      </c>
      <c r="D73" s="685" t="s">
        <v>382</v>
      </c>
      <c r="E73" s="686">
        <v>16.345199999999998</v>
      </c>
      <c r="F73" s="398">
        <f>IFERROR(E73*'01 Prod Physique Boites'!H71,"-")</f>
        <v>0</v>
      </c>
      <c r="G73" s="399">
        <f>IFERROR(E73*'01 Prod Physique Boites'!L71,"-")</f>
        <v>0</v>
      </c>
      <c r="H73" s="688">
        <v>23.78</v>
      </c>
      <c r="I73" s="689">
        <f t="shared" si="30"/>
        <v>0</v>
      </c>
      <c r="J73" s="623">
        <f t="shared" si="31"/>
        <v>0</v>
      </c>
    </row>
    <row r="74" spans="1:10" s="690" customFormat="1" ht="24" x14ac:dyDescent="0.25">
      <c r="A74" s="684"/>
      <c r="B74" s="849"/>
      <c r="C74" s="298" t="s">
        <v>429</v>
      </c>
      <c r="D74" s="298" t="s">
        <v>178</v>
      </c>
      <c r="E74" s="686">
        <v>16.7288</v>
      </c>
      <c r="F74" s="398">
        <f>IFERROR(E74*'01 Prod Physique Boites'!H72,"-")</f>
        <v>0</v>
      </c>
      <c r="G74" s="399">
        <f>IFERROR(E74*'01 Prod Physique Boites'!L72,"-")</f>
        <v>0</v>
      </c>
      <c r="H74" s="688">
        <v>25.49</v>
      </c>
      <c r="I74" s="689">
        <f t="shared" si="30"/>
        <v>0</v>
      </c>
      <c r="J74" s="623">
        <f t="shared" si="31"/>
        <v>0</v>
      </c>
    </row>
    <row r="75" spans="1:10" ht="24.75" thickBot="1" x14ac:dyDescent="0.3">
      <c r="A75" s="274" t="s">
        <v>101</v>
      </c>
      <c r="B75" s="849"/>
      <c r="C75" s="299" t="s">
        <v>289</v>
      </c>
      <c r="D75" s="298" t="s">
        <v>288</v>
      </c>
      <c r="E75" s="497">
        <v>12.6997</v>
      </c>
      <c r="F75" s="398">
        <f>IFERROR(E75*'01 Prod Physique Boites'!H73,"-")</f>
        <v>0</v>
      </c>
      <c r="G75" s="399">
        <f>IFERROR(E75*'01 Prod Physique Boites'!L73,"-")</f>
        <v>0</v>
      </c>
      <c r="H75" s="384">
        <v>13.25</v>
      </c>
      <c r="I75" s="689">
        <f t="shared" si="30"/>
        <v>0</v>
      </c>
      <c r="J75" s="623">
        <f t="shared" si="31"/>
        <v>0</v>
      </c>
    </row>
    <row r="76" spans="1:10" ht="23.25" thickBot="1" x14ac:dyDescent="0.3">
      <c r="A76" s="274" t="s">
        <v>101</v>
      </c>
      <c r="B76" s="866"/>
      <c r="C76" s="300"/>
      <c r="D76" s="301" t="s">
        <v>52</v>
      </c>
      <c r="E76" s="386"/>
      <c r="F76" s="402">
        <f>SUM(F66:F75)</f>
        <v>266188.66560000001</v>
      </c>
      <c r="G76" s="403">
        <f>SUM(G66:G75)</f>
        <v>266188.66560000001</v>
      </c>
      <c r="H76" s="387"/>
      <c r="I76" s="402">
        <f>SUM(I66:I75)</f>
        <v>397800</v>
      </c>
      <c r="J76" s="421">
        <f>SUM(J66:J75)</f>
        <v>397800</v>
      </c>
    </row>
    <row r="77" spans="1:10" ht="24" x14ac:dyDescent="0.25">
      <c r="A77" s="274" t="s">
        <v>101</v>
      </c>
      <c r="B77" s="848" t="s">
        <v>28</v>
      </c>
      <c r="C77" s="298" t="s">
        <v>27</v>
      </c>
      <c r="D77" s="296" t="s">
        <v>278</v>
      </c>
      <c r="E77" s="500">
        <v>17.8202</v>
      </c>
      <c r="F77" s="398">
        <f>IFERROR(E77*'01 Prod Physique Boites'!H75,"-")</f>
        <v>0</v>
      </c>
      <c r="G77" s="399">
        <f>IFERROR(E77*'01 Prod Physique Boites'!L75,"-")</f>
        <v>0</v>
      </c>
      <c r="H77" s="379">
        <v>24.93</v>
      </c>
      <c r="I77" s="415">
        <f t="shared" ref="I77:I83" si="32">IFERROR(H77*(F77/E77),"-")</f>
        <v>0</v>
      </c>
      <c r="J77" s="621">
        <f t="shared" ref="J77:J83" si="33">IFERROR(H77*(G77/E77),"-")</f>
        <v>0</v>
      </c>
    </row>
    <row r="78" spans="1:10" ht="24" x14ac:dyDescent="0.25">
      <c r="A78" s="274" t="s">
        <v>101</v>
      </c>
      <c r="B78" s="849"/>
      <c r="C78" s="298" t="s">
        <v>384</v>
      </c>
      <c r="D78" s="298" t="s">
        <v>332</v>
      </c>
      <c r="E78" s="671">
        <v>16.7288</v>
      </c>
      <c r="F78" s="398">
        <f>IFERROR(E78*'01 Prod Physique Boites'!H76,"-")</f>
        <v>0</v>
      </c>
      <c r="G78" s="399">
        <f>IFERROR(E78*'01 Prod Physique Boites'!L76,"-")</f>
        <v>0</v>
      </c>
      <c r="H78" s="668">
        <v>20.76</v>
      </c>
      <c r="I78" s="417">
        <f t="shared" si="32"/>
        <v>0</v>
      </c>
      <c r="J78" s="622">
        <f t="shared" si="33"/>
        <v>0</v>
      </c>
    </row>
    <row r="79" spans="1:10" ht="24" x14ac:dyDescent="0.25">
      <c r="A79" s="274" t="s">
        <v>101</v>
      </c>
      <c r="B79" s="849"/>
      <c r="C79" s="298" t="s">
        <v>383</v>
      </c>
      <c r="D79" s="298" t="s">
        <v>332</v>
      </c>
      <c r="E79" s="497">
        <v>17.8202</v>
      </c>
      <c r="F79" s="398">
        <f>IFERROR(E79*'01 Prod Physique Boites'!H77,"-")</f>
        <v>0</v>
      </c>
      <c r="G79" s="399">
        <f>IFERROR(E79*'01 Prod Physique Boites'!L77,"-")</f>
        <v>0</v>
      </c>
      <c r="H79" s="382">
        <v>21.22</v>
      </c>
      <c r="I79" s="417">
        <f t="shared" si="32"/>
        <v>0</v>
      </c>
      <c r="J79" s="622">
        <f>IFERROR(H79*(G79/E79),"-")</f>
        <v>0</v>
      </c>
    </row>
    <row r="80" spans="1:10" ht="24" x14ac:dyDescent="0.25">
      <c r="A80" s="274"/>
      <c r="B80" s="849"/>
      <c r="C80" s="298" t="s">
        <v>454</v>
      </c>
      <c r="D80" s="298" t="s">
        <v>332</v>
      </c>
      <c r="E80" s="497">
        <v>14.608000000000001</v>
      </c>
      <c r="F80" s="398">
        <f>IFERROR(E80*'01 Prod Physique Boites'!H78,"-")</f>
        <v>0</v>
      </c>
      <c r="G80" s="399">
        <f>IFERROR(E80*'01 Prod Physique Boites'!L78,"-")</f>
        <v>0</v>
      </c>
      <c r="H80" s="382">
        <v>21.22</v>
      </c>
      <c r="I80" s="417">
        <f t="shared" si="32"/>
        <v>0</v>
      </c>
      <c r="J80" s="622">
        <f>IFERROR(H80*(G80/E80),"-")</f>
        <v>0</v>
      </c>
    </row>
    <row r="81" spans="1:10" ht="24" x14ac:dyDescent="0.25">
      <c r="A81" s="274"/>
      <c r="B81" s="849"/>
      <c r="C81" s="298" t="s">
        <v>503</v>
      </c>
      <c r="D81" s="742" t="s">
        <v>502</v>
      </c>
      <c r="E81" s="497">
        <v>16.7288</v>
      </c>
      <c r="F81" s="398">
        <f>IFERROR(E81*'01 Prod Physique Boites'!H79,"-")</f>
        <v>465830.16479999997</v>
      </c>
      <c r="G81" s="399">
        <f>IFERROR(E81*'01 Prod Physique Boites'!L79,"-")</f>
        <v>465830.16479999997</v>
      </c>
      <c r="H81" s="382">
        <v>25</v>
      </c>
      <c r="I81" s="419">
        <f t="shared" si="32"/>
        <v>696150</v>
      </c>
      <c r="J81" s="623">
        <f t="shared" si="33"/>
        <v>696150</v>
      </c>
    </row>
    <row r="82" spans="1:10" ht="24" x14ac:dyDescent="0.25">
      <c r="A82" s="274"/>
      <c r="B82" s="849"/>
      <c r="C82" s="298" t="s">
        <v>452</v>
      </c>
      <c r="D82" s="299" t="s">
        <v>279</v>
      </c>
      <c r="E82" s="671">
        <v>17.8202</v>
      </c>
      <c r="F82" s="398">
        <f>IFERROR(E82*'01 Prod Physique Boites'!H80,"-")</f>
        <v>0</v>
      </c>
      <c r="G82" s="399">
        <f>IFERROR(E82*'01 Prod Physique Boites'!L80,"-")</f>
        <v>0</v>
      </c>
      <c r="H82" s="382">
        <v>24.93</v>
      </c>
      <c r="I82" s="689">
        <f t="shared" si="32"/>
        <v>0</v>
      </c>
      <c r="J82" s="623">
        <f t="shared" si="33"/>
        <v>0</v>
      </c>
    </row>
    <row r="83" spans="1:10" ht="24.75" thickBot="1" x14ac:dyDescent="0.3">
      <c r="A83" s="274" t="s">
        <v>101</v>
      </c>
      <c r="B83" s="849"/>
      <c r="C83" s="298" t="s">
        <v>27</v>
      </c>
      <c r="D83" s="299" t="s">
        <v>233</v>
      </c>
      <c r="E83" s="497">
        <v>17.8202</v>
      </c>
      <c r="F83" s="398">
        <f>IFERROR(E83*'01 Prod Physique Boites'!H81,"-")</f>
        <v>0</v>
      </c>
      <c r="G83" s="399">
        <f>IFERROR(E83*'01 Prod Physique Boites'!L81,"-")</f>
        <v>0</v>
      </c>
      <c r="H83" s="382">
        <v>24.93</v>
      </c>
      <c r="I83" s="419">
        <f t="shared" si="32"/>
        <v>0</v>
      </c>
      <c r="J83" s="623">
        <f t="shared" si="33"/>
        <v>0</v>
      </c>
    </row>
    <row r="84" spans="1:10" ht="23.25" thickBot="1" x14ac:dyDescent="0.3">
      <c r="A84" s="274" t="s">
        <v>101</v>
      </c>
      <c r="B84" s="849"/>
      <c r="C84" s="303"/>
      <c r="D84" s="304" t="s">
        <v>52</v>
      </c>
      <c r="E84" s="393"/>
      <c r="F84" s="410">
        <f t="shared" ref="F84:G84" si="34">SUM(F77:F83)</f>
        <v>465830.16479999997</v>
      </c>
      <c r="G84" s="411">
        <f t="shared" si="34"/>
        <v>465830.16479999997</v>
      </c>
      <c r="H84" s="394"/>
      <c r="I84" s="410">
        <f t="shared" ref="I84:J84" si="35">SUM(I77:I83)</f>
        <v>696150</v>
      </c>
      <c r="J84" s="426">
        <f t="shared" si="35"/>
        <v>696150</v>
      </c>
    </row>
    <row r="85" spans="1:10" ht="23.25" thickBot="1" x14ac:dyDescent="0.3">
      <c r="A85" s="703" t="s">
        <v>101</v>
      </c>
      <c r="B85" s="850" t="s">
        <v>162</v>
      </c>
      <c r="C85" s="851"/>
      <c r="D85" s="852"/>
      <c r="E85" s="395"/>
      <c r="F85" s="412">
        <f t="shared" ref="F85:G85" si="36">+F76+F84</f>
        <v>732018.83039999998</v>
      </c>
      <c r="G85" s="413">
        <f t="shared" si="36"/>
        <v>732018.83039999998</v>
      </c>
      <c r="H85" s="396"/>
      <c r="I85" s="412">
        <f t="shared" ref="I85:J85" si="37">+I76+I84</f>
        <v>1093950</v>
      </c>
      <c r="J85" s="427">
        <f t="shared" si="37"/>
        <v>1093950</v>
      </c>
    </row>
    <row r="86" spans="1:10" ht="24" x14ac:dyDescent="0.25">
      <c r="A86" s="274" t="s">
        <v>101</v>
      </c>
      <c r="B86" s="849" t="s">
        <v>30</v>
      </c>
      <c r="C86" s="302" t="s">
        <v>445</v>
      </c>
      <c r="D86" s="298" t="s">
        <v>332</v>
      </c>
      <c r="E86" s="695">
        <v>27.917000000000002</v>
      </c>
      <c r="F86" s="398">
        <f>IFERROR(E86*'01 Prod Physique Boites'!H84,"-")</f>
        <v>0</v>
      </c>
      <c r="G86" s="687">
        <f>IFERROR(E86*'01 Prod Physique Boites'!L84,"-")</f>
        <v>0</v>
      </c>
      <c r="H86" s="693">
        <v>33.299999999999997</v>
      </c>
      <c r="I86" s="415">
        <f>IFERROR(H86*(F86/E86),"-")</f>
        <v>0</v>
      </c>
      <c r="J86" s="416">
        <f t="shared" ref="J86:J88" si="38">IFERROR(H86*(G86/E86),"-")</f>
        <v>0</v>
      </c>
    </row>
    <row r="87" spans="1:10" ht="24" x14ac:dyDescent="0.25">
      <c r="A87" s="274" t="s">
        <v>101</v>
      </c>
      <c r="B87" s="849"/>
      <c r="C87" s="299" t="s">
        <v>443</v>
      </c>
      <c r="D87" s="302" t="s">
        <v>382</v>
      </c>
      <c r="E87" s="692">
        <v>28.526700000000002</v>
      </c>
      <c r="F87" s="398">
        <f>IFERROR(E87*'01 Prod Physique Boites'!H85,"-")</f>
        <v>0</v>
      </c>
      <c r="G87" s="687">
        <f>IFERROR(E87*'01 Prod Physique Boites'!L85,"-")</f>
        <v>0</v>
      </c>
      <c r="H87" s="694">
        <v>37.89</v>
      </c>
      <c r="I87" s="417">
        <f>IFERROR(H87*(F87/E87),"-")</f>
        <v>0</v>
      </c>
      <c r="J87" s="418">
        <f t="shared" si="38"/>
        <v>0</v>
      </c>
    </row>
    <row r="88" spans="1:10" ht="24.75" thickBot="1" x14ac:dyDescent="0.3">
      <c r="A88" s="274" t="s">
        <v>101</v>
      </c>
      <c r="B88" s="849"/>
      <c r="C88" s="299" t="s">
        <v>290</v>
      </c>
      <c r="D88" s="299" t="s">
        <v>382</v>
      </c>
      <c r="E88" s="497">
        <v>25.751300000000001</v>
      </c>
      <c r="F88" s="398">
        <f>IFERROR(E88*'01 Prod Physique Boites'!H86,"-")</f>
        <v>96412.867200000008</v>
      </c>
      <c r="G88" s="687">
        <f>IFERROR(E88*'01 Prod Physique Boites'!L86,"-")</f>
        <v>96412.867200000008</v>
      </c>
      <c r="H88" s="384">
        <v>37.89</v>
      </c>
      <c r="I88" s="419">
        <f>IFERROR(H88*(F88/E88),"-")</f>
        <v>141860.16000000003</v>
      </c>
      <c r="J88" s="420">
        <f t="shared" si="38"/>
        <v>141860.16000000003</v>
      </c>
    </row>
    <row r="89" spans="1:10" ht="23.25" thickBot="1" x14ac:dyDescent="0.3">
      <c r="A89" s="274" t="s">
        <v>101</v>
      </c>
      <c r="B89" s="849"/>
      <c r="C89" s="300"/>
      <c r="D89" s="301" t="s">
        <v>50</v>
      </c>
      <c r="E89" s="386"/>
      <c r="F89" s="402">
        <f t="shared" ref="F89:G89" si="39">SUM(F86:F88)</f>
        <v>96412.867200000008</v>
      </c>
      <c r="G89" s="403">
        <f t="shared" si="39"/>
        <v>96412.867200000008</v>
      </c>
      <c r="H89" s="387"/>
      <c r="I89" s="402">
        <f t="shared" ref="I89" si="40">SUM(I86:I88)</f>
        <v>141860.16000000003</v>
      </c>
      <c r="J89" s="421">
        <f>SUM(J86:J88)</f>
        <v>141860.16000000003</v>
      </c>
    </row>
    <row r="90" spans="1:10" ht="24" x14ac:dyDescent="0.25">
      <c r="A90" s="274" t="s">
        <v>101</v>
      </c>
      <c r="B90" s="849"/>
      <c r="C90" s="296" t="s">
        <v>434</v>
      </c>
      <c r="D90" s="296" t="s">
        <v>92</v>
      </c>
      <c r="E90" s="500">
        <v>24.2607</v>
      </c>
      <c r="F90" s="398">
        <f>IFERROR(E90*'01 Prod Physique Boites'!H88,"-")</f>
        <v>0</v>
      </c>
      <c r="G90" s="687">
        <f>IFERROR(E90*'01 Prod Physique Boites'!L88,"-")</f>
        <v>0</v>
      </c>
      <c r="H90" s="379">
        <v>28.31</v>
      </c>
      <c r="I90" s="624">
        <f>IFERROR(H90*(F90/E90),"-")</f>
        <v>0</v>
      </c>
      <c r="J90" s="416">
        <f t="shared" ref="J90:J95" si="41">IFERROR(H90*(G90/E90),"-")</f>
        <v>0</v>
      </c>
    </row>
    <row r="91" spans="1:10" ht="24" x14ac:dyDescent="0.25">
      <c r="A91" s="274"/>
      <c r="B91" s="849"/>
      <c r="C91" s="302" t="s">
        <v>444</v>
      </c>
      <c r="D91" s="298" t="s">
        <v>332</v>
      </c>
      <c r="E91" s="500">
        <v>24.2607</v>
      </c>
      <c r="F91" s="398">
        <f>IFERROR(E91*'01 Prod Physique Boites'!H89,"-")</f>
        <v>0</v>
      </c>
      <c r="G91" s="687">
        <f>IFERROR(E91*'01 Prod Physique Boites'!L89,"-")</f>
        <v>0</v>
      </c>
      <c r="H91" s="379">
        <v>28.88</v>
      </c>
      <c r="I91" s="624">
        <f t="shared" ref="I91:I95" si="42">IFERROR(H91*(F91/E91),"-")</f>
        <v>0</v>
      </c>
      <c r="J91" s="416">
        <f t="shared" si="41"/>
        <v>0</v>
      </c>
    </row>
    <row r="92" spans="1:10" ht="24" x14ac:dyDescent="0.25">
      <c r="A92" s="274"/>
      <c r="B92" s="849"/>
      <c r="C92" s="302" t="s">
        <v>447</v>
      </c>
      <c r="D92" s="298" t="s">
        <v>332</v>
      </c>
      <c r="E92" s="500">
        <v>25.4041</v>
      </c>
      <c r="F92" s="398">
        <f>IFERROR(E92*'01 Prod Physique Boites'!H90,"-")</f>
        <v>0</v>
      </c>
      <c r="G92" s="687">
        <f>IFERROR(E92*'01 Prod Physique Boites'!L90,"-")</f>
        <v>0</v>
      </c>
      <c r="H92" s="379">
        <v>28.21</v>
      </c>
      <c r="I92" s="624">
        <f t="shared" si="42"/>
        <v>0</v>
      </c>
      <c r="J92" s="416">
        <f t="shared" si="41"/>
        <v>0</v>
      </c>
    </row>
    <row r="93" spans="1:10" ht="24" x14ac:dyDescent="0.25">
      <c r="A93" s="274" t="s">
        <v>101</v>
      </c>
      <c r="B93" s="849"/>
      <c r="C93" s="302" t="s">
        <v>333</v>
      </c>
      <c r="D93" s="302" t="s">
        <v>233</v>
      </c>
      <c r="E93" s="501">
        <v>27.917000000000002</v>
      </c>
      <c r="F93" s="683">
        <f>IFERROR(E93*'01 Prod Physique Boites'!H91,"-")</f>
        <v>0</v>
      </c>
      <c r="G93" s="687">
        <f>IFERROR(E93*'01 Prod Physique Boites'!L91,"-")</f>
        <v>0</v>
      </c>
      <c r="H93" s="382">
        <v>39</v>
      </c>
      <c r="I93" s="624">
        <f t="shared" si="42"/>
        <v>0</v>
      </c>
      <c r="J93" s="416">
        <f t="shared" si="41"/>
        <v>0</v>
      </c>
    </row>
    <row r="94" spans="1:10" ht="24" x14ac:dyDescent="0.25">
      <c r="A94" s="274"/>
      <c r="B94" s="849"/>
      <c r="C94" s="299" t="s">
        <v>453</v>
      </c>
      <c r="D94" s="299" t="s">
        <v>364</v>
      </c>
      <c r="E94" s="497">
        <v>22.094999999999999</v>
      </c>
      <c r="F94" s="683">
        <f>IFERROR(E94*'01 Prod Physique Boites'!H92,"-")</f>
        <v>0</v>
      </c>
      <c r="G94" s="687">
        <f>IFERROR(E94*'01 Prod Physique Boites'!L92,"-")</f>
        <v>0</v>
      </c>
      <c r="H94" s="704">
        <v>37.11</v>
      </c>
      <c r="I94" s="624">
        <f t="shared" si="42"/>
        <v>0</v>
      </c>
      <c r="J94" s="416">
        <f t="shared" si="41"/>
        <v>0</v>
      </c>
    </row>
    <row r="95" spans="1:10" ht="24.75" thickBot="1" x14ac:dyDescent="0.3">
      <c r="A95" s="274" t="s">
        <v>101</v>
      </c>
      <c r="B95" s="849"/>
      <c r="C95" s="299" t="s">
        <v>433</v>
      </c>
      <c r="D95" s="299" t="s">
        <v>421</v>
      </c>
      <c r="E95" s="497">
        <v>23.697399999999998</v>
      </c>
      <c r="F95" s="398">
        <f>IFERROR(E95*'01 Prod Physique Boites'!H93,"-")</f>
        <v>0</v>
      </c>
      <c r="G95" s="399">
        <f>IFERROR(E95*'01 Prod Physique Boites'!L93,"-")</f>
        <v>0</v>
      </c>
      <c r="H95" s="384">
        <v>28.21</v>
      </c>
      <c r="I95" s="624">
        <f t="shared" si="42"/>
        <v>0</v>
      </c>
      <c r="J95" s="416">
        <f t="shared" si="41"/>
        <v>0</v>
      </c>
    </row>
    <row r="96" spans="1:10" ht="23.25" thickBot="1" x14ac:dyDescent="0.3">
      <c r="A96" s="274" t="s">
        <v>101</v>
      </c>
      <c r="B96" s="849"/>
      <c r="C96" s="303"/>
      <c r="D96" s="304" t="s">
        <v>51</v>
      </c>
      <c r="E96" s="393"/>
      <c r="F96" s="410">
        <f t="shared" ref="F96:G96" si="43">SUM(F90:F95)</f>
        <v>0</v>
      </c>
      <c r="G96" s="411">
        <f t="shared" si="43"/>
        <v>0</v>
      </c>
      <c r="H96" s="394"/>
      <c r="I96" s="410">
        <f t="shared" ref="I96" si="44">SUM(I90:I95)</f>
        <v>0</v>
      </c>
      <c r="J96" s="426">
        <f>SUM(J90:J95)</f>
        <v>0</v>
      </c>
    </row>
    <row r="97" spans="1:10" ht="23.25" thickBot="1" x14ac:dyDescent="0.3">
      <c r="A97" s="274" t="s">
        <v>101</v>
      </c>
      <c r="B97" s="850" t="s">
        <v>163</v>
      </c>
      <c r="C97" s="851"/>
      <c r="D97" s="852"/>
      <c r="E97" s="395"/>
      <c r="F97" s="412">
        <f t="shared" ref="F97:G97" si="45">+F89+F96</f>
        <v>96412.867200000008</v>
      </c>
      <c r="G97" s="413">
        <f t="shared" si="45"/>
        <v>96412.867200000008</v>
      </c>
      <c r="H97" s="396"/>
      <c r="I97" s="412">
        <f t="shared" ref="I97:J97" si="46">+I89+I96</f>
        <v>141860.16000000003</v>
      </c>
      <c r="J97" s="427">
        <f t="shared" si="46"/>
        <v>141860.16000000003</v>
      </c>
    </row>
    <row r="98" spans="1:10" ht="24.75" thickBot="1" x14ac:dyDescent="0.3">
      <c r="A98" s="274" t="s">
        <v>101</v>
      </c>
      <c r="B98" s="592" t="s">
        <v>32</v>
      </c>
      <c r="C98" s="696"/>
      <c r="D98" s="309"/>
      <c r="E98" s="502">
        <v>12.2659</v>
      </c>
      <c r="F98" s="404">
        <f>IFERROR(E98*'01 Prod Physique Boites'!H92,"-")</f>
        <v>0</v>
      </c>
      <c r="G98" s="405">
        <f>IFERROR(E98*'01 Prod Physique Boites'!L92,"-")</f>
        <v>0</v>
      </c>
      <c r="H98" s="388"/>
      <c r="I98" s="422">
        <f>IFERROR(H98*(F98/E98),"-")</f>
        <v>0</v>
      </c>
      <c r="J98" s="423">
        <f>IFERROR(H98*(G98/E98),"-")</f>
        <v>0</v>
      </c>
    </row>
    <row r="99" spans="1:10" ht="23.25" thickBot="1" x14ac:dyDescent="0.3">
      <c r="A99" s="274" t="s">
        <v>101</v>
      </c>
      <c r="B99" s="853" t="s">
        <v>21</v>
      </c>
      <c r="C99" s="854"/>
      <c r="D99" s="855"/>
      <c r="E99" s="389"/>
      <c r="F99" s="406">
        <f>+F85+F97+F98</f>
        <v>828431.69759999996</v>
      </c>
      <c r="G99" s="407">
        <f>+G85+G97+G98</f>
        <v>828431.69759999996</v>
      </c>
      <c r="H99" s="390"/>
      <c r="I99" s="406">
        <f t="shared" ref="I99:J99" si="47">+I85+I97+I98</f>
        <v>1235810.1600000001</v>
      </c>
      <c r="J99" s="424">
        <f t="shared" si="47"/>
        <v>1235810.1600000001</v>
      </c>
    </row>
    <row r="100" spans="1:10" ht="23.25" thickBot="1" x14ac:dyDescent="0.3">
      <c r="A100" s="274" t="s">
        <v>101</v>
      </c>
      <c r="B100" s="839" t="s">
        <v>171</v>
      </c>
      <c r="C100" s="840"/>
      <c r="D100" s="841"/>
      <c r="E100" s="391"/>
      <c r="F100" s="408">
        <f t="shared" ref="F100:G100" si="48">+F99</f>
        <v>828431.69759999996</v>
      </c>
      <c r="G100" s="409">
        <f t="shared" si="48"/>
        <v>828431.69759999996</v>
      </c>
      <c r="H100" s="392"/>
      <c r="I100" s="408">
        <f t="shared" ref="I100:J100" si="49">+I99</f>
        <v>1235810.1600000001</v>
      </c>
      <c r="J100" s="425">
        <f t="shared" si="49"/>
        <v>1235810.1600000001</v>
      </c>
    </row>
    <row r="101" spans="1:10" ht="24" x14ac:dyDescent="0.25">
      <c r="A101" s="268" t="s">
        <v>102</v>
      </c>
      <c r="B101" s="842" t="s">
        <v>399</v>
      </c>
      <c r="C101" s="310" t="s">
        <v>113</v>
      </c>
      <c r="D101" s="310"/>
      <c r="E101" s="669">
        <v>254.89750000000001</v>
      </c>
      <c r="F101" s="398">
        <f>IFERROR(E101*'01 Prod Physique Boites'!H99,"-")</f>
        <v>0</v>
      </c>
      <c r="G101" s="399">
        <f>IFERROR(E101*'01 Prod Physique Boites'!L99,"-")</f>
        <v>0</v>
      </c>
      <c r="H101" s="379">
        <v>445.38</v>
      </c>
      <c r="I101" s="415">
        <f>IFERROR(H101*(F101/E101),"-")</f>
        <v>0</v>
      </c>
      <c r="J101" s="416">
        <f t="shared" ref="J101:J103" si="50">IFERROR(H101*(G101/E101),"-")</f>
        <v>0</v>
      </c>
    </row>
    <row r="102" spans="1:10" ht="24" x14ac:dyDescent="0.25">
      <c r="A102" s="274" t="s">
        <v>102</v>
      </c>
      <c r="B102" s="843"/>
      <c r="C102" s="311" t="s">
        <v>246</v>
      </c>
      <c r="D102" s="311"/>
      <c r="E102" s="499">
        <v>246.51390000000001</v>
      </c>
      <c r="F102" s="398">
        <f>IFERROR(E102*'01 Prod Physique Boites'!H100,"-")</f>
        <v>0</v>
      </c>
      <c r="G102" s="399">
        <f>IFERROR(E102*'01 Prod Physique Boites'!L100,"-")</f>
        <v>0</v>
      </c>
      <c r="H102" s="382">
        <v>430.02</v>
      </c>
      <c r="I102" s="417">
        <f>IFERROR(H102*(F102/E102),"-")</f>
        <v>0</v>
      </c>
      <c r="J102" s="418">
        <f t="shared" si="50"/>
        <v>0</v>
      </c>
    </row>
    <row r="103" spans="1:10" ht="24.75" thickBot="1" x14ac:dyDescent="0.3">
      <c r="A103" s="274" t="s">
        <v>102</v>
      </c>
      <c r="B103" s="844"/>
      <c r="C103" s="312" t="s">
        <v>33</v>
      </c>
      <c r="D103" s="312"/>
      <c r="E103" s="496">
        <v>225.7713</v>
      </c>
      <c r="F103" s="398">
        <f>IFERROR(E103*'01 Prod Physique Boites'!H101,"-")</f>
        <v>0</v>
      </c>
      <c r="G103" s="399">
        <f>IFERROR(E103*'01 Prod Physique Boites'!L101,"-")</f>
        <v>0</v>
      </c>
      <c r="H103" s="384"/>
      <c r="I103" s="419">
        <f>IFERROR(H103*(F103/E103),"-")</f>
        <v>0</v>
      </c>
      <c r="J103" s="420">
        <f t="shared" si="50"/>
        <v>0</v>
      </c>
    </row>
    <row r="104" spans="1:10" ht="23.25" thickBot="1" x14ac:dyDescent="0.3">
      <c r="A104" s="274" t="s">
        <v>102</v>
      </c>
      <c r="B104" s="845" t="s">
        <v>34</v>
      </c>
      <c r="C104" s="846"/>
      <c r="D104" s="847"/>
      <c r="E104" s="386"/>
      <c r="F104" s="402">
        <f t="shared" ref="F104:G104" si="51">SUM(F101:F103)</f>
        <v>0</v>
      </c>
      <c r="G104" s="403">
        <f t="shared" si="51"/>
        <v>0</v>
      </c>
      <c r="H104" s="387"/>
      <c r="I104" s="402">
        <f t="shared" ref="I104:J104" si="52">SUM(I101:I103)</f>
        <v>0</v>
      </c>
      <c r="J104" s="421">
        <f t="shared" si="52"/>
        <v>0</v>
      </c>
    </row>
    <row r="105" spans="1:10" ht="24" x14ac:dyDescent="0.25">
      <c r="A105" s="274" t="s">
        <v>102</v>
      </c>
      <c r="B105" s="842" t="s">
        <v>35</v>
      </c>
      <c r="C105" s="310" t="s">
        <v>113</v>
      </c>
      <c r="D105" s="310"/>
      <c r="E105" s="498">
        <v>254.89750000000001</v>
      </c>
      <c r="F105" s="398">
        <f>IFERROR(E105*'01 Prod Physique Boites'!H103,"-")</f>
        <v>0</v>
      </c>
      <c r="G105" s="399">
        <f>IFERROR(E105*'01 Prod Physique Boites'!L103,"-")</f>
        <v>0</v>
      </c>
      <c r="H105" s="379">
        <v>445.38</v>
      </c>
      <c r="I105" s="415">
        <f>IFERROR(H105*(F105/E105),"-")</f>
        <v>0</v>
      </c>
      <c r="J105" s="416">
        <f t="shared" ref="J105:J108" si="53">IFERROR(H105*(G105/E105),"-")</f>
        <v>0</v>
      </c>
    </row>
    <row r="106" spans="1:10" ht="24" x14ac:dyDescent="0.25">
      <c r="A106" s="274" t="s">
        <v>102</v>
      </c>
      <c r="B106" s="843"/>
      <c r="C106" s="311" t="s">
        <v>246</v>
      </c>
      <c r="D106" s="311"/>
      <c r="E106" s="499">
        <v>246.51390000000001</v>
      </c>
      <c r="F106" s="398">
        <f>IFERROR(E106*'01 Prod Physique Boites'!H104,"-")</f>
        <v>0</v>
      </c>
      <c r="G106" s="399">
        <f>IFERROR(E106*'01 Prod Physique Boites'!L104,"-")</f>
        <v>0</v>
      </c>
      <c r="H106" s="382">
        <v>430.02</v>
      </c>
      <c r="I106" s="417">
        <f>IFERROR(H106*(F106/E106),"-")</f>
        <v>0</v>
      </c>
      <c r="J106" s="418">
        <f t="shared" si="53"/>
        <v>0</v>
      </c>
    </row>
    <row r="107" spans="1:10" ht="24" x14ac:dyDescent="0.25">
      <c r="A107" s="274" t="s">
        <v>102</v>
      </c>
      <c r="B107" s="843"/>
      <c r="C107" s="311" t="s">
        <v>184</v>
      </c>
      <c r="D107" s="311" t="s">
        <v>183</v>
      </c>
      <c r="E107" s="499">
        <v>254.89750000000001</v>
      </c>
      <c r="F107" s="398">
        <f>IFERROR(E107*'01 Prod Physique Boites'!H105,"-")</f>
        <v>0</v>
      </c>
      <c r="G107" s="399">
        <f>IFERROR(E107*'01 Prod Physique Boites'!L105,"-")</f>
        <v>0</v>
      </c>
      <c r="H107" s="382"/>
      <c r="I107" s="417">
        <f>IFERROR(H107*(F107/E107),"-")</f>
        <v>0</v>
      </c>
      <c r="J107" s="418">
        <f t="shared" si="53"/>
        <v>0</v>
      </c>
    </row>
    <row r="108" spans="1:10" ht="24.75" thickBot="1" x14ac:dyDescent="0.3">
      <c r="A108" s="274" t="s">
        <v>102</v>
      </c>
      <c r="B108" s="844"/>
      <c r="C108" s="312" t="s">
        <v>36</v>
      </c>
      <c r="D108" s="312"/>
      <c r="E108" s="496">
        <v>229.99359999999999</v>
      </c>
      <c r="F108" s="398">
        <f>IFERROR(E108*'01 Prod Physique Boites'!H106,"-")</f>
        <v>0</v>
      </c>
      <c r="G108" s="399">
        <f>IFERROR(E108*'01 Prod Physique Boites'!L106,"-")</f>
        <v>0</v>
      </c>
      <c r="H108" s="384"/>
      <c r="I108" s="419">
        <f>IFERROR(H108*(F108/E108),"-")</f>
        <v>0</v>
      </c>
      <c r="J108" s="420">
        <f t="shared" si="53"/>
        <v>0</v>
      </c>
    </row>
    <row r="109" spans="1:10" ht="23.25" thickBot="1" x14ac:dyDescent="0.3">
      <c r="A109" s="274" t="s">
        <v>102</v>
      </c>
      <c r="B109" s="845" t="s">
        <v>37</v>
      </c>
      <c r="C109" s="846"/>
      <c r="D109" s="847"/>
      <c r="E109" s="386"/>
      <c r="F109" s="402">
        <f t="shared" ref="F109:G109" si="54">SUM(F105:F108)</f>
        <v>0</v>
      </c>
      <c r="G109" s="403">
        <f t="shared" si="54"/>
        <v>0</v>
      </c>
      <c r="H109" s="387"/>
      <c r="I109" s="402">
        <f>SUM(I105:I108)</f>
        <v>0</v>
      </c>
      <c r="J109" s="421">
        <f>SUM(J105:J108)</f>
        <v>0</v>
      </c>
    </row>
    <row r="110" spans="1:10" ht="24" x14ac:dyDescent="0.25">
      <c r="A110" s="274" t="s">
        <v>102</v>
      </c>
      <c r="B110" s="842" t="s">
        <v>400</v>
      </c>
      <c r="C110" s="313" t="s">
        <v>116</v>
      </c>
      <c r="D110" s="313"/>
      <c r="E110" s="498">
        <v>195.2808</v>
      </c>
      <c r="F110" s="398">
        <f>IFERROR(E110*'01 Prod Physique Boites'!H108,"-")</f>
        <v>0</v>
      </c>
      <c r="G110" s="399">
        <f>IFERROR(E110*'01 Prod Physique Boites'!L108,"-")</f>
        <v>0</v>
      </c>
      <c r="H110" s="642">
        <v>256.7</v>
      </c>
      <c r="I110" s="415">
        <f>IFERROR(H110*(F110/E110),"-")</f>
        <v>0</v>
      </c>
      <c r="J110" s="416">
        <f t="shared" ref="J110:J111" si="55">IFERROR(H110*(G110/E110),"-")</f>
        <v>0</v>
      </c>
    </row>
    <row r="111" spans="1:10" ht="24.75" thickBot="1" x14ac:dyDescent="0.3">
      <c r="A111" s="274" t="s">
        <v>102</v>
      </c>
      <c r="B111" s="844"/>
      <c r="C111" s="285" t="s">
        <v>132</v>
      </c>
      <c r="D111" s="285"/>
      <c r="E111" s="496">
        <v>189.91890000000001</v>
      </c>
      <c r="F111" s="398">
        <f>IFERROR(E111*'01 Prod Physique Boites'!H109,"-")</f>
        <v>0</v>
      </c>
      <c r="G111" s="399">
        <f>IFERROR(E111*'01 Prod Physique Boites'!L109,"-")</f>
        <v>0</v>
      </c>
      <c r="H111" s="384">
        <v>320.35000000000002</v>
      </c>
      <c r="I111" s="419">
        <f>IFERROR(H111*(F111/E111),"-")</f>
        <v>0</v>
      </c>
      <c r="J111" s="420">
        <f t="shared" si="55"/>
        <v>0</v>
      </c>
    </row>
    <row r="112" spans="1:10" ht="23.25" thickBot="1" x14ac:dyDescent="0.3">
      <c r="A112" s="703" t="s">
        <v>102</v>
      </c>
      <c r="B112" s="845" t="s">
        <v>38</v>
      </c>
      <c r="C112" s="846"/>
      <c r="D112" s="847"/>
      <c r="E112" s="386"/>
      <c r="F112" s="402">
        <f>SUM(F110:F111)</f>
        <v>0</v>
      </c>
      <c r="G112" s="403">
        <f t="shared" ref="G112" si="56">SUM(G110:G111)</f>
        <v>0</v>
      </c>
      <c r="H112" s="387"/>
      <c r="I112" s="402">
        <f t="shared" ref="I112:J112" si="57">SUM(I110:I111)</f>
        <v>0</v>
      </c>
      <c r="J112" s="421">
        <f t="shared" si="57"/>
        <v>0</v>
      </c>
    </row>
    <row r="113" spans="1:10" ht="24" x14ac:dyDescent="0.25">
      <c r="A113" s="274" t="s">
        <v>102</v>
      </c>
      <c r="B113" s="842" t="s">
        <v>401</v>
      </c>
      <c r="C113" s="269" t="s">
        <v>305</v>
      </c>
      <c r="D113" s="269" t="s">
        <v>237</v>
      </c>
      <c r="E113" s="500">
        <v>37.248699999999999</v>
      </c>
      <c r="F113" s="398">
        <f>IFERROR(E113*'01 Prod Physique Boites'!H111,"-")</f>
        <v>0</v>
      </c>
      <c r="G113" s="399">
        <f>IFERROR(E113*'01 Prod Physique Boites'!L111,"-")</f>
        <v>0</v>
      </c>
      <c r="H113" s="379">
        <v>71.44</v>
      </c>
      <c r="I113" s="415">
        <f>IFERROR(H113*(F113/E113),"-")</f>
        <v>0</v>
      </c>
      <c r="J113" s="416">
        <f>IFERROR(H113*(G113/E113),"-")</f>
        <v>0</v>
      </c>
    </row>
    <row r="114" spans="1:10" ht="24" x14ac:dyDescent="0.25">
      <c r="A114" s="274" t="s">
        <v>102</v>
      </c>
      <c r="B114" s="843"/>
      <c r="C114" s="269" t="s">
        <v>156</v>
      </c>
      <c r="D114" s="275"/>
      <c r="E114" s="500">
        <v>37.248699999999999</v>
      </c>
      <c r="F114" s="398">
        <f>IFERROR(E114*'01 Prod Physique Boites'!H112,"-")</f>
        <v>0</v>
      </c>
      <c r="G114" s="399">
        <f>IFERROR(E114*'01 Prod Physique Boites'!L112,"-")</f>
        <v>0</v>
      </c>
      <c r="H114" s="382"/>
      <c r="I114" s="417">
        <f>IFERROR(H114*(F114/E114),"-")</f>
        <v>0</v>
      </c>
      <c r="J114" s="418">
        <f t="shared" ref="J114:J116" si="58">IFERROR(H114*(G114/E114),"-")</f>
        <v>0</v>
      </c>
    </row>
    <row r="115" spans="1:10" ht="24" x14ac:dyDescent="0.25">
      <c r="A115" s="274" t="s">
        <v>102</v>
      </c>
      <c r="B115" s="843"/>
      <c r="C115" s="275" t="s">
        <v>343</v>
      </c>
      <c r="D115" s="269" t="s">
        <v>237</v>
      </c>
      <c r="E115" s="500">
        <v>37.248699999999999</v>
      </c>
      <c r="F115" s="398">
        <f>IFERROR(E115*'01 Prod Physique Boites'!H113,"-")</f>
        <v>871172.5956</v>
      </c>
      <c r="G115" s="399">
        <f>IFERROR(E115*'01 Prod Physique Boites'!L113,"-")</f>
        <v>871172.5956</v>
      </c>
      <c r="H115" s="382">
        <v>71.44</v>
      </c>
      <c r="I115" s="417">
        <f>IFERROR(H115*(F115/E115),"-")</f>
        <v>1670838.72</v>
      </c>
      <c r="J115" s="418">
        <f t="shared" si="58"/>
        <v>1670838.72</v>
      </c>
    </row>
    <row r="116" spans="1:10" ht="24.75" thickBot="1" x14ac:dyDescent="0.3">
      <c r="A116" s="274" t="s">
        <v>102</v>
      </c>
      <c r="B116" s="843"/>
      <c r="C116" s="275" t="s">
        <v>157</v>
      </c>
      <c r="D116" s="275"/>
      <c r="E116" s="501">
        <v>38.466099999999997</v>
      </c>
      <c r="F116" s="398">
        <f>IFERROR(E116*'01 Prod Physique Boites'!H114,"-")</f>
        <v>0</v>
      </c>
      <c r="G116" s="399">
        <f>IFERROR(E116*'01 Prod Physique Boites'!L114,"-")</f>
        <v>0</v>
      </c>
      <c r="H116" s="382"/>
      <c r="I116" s="417">
        <f>IFERROR(H116*(F116/E116),"-")</f>
        <v>0</v>
      </c>
      <c r="J116" s="418">
        <f t="shared" si="58"/>
        <v>0</v>
      </c>
    </row>
    <row r="117" spans="1:10" ht="23.25" thickBot="1" x14ac:dyDescent="0.3">
      <c r="A117" s="274" t="s">
        <v>102</v>
      </c>
      <c r="B117" s="845" t="s">
        <v>39</v>
      </c>
      <c r="C117" s="846"/>
      <c r="D117" s="847"/>
      <c r="E117" s="386"/>
      <c r="F117" s="402">
        <f>SUM(F113:F116)</f>
        <v>871172.5956</v>
      </c>
      <c r="G117" s="403">
        <f>SUM(G113:G116)</f>
        <v>871172.5956</v>
      </c>
      <c r="H117" s="387"/>
      <c r="I117" s="402">
        <f>SUM(I113:I116)</f>
        <v>1670838.72</v>
      </c>
      <c r="J117" s="402">
        <f>SUM(J113:J116)</f>
        <v>1670838.72</v>
      </c>
    </row>
    <row r="118" spans="1:10" ht="24" x14ac:dyDescent="0.25">
      <c r="A118" s="274" t="s">
        <v>102</v>
      </c>
      <c r="B118" s="842" t="s">
        <v>40</v>
      </c>
      <c r="C118" s="269" t="s">
        <v>186</v>
      </c>
      <c r="D118" s="269" t="s">
        <v>183</v>
      </c>
      <c r="E118" s="500">
        <v>30.7499</v>
      </c>
      <c r="F118" s="398">
        <f>IFERROR(E118*'01 Prod Physique Boites'!H117,"-")</f>
        <v>0</v>
      </c>
      <c r="G118" s="399">
        <f>IFERROR(E118*'01 Prod Physique Boites'!L117,"-")</f>
        <v>0</v>
      </c>
      <c r="H118" s="379"/>
      <c r="I118" s="415">
        <f>IFERROR(H118*(F118/E118),"-")</f>
        <v>0</v>
      </c>
      <c r="J118" s="416">
        <f>IFERROR(H118*(G118/E118),"-")</f>
        <v>0</v>
      </c>
    </row>
    <row r="119" spans="1:10" ht="24" x14ac:dyDescent="0.25">
      <c r="A119" s="274" t="s">
        <v>102</v>
      </c>
      <c r="B119" s="843"/>
      <c r="C119" s="275" t="s">
        <v>159</v>
      </c>
      <c r="D119" s="275"/>
      <c r="E119" s="645">
        <v>25.139099999999999</v>
      </c>
      <c r="F119" s="398">
        <f>IFERROR(E119*'01 Prod Physique Boites'!H118,"-")</f>
        <v>0</v>
      </c>
      <c r="G119" s="399">
        <f>IFERROR(E119*'01 Prod Physique Boites'!L117,"-")</f>
        <v>0</v>
      </c>
      <c r="H119" s="382">
        <v>59.96</v>
      </c>
      <c r="I119" s="417">
        <f>IFERROR(H119*(F119/E119),"-")</f>
        <v>0</v>
      </c>
      <c r="J119" s="418">
        <f t="shared" ref="J119:J120" si="59">IFERROR(H119*(G119/E119),"-")</f>
        <v>0</v>
      </c>
    </row>
    <row r="120" spans="1:10" ht="24.75" thickBot="1" x14ac:dyDescent="0.3">
      <c r="A120" s="274" t="s">
        <v>102</v>
      </c>
      <c r="B120" s="844"/>
      <c r="C120" s="279" t="s">
        <v>186</v>
      </c>
      <c r="D120" s="279" t="s">
        <v>185</v>
      </c>
      <c r="E120" s="497">
        <v>30.073599999999999</v>
      </c>
      <c r="F120" s="398">
        <f>IFERROR(E120*'01 Prod Physique Boites'!H119,"-")</f>
        <v>0</v>
      </c>
      <c r="G120" s="399">
        <f>IFERROR(E120*'01 Prod Physique Boites'!L118,"-")</f>
        <v>0</v>
      </c>
      <c r="H120" s="384"/>
      <c r="I120" s="419">
        <f>IFERROR(H120*(F120/E120),"-")</f>
        <v>0</v>
      </c>
      <c r="J120" s="420">
        <f t="shared" si="59"/>
        <v>0</v>
      </c>
    </row>
    <row r="121" spans="1:10" ht="23.25" thickBot="1" x14ac:dyDescent="0.3">
      <c r="A121" s="274" t="s">
        <v>102</v>
      </c>
      <c r="B121" s="862" t="s">
        <v>41</v>
      </c>
      <c r="C121" s="863"/>
      <c r="D121" s="864"/>
      <c r="E121" s="386"/>
      <c r="F121" s="402">
        <f t="shared" ref="F121:G121" si="60">SUM(F118:F120)</f>
        <v>0</v>
      </c>
      <c r="G121" s="403">
        <f t="shared" si="60"/>
        <v>0</v>
      </c>
      <c r="H121" s="387"/>
      <c r="I121" s="402">
        <f t="shared" ref="I121:J121" si="61">SUM(I118:I120)</f>
        <v>0</v>
      </c>
      <c r="J121" s="421">
        <f t="shared" si="61"/>
        <v>0</v>
      </c>
    </row>
    <row r="122" spans="1:10" ht="24" x14ac:dyDescent="0.25">
      <c r="A122" s="274" t="s">
        <v>102</v>
      </c>
      <c r="B122" s="842" t="s">
        <v>42</v>
      </c>
      <c r="C122" s="269" t="s">
        <v>160</v>
      </c>
      <c r="D122" s="269"/>
      <c r="E122" s="500">
        <v>36.684899999999999</v>
      </c>
      <c r="F122" s="398">
        <f>IFERROR(E122*'01 Prod Physique Boites'!H121,"-")</f>
        <v>528262.55999999994</v>
      </c>
      <c r="G122" s="399">
        <f>IFERROR(E122*'01 Prod Physique Boites'!L121,"-")</f>
        <v>528262.55999999994</v>
      </c>
      <c r="H122" s="379">
        <v>42</v>
      </c>
      <c r="I122" s="415">
        <f t="shared" ref="I122:I123" si="62">IFERROR(H122*(F122/E122),"-")</f>
        <v>604799.99999999988</v>
      </c>
      <c r="J122" s="380">
        <f t="shared" ref="J122:J123" si="63">IFERROR(H122*(G122/E122),"-")</f>
        <v>604799.99999999988</v>
      </c>
    </row>
    <row r="123" spans="1:10" ht="24.75" thickBot="1" x14ac:dyDescent="0.3">
      <c r="A123" s="274" t="s">
        <v>102</v>
      </c>
      <c r="B123" s="844"/>
      <c r="C123" s="279" t="s">
        <v>161</v>
      </c>
      <c r="D123" s="279"/>
      <c r="E123" s="497">
        <v>37.002800000000001</v>
      </c>
      <c r="F123" s="398">
        <f>IFERROR(E123*'01 Prod Physique Boites'!H122,"-")</f>
        <v>0</v>
      </c>
      <c r="G123" s="399">
        <f>IFERROR(E123*'01 Prod Physique Boites'!L122,"-")</f>
        <v>0</v>
      </c>
      <c r="H123" s="384">
        <v>45.5</v>
      </c>
      <c r="I123" s="415">
        <f t="shared" si="62"/>
        <v>0</v>
      </c>
      <c r="J123" s="385">
        <f t="shared" si="63"/>
        <v>0</v>
      </c>
    </row>
    <row r="124" spans="1:10" ht="23.25" thickBot="1" x14ac:dyDescent="0.3">
      <c r="A124" s="274" t="s">
        <v>102</v>
      </c>
      <c r="B124" s="862" t="s">
        <v>43</v>
      </c>
      <c r="C124" s="863"/>
      <c r="D124" s="864"/>
      <c r="E124" s="386"/>
      <c r="F124" s="398">
        <f>SUM(F122:F123)</f>
        <v>528262.55999999994</v>
      </c>
      <c r="G124" s="398">
        <f>SUM(G122:G123)</f>
        <v>528262.55999999994</v>
      </c>
      <c r="H124" s="387"/>
      <c r="I124" s="402">
        <f t="shared" ref="I124:J124" si="64">SUM(I122:I123)</f>
        <v>604799.99999999988</v>
      </c>
      <c r="J124" s="421">
        <f t="shared" si="64"/>
        <v>604799.99999999988</v>
      </c>
    </row>
    <row r="125" spans="1:10" ht="23.25" thickBot="1" x14ac:dyDescent="0.3">
      <c r="A125" s="274" t="s">
        <v>102</v>
      </c>
      <c r="B125" s="856" t="s">
        <v>25</v>
      </c>
      <c r="C125" s="857"/>
      <c r="D125" s="858"/>
      <c r="E125" s="389"/>
      <c r="F125" s="406">
        <f>+F104+F109+F112+F117+F121+F124</f>
        <v>1399435.1555999999</v>
      </c>
      <c r="G125" s="407">
        <f>+G104+G109+G112+G117+G121+G124</f>
        <v>1399435.1555999999</v>
      </c>
      <c r="H125" s="390"/>
      <c r="I125" s="406">
        <f>+I104+I109+I112+I117+I121+I124</f>
        <v>2275638.7199999997</v>
      </c>
      <c r="J125" s="424">
        <f>+J104+J109+J112+J117+J121+J124</f>
        <v>2275638.7199999997</v>
      </c>
    </row>
    <row r="126" spans="1:10" ht="23.25" thickBot="1" x14ac:dyDescent="0.3">
      <c r="A126" s="317" t="s">
        <v>102</v>
      </c>
      <c r="B126" s="840" t="s">
        <v>173</v>
      </c>
      <c r="C126" s="840"/>
      <c r="D126" s="841"/>
      <c r="E126" s="391"/>
      <c r="F126" s="408">
        <f t="shared" ref="F126:G126" si="65">+F125</f>
        <v>1399435.1555999999</v>
      </c>
      <c r="G126" s="409">
        <f t="shared" si="65"/>
        <v>1399435.1555999999</v>
      </c>
      <c r="H126" s="392"/>
      <c r="I126" s="408">
        <f t="shared" ref="I126" si="66">+I125</f>
        <v>2275638.7199999997</v>
      </c>
      <c r="J126" s="425">
        <f>+J125</f>
        <v>2275638.7199999997</v>
      </c>
    </row>
    <row r="127" spans="1:10" ht="26.25" thickBot="1" x14ac:dyDescent="0.3">
      <c r="A127" s="318"/>
      <c r="B127" s="859" t="s">
        <v>174</v>
      </c>
      <c r="C127" s="860"/>
      <c r="D127" s="861"/>
      <c r="E127" s="397"/>
      <c r="F127" s="414">
        <f>+F65+F100+F126</f>
        <v>4235113.2932000002</v>
      </c>
      <c r="G127" s="414">
        <f>+G65+G100+G126</f>
        <v>4235113.2932000002</v>
      </c>
      <c r="H127" s="397"/>
      <c r="I127" s="414">
        <f>+I65+I100+I126</f>
        <v>4928660.32</v>
      </c>
      <c r="J127" s="428">
        <f>+J65+J100+J126</f>
        <v>4928660.32</v>
      </c>
    </row>
    <row r="128" spans="1:10" ht="24.6" customHeight="1" thickBot="1" x14ac:dyDescent="0.3">
      <c r="A128" s="230"/>
      <c r="B128" s="230"/>
      <c r="C128" s="230"/>
      <c r="D128" s="230"/>
      <c r="E128" s="376"/>
      <c r="F128" s="376"/>
      <c r="G128" s="376"/>
      <c r="H128" s="376"/>
      <c r="I128" s="376"/>
      <c r="J128" s="376"/>
    </row>
    <row r="129" spans="1:15" ht="22.5" x14ac:dyDescent="0.25">
      <c r="A129" s="881" t="s">
        <v>1</v>
      </c>
      <c r="B129" s="884" t="s">
        <v>2</v>
      </c>
      <c r="C129" s="887" t="s">
        <v>394</v>
      </c>
      <c r="D129" s="887" t="s">
        <v>395</v>
      </c>
      <c r="E129" s="909" t="s">
        <v>403</v>
      </c>
      <c r="F129" s="910"/>
      <c r="G129" s="910"/>
      <c r="H129" s="438"/>
      <c r="I129" s="438"/>
      <c r="J129" s="439"/>
    </row>
    <row r="130" spans="1:15" ht="22.5" x14ac:dyDescent="0.25">
      <c r="A130" s="882"/>
      <c r="B130" s="885"/>
      <c r="C130" s="888"/>
      <c r="D130" s="888"/>
      <c r="E130" s="911" t="s">
        <v>406</v>
      </c>
      <c r="F130" s="912"/>
      <c r="G130" s="913"/>
      <c r="H130" s="911" t="s">
        <v>168</v>
      </c>
      <c r="I130" s="912"/>
      <c r="J130" s="913"/>
    </row>
    <row r="131" spans="1:15" ht="45" x14ac:dyDescent="0.25">
      <c r="A131" s="883"/>
      <c r="B131" s="907"/>
      <c r="C131" s="908"/>
      <c r="D131" s="908"/>
      <c r="E131" s="377" t="s">
        <v>170</v>
      </c>
      <c r="F131" s="788" t="s">
        <v>405</v>
      </c>
      <c r="G131" s="789" t="s">
        <v>404</v>
      </c>
      <c r="H131" s="914" t="s">
        <v>170</v>
      </c>
      <c r="I131" s="916" t="s">
        <v>137</v>
      </c>
      <c r="J131" s="918" t="s">
        <v>404</v>
      </c>
    </row>
    <row r="132" spans="1:15" ht="23.25" thickBot="1" x14ac:dyDescent="0.3">
      <c r="A132" s="883"/>
      <c r="B132" s="886"/>
      <c r="C132" s="889"/>
      <c r="D132" s="889"/>
      <c r="E132" s="920" t="s">
        <v>499</v>
      </c>
      <c r="F132" s="921"/>
      <c r="G132" s="922"/>
      <c r="H132" s="915"/>
      <c r="I132" s="917"/>
      <c r="J132" s="919"/>
    </row>
    <row r="133" spans="1:15" ht="24" x14ac:dyDescent="0.25">
      <c r="A133" s="268" t="s">
        <v>103</v>
      </c>
      <c r="B133" s="867" t="s">
        <v>16</v>
      </c>
      <c r="C133" s="269" t="s">
        <v>366</v>
      </c>
      <c r="D133" s="269" t="s">
        <v>367</v>
      </c>
      <c r="E133" s="665">
        <v>81.360699999999994</v>
      </c>
      <c r="F133" s="398">
        <f>IFERROR(E133*'01 Prod Physique Boites'!H131,"-")</f>
        <v>0</v>
      </c>
      <c r="G133" s="398">
        <f>IFERROR(E133*'01 Prod Physique Boites'!L131,"-")</f>
        <v>0</v>
      </c>
      <c r="H133" s="666">
        <v>143.28</v>
      </c>
      <c r="I133" s="415">
        <f>IFERROR(H133*(F133/E133),"-")</f>
        <v>0</v>
      </c>
      <c r="J133" s="416">
        <f t="shared" ref="J133:J135" si="67">IFERROR(H133*(G133/E133),"-")</f>
        <v>0</v>
      </c>
    </row>
    <row r="134" spans="1:15" ht="24" x14ac:dyDescent="0.25">
      <c r="A134" s="673"/>
      <c r="B134" s="868"/>
      <c r="C134" s="275" t="s">
        <v>464</v>
      </c>
      <c r="D134" s="275" t="s">
        <v>373</v>
      </c>
      <c r="E134" s="501">
        <v>81.360699999999994</v>
      </c>
      <c r="F134" s="398">
        <f>IFERROR(E134*'01 Prod Physique Boites'!H132,"-")</f>
        <v>0</v>
      </c>
      <c r="G134" s="398">
        <f>IFERROR(E134*'01 Prod Physique Boites'!L132,"-")</f>
        <v>0</v>
      </c>
      <c r="H134" s="668">
        <v>143.28</v>
      </c>
      <c r="I134" s="415">
        <f>IFERROR(H134*(F134/E134),"-")</f>
        <v>0</v>
      </c>
      <c r="J134" s="416">
        <f t="shared" si="67"/>
        <v>0</v>
      </c>
    </row>
    <row r="135" spans="1:15" ht="24" x14ac:dyDescent="0.25">
      <c r="A135" s="274" t="s">
        <v>103</v>
      </c>
      <c r="B135" s="868"/>
      <c r="C135" s="275" t="s">
        <v>427</v>
      </c>
      <c r="D135" s="275" t="s">
        <v>382</v>
      </c>
      <c r="E135" s="645">
        <v>77.170400000000001</v>
      </c>
      <c r="F135" s="398">
        <f>IFERROR(E135*'01 Prod Physique Boites'!H133,"-")</f>
        <v>0</v>
      </c>
      <c r="G135" s="646">
        <f>IFERROR(E135*'01 Prod Physique Boites'!L133,"-")</f>
        <v>321028.864</v>
      </c>
      <c r="H135" s="382">
        <v>0</v>
      </c>
      <c r="I135" s="415">
        <f>IFERROR(H135*(F135/E135),"-")</f>
        <v>0</v>
      </c>
      <c r="J135" s="416">
        <f t="shared" si="67"/>
        <v>0</v>
      </c>
    </row>
    <row r="136" spans="1:15" ht="24.75" thickBot="1" x14ac:dyDescent="0.3">
      <c r="A136" s="274" t="s">
        <v>103</v>
      </c>
      <c r="B136" s="869"/>
      <c r="C136" s="279" t="s">
        <v>261</v>
      </c>
      <c r="D136" s="279" t="s">
        <v>230</v>
      </c>
      <c r="E136" s="497">
        <v>60.703499999999998</v>
      </c>
      <c r="F136" s="398">
        <f>IFERROR(E136*'01 Prod Physique Boites'!H134,"-")</f>
        <v>0</v>
      </c>
      <c r="G136" s="398">
        <f>IFERROR(E136*'01 Prod Physique Boites'!L134,"-")</f>
        <v>0</v>
      </c>
      <c r="H136" s="384">
        <v>111.09</v>
      </c>
      <c r="I136" s="415">
        <f>IFERROR(H136*(F136/E136),"-")</f>
        <v>0</v>
      </c>
      <c r="J136" s="416">
        <f>IFERROR(H136*(G136/E136),"-")</f>
        <v>0</v>
      </c>
    </row>
    <row r="137" spans="1:15" ht="23.25" thickBot="1" x14ac:dyDescent="0.3">
      <c r="A137" s="274" t="s">
        <v>103</v>
      </c>
      <c r="B137" s="845" t="s">
        <v>44</v>
      </c>
      <c r="C137" s="846"/>
      <c r="D137" s="847"/>
      <c r="E137" s="386"/>
      <c r="F137" s="402">
        <f t="shared" ref="F137" si="68">SUM(F133:F136)</f>
        <v>0</v>
      </c>
      <c r="G137" s="403">
        <f>SUM(G133:G136)</f>
        <v>321028.864</v>
      </c>
      <c r="H137" s="387"/>
      <c r="I137" s="402">
        <f t="shared" ref="I137:J137" si="69">SUM(I133:I136)</f>
        <v>0</v>
      </c>
      <c r="J137" s="421">
        <f t="shared" si="69"/>
        <v>0</v>
      </c>
      <c r="K137" s="664"/>
      <c r="L137" s="664"/>
      <c r="M137" s="664"/>
      <c r="N137" s="664"/>
      <c r="O137" s="664"/>
    </row>
    <row r="138" spans="1:15" ht="24" x14ac:dyDescent="0.25">
      <c r="A138" s="274" t="s">
        <v>103</v>
      </c>
      <c r="B138" s="867" t="s">
        <v>17</v>
      </c>
      <c r="C138" s="269" t="s">
        <v>293</v>
      </c>
      <c r="D138" s="269"/>
      <c r="E138" s="500">
        <v>12.5275</v>
      </c>
      <c r="F138" s="398">
        <f>IFERROR(E138*'01 Prod Physique Boites'!H136,"-")</f>
        <v>0</v>
      </c>
      <c r="G138" s="398">
        <f>IFERROR(E138*'01 Prod Physique Boites'!L136,"-")</f>
        <v>0</v>
      </c>
      <c r="H138" s="642">
        <v>18.836400000000001</v>
      </c>
      <c r="I138" s="415">
        <f t="shared" ref="I138:I144" si="70">IFERROR(H138*(F138/E138),"-")</f>
        <v>0</v>
      </c>
      <c r="J138" s="416">
        <f t="shared" ref="J138:J143" si="71">IFERROR(H138*(G138/E138),"-")</f>
        <v>0</v>
      </c>
    </row>
    <row r="139" spans="1:15" ht="24" x14ac:dyDescent="0.25">
      <c r="A139" s="274" t="s">
        <v>103</v>
      </c>
      <c r="B139" s="868"/>
      <c r="C139" s="275" t="s">
        <v>342</v>
      </c>
      <c r="D139" s="275" t="s">
        <v>231</v>
      </c>
      <c r="E139" s="638">
        <v>13.002700000000001</v>
      </c>
      <c r="F139" s="398">
        <f>IFERROR(E139*'01 Prod Physique Boites'!H137,"-")</f>
        <v>0</v>
      </c>
      <c r="G139" s="398">
        <f>IFERROR(E139*'01 Prod Physique Boites'!L137,"-")</f>
        <v>0</v>
      </c>
      <c r="H139" s="382">
        <v>21.18</v>
      </c>
      <c r="I139" s="417">
        <f t="shared" si="70"/>
        <v>0</v>
      </c>
      <c r="J139" s="418">
        <f t="shared" si="71"/>
        <v>0</v>
      </c>
    </row>
    <row r="140" spans="1:15" ht="24" x14ac:dyDescent="0.25">
      <c r="A140" s="274" t="s">
        <v>103</v>
      </c>
      <c r="B140" s="868"/>
      <c r="C140" s="275" t="s">
        <v>349</v>
      </c>
      <c r="D140" s="275" t="s">
        <v>187</v>
      </c>
      <c r="E140" s="638">
        <v>12.9049</v>
      </c>
      <c r="F140" s="398">
        <f>IFERROR(E140*'01 Prod Physique Boites'!H138,"-")</f>
        <v>481868.96599999996</v>
      </c>
      <c r="G140" s="398">
        <f>IFERROR(E140*'01 Prod Physique Boites'!L138,"-")</f>
        <v>789779.88</v>
      </c>
      <c r="H140" s="382">
        <v>20.5</v>
      </c>
      <c r="I140" s="417">
        <f t="shared" si="70"/>
        <v>765470</v>
      </c>
      <c r="J140" s="418">
        <f t="shared" si="71"/>
        <v>1254600</v>
      </c>
    </row>
    <row r="141" spans="1:15" ht="24" x14ac:dyDescent="0.25">
      <c r="A141" s="274" t="s">
        <v>103</v>
      </c>
      <c r="B141" s="868"/>
      <c r="C141" s="275" t="s">
        <v>292</v>
      </c>
      <c r="D141" s="275" t="s">
        <v>188</v>
      </c>
      <c r="E141" s="501">
        <v>13.078200000000001</v>
      </c>
      <c r="F141" s="398">
        <f>IFERROR(E141*'01 Prod Physique Boites'!H139,"-")</f>
        <v>0</v>
      </c>
      <c r="G141" s="398">
        <f>IFERROR(E141*'01 Prod Physique Boites'!L139,"-")</f>
        <v>0</v>
      </c>
      <c r="H141" s="382">
        <v>20.6</v>
      </c>
      <c r="I141" s="417">
        <f t="shared" si="70"/>
        <v>0</v>
      </c>
      <c r="J141" s="418">
        <f t="shared" si="71"/>
        <v>0</v>
      </c>
    </row>
    <row r="142" spans="1:15" ht="24" x14ac:dyDescent="0.25">
      <c r="A142" s="274" t="s">
        <v>103</v>
      </c>
      <c r="B142" s="868"/>
      <c r="C142" s="275" t="s">
        <v>321</v>
      </c>
      <c r="D142" s="275" t="s">
        <v>316</v>
      </c>
      <c r="E142" s="501">
        <v>13.1958</v>
      </c>
      <c r="F142" s="398">
        <f>IFERROR(E142*'01 Prod Physique Boites'!H140,"-")</f>
        <v>0</v>
      </c>
      <c r="G142" s="398">
        <f>IFERROR(E142*'01 Prod Physique Boites'!L140,"-")</f>
        <v>0</v>
      </c>
      <c r="H142" s="382">
        <v>21.28</v>
      </c>
      <c r="I142" s="417">
        <f t="shared" si="70"/>
        <v>0</v>
      </c>
      <c r="J142" s="418">
        <f t="shared" si="71"/>
        <v>0</v>
      </c>
    </row>
    <row r="143" spans="1:15" ht="24" x14ac:dyDescent="0.25">
      <c r="A143" s="274">
        <v>1</v>
      </c>
      <c r="B143" s="868"/>
      <c r="C143" s="275" t="s">
        <v>350</v>
      </c>
      <c r="D143" s="275" t="s">
        <v>189</v>
      </c>
      <c r="E143" s="638">
        <v>12.9049</v>
      </c>
      <c r="F143" s="398">
        <f>IFERROR(E143*'01 Prod Physique Boites'!H141,"-")</f>
        <v>0</v>
      </c>
      <c r="G143" s="398">
        <f>IFERROR(E143*'01 Prod Physique Boites'!L141,"-")</f>
        <v>0</v>
      </c>
      <c r="H143" s="629">
        <v>20.5</v>
      </c>
      <c r="I143" s="417">
        <f t="shared" si="70"/>
        <v>0</v>
      </c>
      <c r="J143" s="418">
        <f t="shared" si="71"/>
        <v>0</v>
      </c>
    </row>
    <row r="144" spans="1:15" ht="24.75" thickBot="1" x14ac:dyDescent="0.3">
      <c r="A144" s="274" t="s">
        <v>103</v>
      </c>
      <c r="B144" s="869"/>
      <c r="C144" s="279" t="s">
        <v>339</v>
      </c>
      <c r="D144" s="279" t="s">
        <v>175</v>
      </c>
      <c r="E144" s="497">
        <v>13.6509</v>
      </c>
      <c r="F144" s="398">
        <f>IFERROR(E144*'01 Prod Physique Boites'!H142,"-")</f>
        <v>0</v>
      </c>
      <c r="G144" s="398">
        <f>IFERROR(E144*'01 Prod Physique Boites'!L142,"-")</f>
        <v>0</v>
      </c>
      <c r="H144" s="384">
        <v>21.18</v>
      </c>
      <c r="I144" s="419">
        <f t="shared" si="70"/>
        <v>0</v>
      </c>
      <c r="J144" s="420">
        <f>IFERROR(H144*(G144/E144),"-")</f>
        <v>0</v>
      </c>
    </row>
    <row r="145" spans="1:15" ht="23.25" thickBot="1" x14ac:dyDescent="0.3">
      <c r="A145" s="274" t="s">
        <v>103</v>
      </c>
      <c r="B145" s="845" t="s">
        <v>45</v>
      </c>
      <c r="C145" s="846"/>
      <c r="D145" s="847"/>
      <c r="E145" s="386"/>
      <c r="F145" s="402">
        <f t="shared" ref="F145" si="72">SUM(F138:F144)</f>
        <v>481868.96599999996</v>
      </c>
      <c r="G145" s="403">
        <f>SUM(G138:G144)</f>
        <v>789779.88</v>
      </c>
      <c r="H145" s="387"/>
      <c r="I145" s="402">
        <f t="shared" ref="I145" si="73">SUM(I138:I144)</f>
        <v>765470</v>
      </c>
      <c r="J145" s="421">
        <f>SUM(J138:J144)</f>
        <v>1254600</v>
      </c>
      <c r="K145" s="664"/>
      <c r="L145" s="664"/>
      <c r="M145" s="664"/>
      <c r="N145" s="664"/>
      <c r="O145" s="664"/>
    </row>
    <row r="146" spans="1:15" ht="24" x14ac:dyDescent="0.25">
      <c r="A146" s="274" t="s">
        <v>103</v>
      </c>
      <c r="B146" s="867" t="s">
        <v>18</v>
      </c>
      <c r="C146" s="269" t="s">
        <v>311</v>
      </c>
      <c r="D146" s="269" t="s">
        <v>92</v>
      </c>
      <c r="E146" s="500">
        <v>17.8202</v>
      </c>
      <c r="F146" s="398">
        <f>IFERROR(E146*'01 Prod Physique Boites'!H144,"-")</f>
        <v>0</v>
      </c>
      <c r="G146" s="399">
        <f>IFERROR(E146*'01 Prod Physique Boites'!L144,"-")</f>
        <v>0</v>
      </c>
      <c r="H146" s="379">
        <v>24.93</v>
      </c>
      <c r="I146" s="415">
        <f t="shared" ref="I146:I152" si="74">IFERROR(H146*(F146/E146),"-")</f>
        <v>0</v>
      </c>
      <c r="J146" s="416">
        <f t="shared" ref="J146:J148" si="75">IFERROR(H146*(G146/E146),"-")</f>
        <v>0</v>
      </c>
    </row>
    <row r="147" spans="1:15" ht="24" x14ac:dyDescent="0.25">
      <c r="A147" s="274" t="s">
        <v>103</v>
      </c>
      <c r="B147" s="868"/>
      <c r="C147" s="275" t="s">
        <v>130</v>
      </c>
      <c r="D147" s="275"/>
      <c r="E147" s="501">
        <v>17.8202</v>
      </c>
      <c r="F147" s="398">
        <f>IFERROR(E147*'01 Prod Physique Boites'!H145,"-")</f>
        <v>0</v>
      </c>
      <c r="G147" s="399">
        <f>IFERROR(E147*'01 Prod Physique Boites'!L145,"-")</f>
        <v>0</v>
      </c>
      <c r="H147" s="382">
        <v>0</v>
      </c>
      <c r="I147" s="417">
        <f t="shared" si="74"/>
        <v>0</v>
      </c>
      <c r="J147" s="418">
        <f t="shared" si="75"/>
        <v>0</v>
      </c>
    </row>
    <row r="148" spans="1:15" ht="24" x14ac:dyDescent="0.25">
      <c r="A148" s="274" t="s">
        <v>103</v>
      </c>
      <c r="B148" s="868"/>
      <c r="C148" s="275" t="s">
        <v>115</v>
      </c>
      <c r="D148" s="275"/>
      <c r="E148" s="501">
        <v>16.4071</v>
      </c>
      <c r="F148" s="398">
        <f>IFERROR(E148*'01 Prod Physique Boites'!H146,"-")</f>
        <v>0</v>
      </c>
      <c r="G148" s="399">
        <f>IFERROR(E148*'01 Prod Physique Boites'!L146,"-")</f>
        <v>0</v>
      </c>
      <c r="H148" s="382">
        <v>0</v>
      </c>
      <c r="I148" s="417">
        <f t="shared" si="74"/>
        <v>0</v>
      </c>
      <c r="J148" s="418">
        <f t="shared" si="75"/>
        <v>0</v>
      </c>
    </row>
    <row r="149" spans="1:15" ht="24" x14ac:dyDescent="0.25">
      <c r="A149" s="274" t="s">
        <v>103</v>
      </c>
      <c r="B149" s="868"/>
      <c r="C149" s="275" t="s">
        <v>122</v>
      </c>
      <c r="D149" s="275"/>
      <c r="E149" s="501">
        <v>17.8202</v>
      </c>
      <c r="F149" s="398">
        <f>IFERROR(E149*'01 Prod Physique Boites'!H147,"-")</f>
        <v>0</v>
      </c>
      <c r="G149" s="399">
        <f>IFERROR(E149*'01 Prod Physique Boites'!L147,"-")</f>
        <v>0</v>
      </c>
      <c r="H149" s="382">
        <v>0</v>
      </c>
      <c r="I149" s="417">
        <f t="shared" si="74"/>
        <v>0</v>
      </c>
      <c r="J149" s="418">
        <f>IFERROR(H149*(G149/E149),"-")</f>
        <v>0</v>
      </c>
    </row>
    <row r="150" spans="1:15" ht="24" x14ac:dyDescent="0.25">
      <c r="A150" s="274" t="s">
        <v>103</v>
      </c>
      <c r="B150" s="868"/>
      <c r="C150" s="275" t="s">
        <v>176</v>
      </c>
      <c r="D150" s="275" t="s">
        <v>177</v>
      </c>
      <c r="E150" s="501">
        <v>17.8202</v>
      </c>
      <c r="F150" s="398">
        <f>IFERROR(E150*'01 Prod Physique Boites'!H148,"-")</f>
        <v>0</v>
      </c>
      <c r="G150" s="399">
        <f>IFERROR(E150*'01 Prod Physique Boites'!L148,"-")</f>
        <v>0</v>
      </c>
      <c r="H150" s="382">
        <v>0</v>
      </c>
      <c r="I150" s="417">
        <f t="shared" si="74"/>
        <v>0</v>
      </c>
      <c r="J150" s="418">
        <f t="shared" ref="J150:J152" si="76">IFERROR(H150*(G150/E150),"-")</f>
        <v>0</v>
      </c>
    </row>
    <row r="151" spans="1:15" ht="24" x14ac:dyDescent="0.25">
      <c r="A151" s="274" t="s">
        <v>103</v>
      </c>
      <c r="B151" s="868"/>
      <c r="C151" s="275" t="s">
        <v>179</v>
      </c>
      <c r="D151" s="275" t="s">
        <v>178</v>
      </c>
      <c r="E151" s="501">
        <v>16.7288</v>
      </c>
      <c r="F151" s="398">
        <f>IFERROR(E151*'01 Prod Physique Boites'!H149,"-")</f>
        <v>0</v>
      </c>
      <c r="G151" s="399">
        <f>IFERROR(E151*'01 Prod Physique Boites'!L149,"-")</f>
        <v>0</v>
      </c>
      <c r="H151" s="382">
        <v>0</v>
      </c>
      <c r="I151" s="417">
        <f t="shared" si="74"/>
        <v>0</v>
      </c>
      <c r="J151" s="418">
        <f t="shared" si="76"/>
        <v>0</v>
      </c>
    </row>
    <row r="152" spans="1:15" ht="24.75" thickBot="1" x14ac:dyDescent="0.3">
      <c r="A152" s="274" t="s">
        <v>103</v>
      </c>
      <c r="B152" s="869"/>
      <c r="C152" s="285" t="s">
        <v>180</v>
      </c>
      <c r="D152" s="285" t="s">
        <v>107</v>
      </c>
      <c r="E152" s="497">
        <v>17.8202</v>
      </c>
      <c r="F152" s="398">
        <f>IFERROR(E152*'01 Prod Physique Boites'!H150,"-")</f>
        <v>0</v>
      </c>
      <c r="G152" s="399">
        <f>IFERROR(E152*'01 Prod Physique Boites'!L150,"-")</f>
        <v>0</v>
      </c>
      <c r="H152" s="382">
        <v>0</v>
      </c>
      <c r="I152" s="419">
        <f t="shared" si="74"/>
        <v>0</v>
      </c>
      <c r="J152" s="420">
        <f t="shared" si="76"/>
        <v>0</v>
      </c>
    </row>
    <row r="153" spans="1:15" ht="23.25" thickBot="1" x14ac:dyDescent="0.3">
      <c r="A153" s="274" t="s">
        <v>103</v>
      </c>
      <c r="B153" s="845" t="s">
        <v>29</v>
      </c>
      <c r="C153" s="870"/>
      <c r="D153" s="871"/>
      <c r="E153" s="763"/>
      <c r="F153" s="768">
        <f t="shared" ref="F153:G153" si="77">SUM(F146:F152)</f>
        <v>0</v>
      </c>
      <c r="G153" s="411">
        <f t="shared" si="77"/>
        <v>0</v>
      </c>
      <c r="H153" s="394"/>
      <c r="I153" s="410">
        <f t="shared" ref="I153:J153" si="78">SUM(I146:I152)</f>
        <v>0</v>
      </c>
      <c r="J153" s="426">
        <f t="shared" si="78"/>
        <v>0</v>
      </c>
    </row>
    <row r="154" spans="1:15" ht="24" x14ac:dyDescent="0.25">
      <c r="A154" s="274"/>
      <c r="B154" s="872" t="s">
        <v>19</v>
      </c>
      <c r="C154" s="734" t="s">
        <v>234</v>
      </c>
      <c r="D154" s="760" t="s">
        <v>177</v>
      </c>
      <c r="E154" s="765">
        <v>12.2659</v>
      </c>
      <c r="F154" s="769">
        <f>IFERROR(E154*'01 Prod Physique Boites'!H152,"-")</f>
        <v>207244.6464</v>
      </c>
      <c r="G154" s="772">
        <f>IFERROR(E154*'01 Prod Physique Boites'!L152,"-")</f>
        <v>932600.90879999998</v>
      </c>
      <c r="H154" s="775">
        <v>14.79</v>
      </c>
      <c r="I154" s="769">
        <f t="shared" ref="I154:I160" si="79">IFERROR(H154*(F154/E154),"-")</f>
        <v>249891.84</v>
      </c>
      <c r="J154" s="628">
        <f>IFERROR(H154*(G154/E154),"-")</f>
        <v>1124513.28</v>
      </c>
    </row>
    <row r="155" spans="1:15" ht="24" x14ac:dyDescent="0.25">
      <c r="A155" s="274"/>
      <c r="B155" s="873"/>
      <c r="C155" s="733" t="s">
        <v>357</v>
      </c>
      <c r="D155" s="761" t="s">
        <v>421</v>
      </c>
      <c r="E155" s="766">
        <v>12.2659</v>
      </c>
      <c r="F155" s="770">
        <f>IFERROR(E155*'01 Prod Physique Boites'!H153,"-")</f>
        <v>0</v>
      </c>
      <c r="G155" s="773">
        <f>IFERROR(E155*'01 Prod Physique Boites'!L153,"-")</f>
        <v>0</v>
      </c>
      <c r="H155" s="776">
        <v>14.55</v>
      </c>
      <c r="I155" s="770">
        <f t="shared" si="79"/>
        <v>0</v>
      </c>
      <c r="J155" s="622">
        <f t="shared" ref="J155:J160" si="80">IFERROR(H155*(G155/E155),"-")</f>
        <v>0</v>
      </c>
    </row>
    <row r="156" spans="1:15" ht="24" x14ac:dyDescent="0.25">
      <c r="A156" s="274"/>
      <c r="B156" s="873"/>
      <c r="C156" s="733"/>
      <c r="D156" s="761"/>
      <c r="E156" s="766">
        <v>12.2659</v>
      </c>
      <c r="F156" s="770">
        <f>IFERROR(E156*'01 Prod Physique Boites'!H154,"-")</f>
        <v>0</v>
      </c>
      <c r="G156" s="773">
        <f>IFERROR(E156*'01 Prod Physique Boites'!L154,"-")</f>
        <v>0</v>
      </c>
      <c r="H156" s="776">
        <v>16.41</v>
      </c>
      <c r="I156" s="770">
        <f t="shared" si="79"/>
        <v>0</v>
      </c>
      <c r="J156" s="622">
        <f t="shared" si="80"/>
        <v>0</v>
      </c>
    </row>
    <row r="157" spans="1:15" ht="24" x14ac:dyDescent="0.25">
      <c r="A157" s="274"/>
      <c r="B157" s="873"/>
      <c r="C157" s="733"/>
      <c r="D157" s="761"/>
      <c r="E157" s="766">
        <v>12.2659</v>
      </c>
      <c r="F157" s="770">
        <f>IFERROR(E157*'01 Prod Physique Boites'!H155,"-")</f>
        <v>0</v>
      </c>
      <c r="G157" s="773">
        <f>IFERROR(E157*'01 Prod Physique Boites'!L155,"-")</f>
        <v>0</v>
      </c>
      <c r="H157" s="776">
        <v>16.41</v>
      </c>
      <c r="I157" s="770">
        <f t="shared" si="79"/>
        <v>0</v>
      </c>
      <c r="J157" s="622">
        <f t="shared" si="80"/>
        <v>0</v>
      </c>
    </row>
    <row r="158" spans="1:15" ht="24" x14ac:dyDescent="0.25">
      <c r="A158" s="274"/>
      <c r="B158" s="873"/>
      <c r="C158" s="733"/>
      <c r="D158" s="761"/>
      <c r="E158" s="766">
        <v>12.2659</v>
      </c>
      <c r="F158" s="770">
        <f>IFERROR(E158*'01 Prod Physique Boites'!H156,"-")</f>
        <v>0</v>
      </c>
      <c r="G158" s="773">
        <f>IFERROR(E158*'01 Prod Physique Boites'!L156,"-")</f>
        <v>0</v>
      </c>
      <c r="H158" s="776">
        <v>16.41</v>
      </c>
      <c r="I158" s="770">
        <f t="shared" si="79"/>
        <v>0</v>
      </c>
      <c r="J158" s="622">
        <f t="shared" si="80"/>
        <v>0</v>
      </c>
    </row>
    <row r="159" spans="1:15" ht="24" x14ac:dyDescent="0.25">
      <c r="A159" s="274"/>
      <c r="B159" s="873"/>
      <c r="C159" s="733"/>
      <c r="D159" s="761"/>
      <c r="E159" s="766">
        <v>12.2659</v>
      </c>
      <c r="F159" s="770">
        <f>IFERROR(E159*'01 Prod Physique Boites'!H157,"-")</f>
        <v>0</v>
      </c>
      <c r="G159" s="773">
        <f>IFERROR(E159*'01 Prod Physique Boites'!L157,"-")</f>
        <v>0</v>
      </c>
      <c r="H159" s="776">
        <v>14.55</v>
      </c>
      <c r="I159" s="770">
        <f t="shared" si="79"/>
        <v>0</v>
      </c>
      <c r="J159" s="622">
        <f t="shared" si="80"/>
        <v>0</v>
      </c>
    </row>
    <row r="160" spans="1:15" ht="24.75" thickBot="1" x14ac:dyDescent="0.3">
      <c r="A160" s="790" t="s">
        <v>103</v>
      </c>
      <c r="B160" s="874"/>
      <c r="C160" s="735" t="s">
        <v>340</v>
      </c>
      <c r="D160" s="762"/>
      <c r="E160" s="767">
        <v>0</v>
      </c>
      <c r="F160" s="771">
        <f>IFERROR(E160*'01 Prod Physique Boites'!H158,"-")</f>
        <v>0</v>
      </c>
      <c r="G160" s="774">
        <f>IFERROR(E160*'01 Prod Physique Boites'!L158,"-")</f>
        <v>0</v>
      </c>
      <c r="H160" s="777">
        <v>0</v>
      </c>
      <c r="I160" s="779" t="str">
        <f t="shared" si="79"/>
        <v>-</v>
      </c>
      <c r="J160" s="780" t="str">
        <f t="shared" si="80"/>
        <v>-</v>
      </c>
    </row>
    <row r="161" spans="1:10" ht="23.25" thickBot="1" x14ac:dyDescent="0.3">
      <c r="A161" s="274" t="s">
        <v>103</v>
      </c>
      <c r="B161" s="845" t="s">
        <v>46</v>
      </c>
      <c r="C161" s="876"/>
      <c r="D161" s="877"/>
      <c r="E161" s="764"/>
      <c r="F161" s="519">
        <f>SUM(F154:F160)</f>
        <v>207244.6464</v>
      </c>
      <c r="G161" s="519">
        <f>SUM(G154:G160)</f>
        <v>932600.90879999998</v>
      </c>
      <c r="H161" s="518"/>
      <c r="I161" s="519">
        <f>SUM(I154:I160)</f>
        <v>249891.84</v>
      </c>
      <c r="J161" s="778">
        <f>SUM(J154:J160)</f>
        <v>1124513.28</v>
      </c>
    </row>
    <row r="162" spans="1:10" ht="24" x14ac:dyDescent="0.25">
      <c r="A162" s="274" t="s">
        <v>103</v>
      </c>
      <c r="B162" s="867" t="s">
        <v>20</v>
      </c>
      <c r="C162" s="290" t="s">
        <v>486</v>
      </c>
      <c r="D162" s="757" t="s">
        <v>288</v>
      </c>
      <c r="E162" s="795">
        <v>27.106400000000001</v>
      </c>
      <c r="F162" s="398">
        <f>IFERROR(E162*'01 Prod Physique Boites'!H160,"-")</f>
        <v>0</v>
      </c>
      <c r="G162" s="399">
        <f>IFERROR(E162*'01 Prod Physique Boites'!L160,"-")</f>
        <v>608918.16960000002</v>
      </c>
      <c r="H162" s="642">
        <v>0</v>
      </c>
      <c r="I162" s="415">
        <f>IFERROR(H162*(F162/E162),"-")</f>
        <v>0</v>
      </c>
      <c r="J162" s="416">
        <f t="shared" ref="J162:J164" si="81">IFERROR(H162*(G162/E162),"-")</f>
        <v>0</v>
      </c>
    </row>
    <row r="163" spans="1:10" ht="24" x14ac:dyDescent="0.25">
      <c r="A163" s="274" t="s">
        <v>103</v>
      </c>
      <c r="B163" s="868"/>
      <c r="C163" s="291" t="s">
        <v>114</v>
      </c>
      <c r="D163" s="291"/>
      <c r="E163" s="381">
        <v>24.2607</v>
      </c>
      <c r="F163" s="398">
        <f>IFERROR(E163*'01 Prod Physique Boites'!H161,"-")</f>
        <v>0</v>
      </c>
      <c r="G163" s="399">
        <f>IFERROR(E163*'01 Prod Physique Boites'!L161,"-")</f>
        <v>0</v>
      </c>
      <c r="H163" s="382">
        <v>37.369999999999997</v>
      </c>
      <c r="I163" s="417">
        <f>IFERROR(H163*(F163/E163),"-")</f>
        <v>0</v>
      </c>
      <c r="J163" s="418">
        <f t="shared" si="81"/>
        <v>0</v>
      </c>
    </row>
    <row r="164" spans="1:10" ht="24.75" thickBot="1" x14ac:dyDescent="0.3">
      <c r="A164" s="274" t="s">
        <v>103</v>
      </c>
      <c r="B164" s="869"/>
      <c r="C164" s="292" t="s">
        <v>120</v>
      </c>
      <c r="D164" s="292"/>
      <c r="E164" s="383">
        <v>26.035799999999998</v>
      </c>
      <c r="F164" s="398">
        <f>IFERROR(E164*'01 Prod Physique Boites'!H162,"-")</f>
        <v>0</v>
      </c>
      <c r="G164" s="399">
        <f>IFERROR(E164*'01 Prod Physique Boites'!L162,"-")</f>
        <v>0</v>
      </c>
      <c r="H164" s="384">
        <v>37.11</v>
      </c>
      <c r="I164" s="419">
        <f>IFERROR(H164*(F164/E164),"-")</f>
        <v>0</v>
      </c>
      <c r="J164" s="420">
        <f t="shared" si="81"/>
        <v>0</v>
      </c>
    </row>
    <row r="165" spans="1:10" ht="23.25" thickBot="1" x14ac:dyDescent="0.3">
      <c r="A165" s="274" t="s">
        <v>103</v>
      </c>
      <c r="B165" s="846" t="s">
        <v>47</v>
      </c>
      <c r="C165" s="846"/>
      <c r="D165" s="878"/>
      <c r="E165" s="386"/>
      <c r="F165" s="402">
        <f t="shared" ref="F165:G165" si="82">SUM(F162:F164)</f>
        <v>0</v>
      </c>
      <c r="G165" s="403">
        <f t="shared" si="82"/>
        <v>608918.16960000002</v>
      </c>
      <c r="H165" s="387"/>
      <c r="I165" s="402">
        <f t="shared" ref="I165:J165" si="83">SUM(I162:I164)</f>
        <v>0</v>
      </c>
      <c r="J165" s="421">
        <f t="shared" si="83"/>
        <v>0</v>
      </c>
    </row>
    <row r="166" spans="1:10" ht="23.25" thickBot="1" x14ac:dyDescent="0.3">
      <c r="A166" s="274" t="s">
        <v>103</v>
      </c>
      <c r="B166" s="853" t="s">
        <v>21</v>
      </c>
      <c r="C166" s="854"/>
      <c r="D166" s="855"/>
      <c r="E166" s="389"/>
      <c r="F166" s="406">
        <f>+F137+F145+F153+F161+F165</f>
        <v>689113.61239999998</v>
      </c>
      <c r="G166" s="407">
        <f>+G137+G145+G153+G161+G165</f>
        <v>2652327.8223999999</v>
      </c>
      <c r="H166" s="390"/>
      <c r="I166" s="406">
        <f>+I137+I145+I153+I161+I165</f>
        <v>1015361.84</v>
      </c>
      <c r="J166" s="424">
        <f>+J137+J145+J153+J161+J165</f>
        <v>2379113.2800000003</v>
      </c>
    </row>
    <row r="167" spans="1:10" ht="24" x14ac:dyDescent="0.25">
      <c r="A167" s="274" t="s">
        <v>103</v>
      </c>
      <c r="B167" s="867" t="s">
        <v>398</v>
      </c>
      <c r="C167" s="269" t="s">
        <v>125</v>
      </c>
      <c r="D167" s="269"/>
      <c r="E167" s="378">
        <v>22.820599999999999</v>
      </c>
      <c r="F167" s="398">
        <f>IFERROR(E167*'01 Prod Physique Boites'!H165,"-")</f>
        <v>0</v>
      </c>
      <c r="G167" s="399">
        <f>IFERROR(E167*'01 Prod Physique Boites'!L165,"-")</f>
        <v>0</v>
      </c>
      <c r="H167" s="379">
        <v>27.5</v>
      </c>
      <c r="I167" s="415">
        <f>IFERROR(H167*(F167/E167),"-")</f>
        <v>0</v>
      </c>
      <c r="J167" s="416">
        <f t="shared" ref="J167:J170" si="84">IFERROR(H167*(G167/E167),"-")</f>
        <v>0</v>
      </c>
    </row>
    <row r="168" spans="1:10" ht="24" x14ac:dyDescent="0.25">
      <c r="A168" s="274" t="s">
        <v>103</v>
      </c>
      <c r="B168" s="868"/>
      <c r="C168" s="294" t="s">
        <v>262</v>
      </c>
      <c r="D168" s="294" t="s">
        <v>181</v>
      </c>
      <c r="E168" s="381">
        <v>23.570699999999999</v>
      </c>
      <c r="F168" s="398">
        <f>IFERROR(E168*'01 Prod Physique Boites'!H166,"-")</f>
        <v>0</v>
      </c>
      <c r="G168" s="399">
        <f>IFERROR(E168*'01 Prod Physique Boites'!L166,"-")</f>
        <v>0</v>
      </c>
      <c r="H168" s="382">
        <v>27.5</v>
      </c>
      <c r="I168" s="417">
        <f>IFERROR(H168*(F168/E168),"-")</f>
        <v>0</v>
      </c>
      <c r="J168" s="418">
        <f t="shared" si="84"/>
        <v>0</v>
      </c>
    </row>
    <row r="169" spans="1:10" ht="24" x14ac:dyDescent="0.25">
      <c r="A169" s="274" t="s">
        <v>103</v>
      </c>
      <c r="B169" s="868"/>
      <c r="C169" s="294" t="s">
        <v>360</v>
      </c>
      <c r="D169" s="294" t="s">
        <v>181</v>
      </c>
      <c r="E169" s="381">
        <v>22.820599999999999</v>
      </c>
      <c r="F169" s="398">
        <f>IFERROR(E169*'01 Prod Physique Boites'!H167,"-")</f>
        <v>0</v>
      </c>
      <c r="G169" s="399">
        <f>IFERROR(E169*'01 Prod Physique Boites'!L167,"-")</f>
        <v>0</v>
      </c>
      <c r="H169" s="382">
        <v>27.5</v>
      </c>
      <c r="I169" s="417">
        <f>IFERROR(H169*(F169/E169),"-")</f>
        <v>0</v>
      </c>
      <c r="J169" s="418">
        <f t="shared" si="84"/>
        <v>0</v>
      </c>
    </row>
    <row r="170" spans="1:10" ht="24.75" thickBot="1" x14ac:dyDescent="0.3">
      <c r="A170" s="274" t="s">
        <v>103</v>
      </c>
      <c r="B170" s="869"/>
      <c r="C170" s="279" t="s">
        <v>182</v>
      </c>
      <c r="D170" s="279" t="s">
        <v>93</v>
      </c>
      <c r="E170" s="796">
        <v>22.238499999999998</v>
      </c>
      <c r="F170" s="398">
        <f>IFERROR(E170*'01 Prod Physique Boites'!H168,"-")</f>
        <v>88064.459999999992</v>
      </c>
      <c r="G170" s="399">
        <f>IFERROR(E170*'01 Prod Physique Boites'!L168,"-")</f>
        <v>132096.69</v>
      </c>
      <c r="H170" s="384">
        <v>27</v>
      </c>
      <c r="I170" s="419">
        <f>IFERROR(H170*(F170/E170),"-")</f>
        <v>106920</v>
      </c>
      <c r="J170" s="420">
        <f t="shared" si="84"/>
        <v>160380.00000000003</v>
      </c>
    </row>
    <row r="171" spans="1:10" ht="23.25" thickBot="1" x14ac:dyDescent="0.3">
      <c r="A171" s="274" t="s">
        <v>103</v>
      </c>
      <c r="B171" s="845" t="s">
        <v>48</v>
      </c>
      <c r="C171" s="846"/>
      <c r="D171" s="847"/>
      <c r="E171" s="386"/>
      <c r="F171" s="402">
        <f t="shared" ref="F171:G171" si="85">SUM(F167:F170)</f>
        <v>88064.459999999992</v>
      </c>
      <c r="G171" s="403">
        <f t="shared" si="85"/>
        <v>132096.69</v>
      </c>
      <c r="H171" s="387"/>
      <c r="I171" s="402">
        <f t="shared" ref="I171:J171" si="86">SUM(I167:I170)</f>
        <v>106920</v>
      </c>
      <c r="J171" s="421">
        <f t="shared" si="86"/>
        <v>160380.00000000003</v>
      </c>
    </row>
    <row r="172" spans="1:10" ht="24" x14ac:dyDescent="0.25">
      <c r="A172" s="274" t="s">
        <v>103</v>
      </c>
      <c r="B172" s="867" t="s">
        <v>23</v>
      </c>
      <c r="C172" s="295" t="s">
        <v>307</v>
      </c>
      <c r="D172" s="295" t="s">
        <v>237</v>
      </c>
      <c r="E172" s="378">
        <v>101.4935</v>
      </c>
      <c r="F172" s="398">
        <f>IFERROR(E172*'01 Prod Physique Boites'!H170,"-")</f>
        <v>0</v>
      </c>
      <c r="G172" s="399">
        <f>IFERROR(E172*'01 Prod Physique Boites'!L170,"-")</f>
        <v>0</v>
      </c>
      <c r="H172" s="382">
        <v>160.44999999999999</v>
      </c>
      <c r="I172" s="415">
        <f t="shared" ref="I172:I180" si="87">IFERROR(H172*(F172/E172),"-")</f>
        <v>0</v>
      </c>
      <c r="J172" s="416">
        <f t="shared" ref="J172:J180" si="88">IFERROR(H172*(G172/E172),"-")</f>
        <v>0</v>
      </c>
    </row>
    <row r="173" spans="1:10" ht="24" x14ac:dyDescent="0.25">
      <c r="A173" s="274" t="s">
        <v>103</v>
      </c>
      <c r="B173" s="868"/>
      <c r="C173" s="275" t="s">
        <v>24</v>
      </c>
      <c r="D173" s="275" t="s">
        <v>237</v>
      </c>
      <c r="E173" s="381">
        <v>101.4935</v>
      </c>
      <c r="F173" s="398">
        <f>IFERROR(E173*'01 Prod Physique Boites'!H171,"-")</f>
        <v>444034.0625</v>
      </c>
      <c r="G173" s="399">
        <f>IFERROR(E173*'01 Prod Physique Boites'!L171,"-")</f>
        <v>444034.0625</v>
      </c>
      <c r="H173" s="382">
        <v>160.44999999999999</v>
      </c>
      <c r="I173" s="417">
        <f t="shared" si="87"/>
        <v>701968.75</v>
      </c>
      <c r="J173" s="418">
        <f t="shared" si="88"/>
        <v>701968.75</v>
      </c>
    </row>
    <row r="174" spans="1:10" ht="24" x14ac:dyDescent="0.25">
      <c r="A174" s="274" t="s">
        <v>103</v>
      </c>
      <c r="B174" s="868"/>
      <c r="C174" s="275" t="s">
        <v>235</v>
      </c>
      <c r="D174" s="275" t="s">
        <v>237</v>
      </c>
      <c r="E174" s="381">
        <v>101.4935</v>
      </c>
      <c r="F174" s="398">
        <f>IFERROR(E174*'01 Prod Physique Boites'!H172,"-")</f>
        <v>0</v>
      </c>
      <c r="G174" s="399">
        <f>IFERROR(E174*'01 Prod Physique Boites'!L172,"-")</f>
        <v>0</v>
      </c>
      <c r="H174" s="382">
        <v>160.44999999999999</v>
      </c>
      <c r="I174" s="417">
        <f t="shared" si="87"/>
        <v>0</v>
      </c>
      <c r="J174" s="418">
        <f t="shared" si="88"/>
        <v>0</v>
      </c>
    </row>
    <row r="175" spans="1:10" ht="24" x14ac:dyDescent="0.25">
      <c r="A175" s="274" t="s">
        <v>103</v>
      </c>
      <c r="B175" s="868"/>
      <c r="C175" s="275" t="s">
        <v>236</v>
      </c>
      <c r="D175" s="275" t="s">
        <v>237</v>
      </c>
      <c r="E175" s="381">
        <v>101.4935</v>
      </c>
      <c r="F175" s="398">
        <f>IFERROR(E175*'01 Prod Physique Boites'!H173,"-")</f>
        <v>0</v>
      </c>
      <c r="G175" s="399">
        <f>IFERROR(E175*'01 Prod Physique Boites'!L173,"-")</f>
        <v>0</v>
      </c>
      <c r="H175" s="382">
        <v>160.44999999999999</v>
      </c>
      <c r="I175" s="417">
        <f t="shared" si="87"/>
        <v>0</v>
      </c>
      <c r="J175" s="418">
        <f t="shared" si="88"/>
        <v>0</v>
      </c>
    </row>
    <row r="176" spans="1:10" ht="24" x14ac:dyDescent="0.25">
      <c r="A176" s="274" t="s">
        <v>103</v>
      </c>
      <c r="B176" s="868"/>
      <c r="C176" s="294" t="s">
        <v>238</v>
      </c>
      <c r="D176" s="275" t="s">
        <v>237</v>
      </c>
      <c r="E176" s="381">
        <v>101.4935</v>
      </c>
      <c r="F176" s="398">
        <f>IFERROR(E176*'01 Prod Physique Boites'!H174,"-")</f>
        <v>0</v>
      </c>
      <c r="G176" s="399">
        <f>IFERROR(E176*'01 Prod Physique Boites'!L174,"-")</f>
        <v>0</v>
      </c>
      <c r="H176" s="382">
        <v>160.44999999999999</v>
      </c>
      <c r="I176" s="417">
        <f t="shared" si="87"/>
        <v>0</v>
      </c>
      <c r="J176" s="418">
        <f t="shared" si="88"/>
        <v>0</v>
      </c>
    </row>
    <row r="177" spans="1:10" ht="24" x14ac:dyDescent="0.25">
      <c r="A177" s="274" t="s">
        <v>103</v>
      </c>
      <c r="B177" s="868"/>
      <c r="C177" s="294" t="s">
        <v>239</v>
      </c>
      <c r="D177" s="275" t="s">
        <v>237</v>
      </c>
      <c r="E177" s="381">
        <v>101.4935</v>
      </c>
      <c r="F177" s="398">
        <f>IFERROR(E177*'01 Prod Physique Boites'!H175,"-")</f>
        <v>0</v>
      </c>
      <c r="G177" s="399">
        <f>IFERROR(E177*'01 Prod Physique Boites'!L175,"-")</f>
        <v>0</v>
      </c>
      <c r="H177" s="382">
        <v>160.44999999999999</v>
      </c>
      <c r="I177" s="417">
        <f t="shared" si="87"/>
        <v>0</v>
      </c>
      <c r="J177" s="418">
        <f t="shared" si="88"/>
        <v>0</v>
      </c>
    </row>
    <row r="178" spans="1:10" ht="24" x14ac:dyDescent="0.25">
      <c r="A178" s="274" t="s">
        <v>103</v>
      </c>
      <c r="B178" s="868"/>
      <c r="C178" s="294" t="s">
        <v>240</v>
      </c>
      <c r="D178" s="275" t="s">
        <v>242</v>
      </c>
      <c r="E178" s="381">
        <v>101.4935</v>
      </c>
      <c r="F178" s="398">
        <f>IFERROR(E178*'01 Prod Physique Boites'!H176,"-")</f>
        <v>0</v>
      </c>
      <c r="G178" s="399">
        <f>IFERROR(E178*'01 Prod Physique Boites'!L176,"-")</f>
        <v>0</v>
      </c>
      <c r="H178" s="382">
        <v>160.44999999999999</v>
      </c>
      <c r="I178" s="417">
        <f t="shared" si="87"/>
        <v>0</v>
      </c>
      <c r="J178" s="418">
        <f t="shared" si="88"/>
        <v>0</v>
      </c>
    </row>
    <row r="179" spans="1:10" ht="24" x14ac:dyDescent="0.25">
      <c r="A179" s="274"/>
      <c r="B179" s="869"/>
      <c r="C179" s="294" t="s">
        <v>451</v>
      </c>
      <c r="D179" s="275" t="s">
        <v>237</v>
      </c>
      <c r="E179" s="383">
        <v>101.49</v>
      </c>
      <c r="F179" s="398">
        <f>IFERROR(E179*'01 Prod Physique Boites'!H177,"-")</f>
        <v>0</v>
      </c>
      <c r="G179" s="399">
        <f>IFERROR(E179*'01 Prod Physique Boites'!L177,"-")</f>
        <v>0</v>
      </c>
      <c r="H179" s="382">
        <v>160.44999999999999</v>
      </c>
      <c r="I179" s="417">
        <f t="shared" si="87"/>
        <v>0</v>
      </c>
      <c r="J179" s="418">
        <f t="shared" si="88"/>
        <v>0</v>
      </c>
    </row>
    <row r="180" spans="1:10" ht="24.75" thickBot="1" x14ac:dyDescent="0.3">
      <c r="A180" s="274" t="s">
        <v>103</v>
      </c>
      <c r="B180" s="869"/>
      <c r="C180" s="294" t="s">
        <v>241</v>
      </c>
      <c r="D180" s="275" t="s">
        <v>237</v>
      </c>
      <c r="E180" s="383">
        <v>101.4935</v>
      </c>
      <c r="F180" s="398">
        <f>IFERROR(E180*'01 Prod Physique Boites'!H178,"-")</f>
        <v>0</v>
      </c>
      <c r="G180" s="399">
        <f>IFERROR(E180*'01 Prod Physique Boites'!L178,"-")</f>
        <v>0</v>
      </c>
      <c r="H180" s="382">
        <v>160.44999999999999</v>
      </c>
      <c r="I180" s="417">
        <f t="shared" si="87"/>
        <v>0</v>
      </c>
      <c r="J180" s="420">
        <f t="shared" si="88"/>
        <v>0</v>
      </c>
    </row>
    <row r="181" spans="1:10" ht="23.25" thickBot="1" x14ac:dyDescent="0.3">
      <c r="A181" s="274" t="s">
        <v>103</v>
      </c>
      <c r="B181" s="845" t="s">
        <v>49</v>
      </c>
      <c r="C181" s="846"/>
      <c r="D181" s="847"/>
      <c r="E181" s="386"/>
      <c r="F181" s="402">
        <f t="shared" ref="F181" si="89">SUM(F172:F180)</f>
        <v>444034.0625</v>
      </c>
      <c r="G181" s="403">
        <f>SUM(G172:G180)</f>
        <v>444034.0625</v>
      </c>
      <c r="H181" s="387"/>
      <c r="I181" s="402">
        <f t="shared" ref="I181" si="90">SUM(I172:I180)</f>
        <v>701968.75</v>
      </c>
      <c r="J181" s="421">
        <f>SUM(J172:J180)</f>
        <v>701968.75</v>
      </c>
    </row>
    <row r="182" spans="1:10" ht="23.25" thickBot="1" x14ac:dyDescent="0.3">
      <c r="A182" s="274" t="s">
        <v>103</v>
      </c>
      <c r="B182" s="853" t="s">
        <v>25</v>
      </c>
      <c r="C182" s="854"/>
      <c r="D182" s="855"/>
      <c r="E182" s="389"/>
      <c r="F182" s="406">
        <f t="shared" ref="F182" si="91">+F171+F181</f>
        <v>532098.52249999996</v>
      </c>
      <c r="G182" s="407">
        <f>+G171+G181</f>
        <v>576130.75249999994</v>
      </c>
      <c r="H182" s="390"/>
      <c r="I182" s="406">
        <f t="shared" ref="I182:J182" si="92">+I171+I181</f>
        <v>808888.75</v>
      </c>
      <c r="J182" s="424">
        <f t="shared" si="92"/>
        <v>862348.75</v>
      </c>
    </row>
    <row r="183" spans="1:10" ht="23.25" thickBot="1" x14ac:dyDescent="0.3">
      <c r="A183" s="274" t="s">
        <v>103</v>
      </c>
      <c r="B183" s="839" t="s">
        <v>172</v>
      </c>
      <c r="C183" s="840"/>
      <c r="D183" s="841"/>
      <c r="E183" s="391"/>
      <c r="F183" s="408">
        <f t="shared" ref="F183" si="93">+F166+F182</f>
        <v>1221212.1348999999</v>
      </c>
      <c r="G183" s="409">
        <f>+G166+G182</f>
        <v>3228458.5748999999</v>
      </c>
      <c r="H183" s="392"/>
      <c r="I183" s="408">
        <f t="shared" ref="I183:J183" si="94">+I166+I182</f>
        <v>1824250.5899999999</v>
      </c>
      <c r="J183" s="425">
        <f t="shared" si="94"/>
        <v>3241462.0300000003</v>
      </c>
    </row>
    <row r="184" spans="1:10" ht="24" x14ac:dyDescent="0.25">
      <c r="A184" s="268" t="s">
        <v>101</v>
      </c>
      <c r="B184" s="849" t="s">
        <v>26</v>
      </c>
      <c r="C184" s="296" t="s">
        <v>296</v>
      </c>
      <c r="D184" s="298" t="s">
        <v>177</v>
      </c>
      <c r="E184" s="500">
        <v>13.1272</v>
      </c>
      <c r="F184" s="398">
        <f>IFERROR(E184*'01 Prod Physique Boites'!H182,"-")</f>
        <v>0</v>
      </c>
      <c r="G184" s="399">
        <f>IFERROR(E184*'01 Prod Physique Boites'!L182,"-")</f>
        <v>0</v>
      </c>
      <c r="H184" s="379">
        <v>20.76</v>
      </c>
      <c r="I184" s="415">
        <f t="shared" ref="I184:I193" si="95">IFERROR(H184*(F184/E184),"-")</f>
        <v>0</v>
      </c>
      <c r="J184" s="621">
        <f t="shared" ref="J184:J193" si="96">IFERROR(H184*(G184/E184),"-")</f>
        <v>0</v>
      </c>
    </row>
    <row r="185" spans="1:10" ht="24" x14ac:dyDescent="0.25">
      <c r="A185" s="274" t="s">
        <v>101</v>
      </c>
      <c r="B185" s="849"/>
      <c r="C185" s="297" t="s">
        <v>422</v>
      </c>
      <c r="D185" s="297" t="s">
        <v>421</v>
      </c>
      <c r="E185" s="501">
        <v>16.7288</v>
      </c>
      <c r="F185" s="398">
        <f>IFERROR(E185*'01 Prod Physique Boites'!H183,"-")</f>
        <v>0</v>
      </c>
      <c r="G185" s="399">
        <f>IFERROR(E185*'01 Prod Physique Boites'!L183,"-")</f>
        <v>0</v>
      </c>
      <c r="H185" s="382">
        <v>20.76</v>
      </c>
      <c r="I185" s="417">
        <f t="shared" si="95"/>
        <v>0</v>
      </c>
      <c r="J185" s="622">
        <f t="shared" si="96"/>
        <v>0</v>
      </c>
    </row>
    <row r="186" spans="1:10" ht="24" x14ac:dyDescent="0.25">
      <c r="A186" s="274" t="s">
        <v>101</v>
      </c>
      <c r="B186" s="849"/>
      <c r="C186" s="298" t="s">
        <v>27</v>
      </c>
      <c r="D186" s="298" t="s">
        <v>332</v>
      </c>
      <c r="E186" s="497">
        <v>17.8202</v>
      </c>
      <c r="F186" s="398">
        <f>IFERROR(E186*'01 Prod Physique Boites'!H184,"-")</f>
        <v>0</v>
      </c>
      <c r="G186" s="399">
        <f>IFERROR(E186*'01 Prod Physique Boites'!L184,"-")</f>
        <v>0</v>
      </c>
      <c r="H186" s="382">
        <v>21.22</v>
      </c>
      <c r="I186" s="625">
        <f t="shared" si="95"/>
        <v>0</v>
      </c>
      <c r="J186" s="622">
        <f t="shared" si="96"/>
        <v>0</v>
      </c>
    </row>
    <row r="187" spans="1:10" ht="24" x14ac:dyDescent="0.25">
      <c r="A187" s="274" t="s">
        <v>101</v>
      </c>
      <c r="B187" s="849"/>
      <c r="C187" s="298" t="s">
        <v>27</v>
      </c>
      <c r="D187" s="298" t="s">
        <v>233</v>
      </c>
      <c r="E187" s="497">
        <v>17.8202</v>
      </c>
      <c r="F187" s="398">
        <f>IFERROR(E187*'01 Prod Physique Boites'!H185,"-")</f>
        <v>0</v>
      </c>
      <c r="G187" s="399">
        <f>IFERROR(E187*'01 Prod Physique Boites'!L185,"-")</f>
        <v>0</v>
      </c>
      <c r="H187" s="382">
        <v>24.93</v>
      </c>
      <c r="I187" s="625">
        <f t="shared" si="95"/>
        <v>0</v>
      </c>
      <c r="J187" s="622">
        <f t="shared" si="96"/>
        <v>0</v>
      </c>
    </row>
    <row r="188" spans="1:10" ht="24" x14ac:dyDescent="0.25">
      <c r="A188" s="274" t="s">
        <v>101</v>
      </c>
      <c r="B188" s="849"/>
      <c r="C188" s="298" t="s">
        <v>27</v>
      </c>
      <c r="D188" s="298" t="s">
        <v>278</v>
      </c>
      <c r="E188" s="497">
        <v>17.8202</v>
      </c>
      <c r="F188" s="398">
        <f>IFERROR(E188*'01 Prod Physique Boites'!H186,"-")</f>
        <v>0</v>
      </c>
      <c r="G188" s="399">
        <f>IFERROR(E188*'01 Prod Physique Boites'!L186,"-")</f>
        <v>0</v>
      </c>
      <c r="H188" s="382">
        <v>24.93</v>
      </c>
      <c r="I188" s="625">
        <f t="shared" si="95"/>
        <v>0</v>
      </c>
      <c r="J188" s="622">
        <f t="shared" si="96"/>
        <v>0</v>
      </c>
    </row>
    <row r="189" spans="1:10" ht="24" x14ac:dyDescent="0.25">
      <c r="A189" s="274"/>
      <c r="B189" s="849"/>
      <c r="C189" s="721" t="s">
        <v>485</v>
      </c>
      <c r="D189" s="298" t="s">
        <v>502</v>
      </c>
      <c r="E189" s="497">
        <v>16.7288</v>
      </c>
      <c r="F189" s="398">
        <f>IFERROR(E189*'01 Prod Physique Boites'!H187,"-")</f>
        <v>133094.3328</v>
      </c>
      <c r="G189" s="399">
        <f>IFERROR(E189*'01 Prod Physique Boites'!L187,"-")</f>
        <v>399282.99839999998</v>
      </c>
      <c r="H189" s="384">
        <v>25</v>
      </c>
      <c r="I189" s="625">
        <f t="shared" si="95"/>
        <v>198900</v>
      </c>
      <c r="J189" s="623">
        <f t="shared" si="96"/>
        <v>596700</v>
      </c>
    </row>
    <row r="190" spans="1:10" ht="24" x14ac:dyDescent="0.25">
      <c r="A190" s="274"/>
      <c r="B190" s="849"/>
      <c r="C190" s="298" t="s">
        <v>432</v>
      </c>
      <c r="D190" s="298" t="s">
        <v>94</v>
      </c>
      <c r="E190" s="497">
        <v>17.8202</v>
      </c>
      <c r="F190" s="398">
        <f>IFERROR(E190*'01 Prod Physique Boites'!H188,"-")</f>
        <v>0</v>
      </c>
      <c r="G190" s="399">
        <f>IFERROR(E190*'01 Prod Physique Boites'!L188,"-")</f>
        <v>0</v>
      </c>
      <c r="H190" s="384">
        <v>24.93</v>
      </c>
      <c r="I190" s="689">
        <f t="shared" si="95"/>
        <v>0</v>
      </c>
      <c r="J190" s="623">
        <f t="shared" si="96"/>
        <v>0</v>
      </c>
    </row>
    <row r="191" spans="1:10" s="690" customFormat="1" ht="24" x14ac:dyDescent="0.25">
      <c r="A191" s="684"/>
      <c r="B191" s="849"/>
      <c r="C191" s="685" t="s">
        <v>381</v>
      </c>
      <c r="D191" s="685" t="s">
        <v>382</v>
      </c>
      <c r="E191" s="686">
        <v>16.345199999999998</v>
      </c>
      <c r="F191" s="398">
        <f>IFERROR(E191*'01 Prod Physique Boites'!H189,"-")</f>
        <v>0</v>
      </c>
      <c r="G191" s="399">
        <f>IFERROR(E191*'01 Prod Physique Boites'!L189,"-")</f>
        <v>0</v>
      </c>
      <c r="H191" s="688">
        <v>23.78</v>
      </c>
      <c r="I191" s="689">
        <f t="shared" si="95"/>
        <v>0</v>
      </c>
      <c r="J191" s="623">
        <f t="shared" si="96"/>
        <v>0</v>
      </c>
    </row>
    <row r="192" spans="1:10" s="690" customFormat="1" ht="24" x14ac:dyDescent="0.25">
      <c r="A192" s="684"/>
      <c r="B192" s="849"/>
      <c r="C192" s="298" t="s">
        <v>429</v>
      </c>
      <c r="D192" s="298" t="s">
        <v>178</v>
      </c>
      <c r="E192" s="686">
        <v>16.7288</v>
      </c>
      <c r="F192" s="398">
        <f>IFERROR(E192*'01 Prod Physique Boites'!H190,"-")</f>
        <v>0</v>
      </c>
      <c r="G192" s="399">
        <f>IFERROR(E192*'01 Prod Physique Boites'!L190,"-")</f>
        <v>0</v>
      </c>
      <c r="H192" s="688">
        <v>25.49</v>
      </c>
      <c r="I192" s="689">
        <f t="shared" si="95"/>
        <v>0</v>
      </c>
      <c r="J192" s="623">
        <f t="shared" si="96"/>
        <v>0</v>
      </c>
    </row>
    <row r="193" spans="1:10" ht="24.75" thickBot="1" x14ac:dyDescent="0.3">
      <c r="A193" s="274" t="s">
        <v>101</v>
      </c>
      <c r="B193" s="849"/>
      <c r="C193" s="299" t="s">
        <v>505</v>
      </c>
      <c r="D193" s="298" t="s">
        <v>288</v>
      </c>
      <c r="E193" s="686">
        <v>16.7288</v>
      </c>
      <c r="F193" s="398">
        <f>IFERROR(E193*'01 Prod Physique Boites'!H191,"-")</f>
        <v>399282.99839999998</v>
      </c>
      <c r="G193" s="399">
        <f>IFERROR(E193*'01 Prod Physique Boites'!L191,"-")</f>
        <v>399282.99839999998</v>
      </c>
      <c r="H193" s="384">
        <v>25.49</v>
      </c>
      <c r="I193" s="689">
        <f t="shared" si="95"/>
        <v>608395.31999999995</v>
      </c>
      <c r="J193" s="623">
        <f t="shared" si="96"/>
        <v>608395.31999999995</v>
      </c>
    </row>
    <row r="194" spans="1:10" ht="23.25" thickBot="1" x14ac:dyDescent="0.3">
      <c r="A194" s="274" t="s">
        <v>101</v>
      </c>
      <c r="B194" s="866"/>
      <c r="C194" s="300"/>
      <c r="D194" s="301" t="s">
        <v>52</v>
      </c>
      <c r="E194" s="386"/>
      <c r="F194" s="402">
        <f>SUM(F184:F193)</f>
        <v>532377.33120000002</v>
      </c>
      <c r="G194" s="403">
        <f>SUM(G184:G193)</f>
        <v>798565.99679999996</v>
      </c>
      <c r="H194" s="387"/>
      <c r="I194" s="402">
        <f>SUM(I184:I193)</f>
        <v>807295.32</v>
      </c>
      <c r="J194" s="421">
        <f>SUM(J184:J193)</f>
        <v>1205095.3199999998</v>
      </c>
    </row>
    <row r="195" spans="1:10" ht="24" x14ac:dyDescent="0.25">
      <c r="A195" s="274" t="s">
        <v>101</v>
      </c>
      <c r="B195" s="848" t="s">
        <v>28</v>
      </c>
      <c r="C195" s="298" t="s">
        <v>27</v>
      </c>
      <c r="D195" s="296" t="s">
        <v>278</v>
      </c>
      <c r="E195" s="500">
        <v>17.8202</v>
      </c>
      <c r="F195" s="398">
        <f>IFERROR(E195*'01 Prod Physique Boites'!H193,"-")</f>
        <v>0</v>
      </c>
      <c r="G195" s="399">
        <f>IFERROR(E195*'01 Prod Physique Boites'!L193,"-")</f>
        <v>0</v>
      </c>
      <c r="H195" s="379">
        <v>24.93</v>
      </c>
      <c r="I195" s="415">
        <f t="shared" ref="I195:I201" si="97">IFERROR(H195*(F195/E195),"-")</f>
        <v>0</v>
      </c>
      <c r="J195" s="621">
        <f t="shared" ref="J195:J196" si="98">IFERROR(H195*(G195/E195),"-")</f>
        <v>0</v>
      </c>
    </row>
    <row r="196" spans="1:10" ht="24" x14ac:dyDescent="0.25">
      <c r="A196" s="274" t="s">
        <v>101</v>
      </c>
      <c r="B196" s="849"/>
      <c r="C196" s="298" t="s">
        <v>384</v>
      </c>
      <c r="D196" s="298" t="s">
        <v>332</v>
      </c>
      <c r="E196" s="671">
        <v>16.7288</v>
      </c>
      <c r="F196" s="398">
        <f>IFERROR(E196*'01 Prod Physique Boites'!H194,"-")</f>
        <v>0</v>
      </c>
      <c r="G196" s="399">
        <f>IFERROR(E196*'01 Prod Physique Boites'!L194,"-")</f>
        <v>0</v>
      </c>
      <c r="H196" s="668">
        <v>20.76</v>
      </c>
      <c r="I196" s="417">
        <f t="shared" si="97"/>
        <v>0</v>
      </c>
      <c r="J196" s="622">
        <f t="shared" si="98"/>
        <v>0</v>
      </c>
    </row>
    <row r="197" spans="1:10" ht="24" x14ac:dyDescent="0.25">
      <c r="A197" s="274" t="s">
        <v>101</v>
      </c>
      <c r="B197" s="849"/>
      <c r="C197" s="298" t="s">
        <v>383</v>
      </c>
      <c r="D197" s="298" t="s">
        <v>332</v>
      </c>
      <c r="E197" s="497">
        <v>17.8202</v>
      </c>
      <c r="F197" s="398">
        <f>IFERROR(E197*'01 Prod Physique Boites'!H195,"-")</f>
        <v>0</v>
      </c>
      <c r="G197" s="399">
        <f>IFERROR(E197*'01 Prod Physique Boites'!L195,"-")</f>
        <v>0</v>
      </c>
      <c r="H197" s="382">
        <v>21.22</v>
      </c>
      <c r="I197" s="417">
        <f t="shared" si="97"/>
        <v>0</v>
      </c>
      <c r="J197" s="622">
        <f>IFERROR(H197*(G197/E197),"-")</f>
        <v>0</v>
      </c>
    </row>
    <row r="198" spans="1:10" ht="24" x14ac:dyDescent="0.25">
      <c r="A198" s="274"/>
      <c r="B198" s="849"/>
      <c r="C198" s="298" t="s">
        <v>454</v>
      </c>
      <c r="D198" s="298" t="s">
        <v>332</v>
      </c>
      <c r="E198" s="497">
        <v>14.608000000000001</v>
      </c>
      <c r="F198" s="398">
        <f>IFERROR(E198*'01 Prod Physique Boites'!H196,"-")</f>
        <v>0</v>
      </c>
      <c r="G198" s="399">
        <f>IFERROR(E198*'01 Prod Physique Boites'!L196,"-")</f>
        <v>0</v>
      </c>
      <c r="H198" s="382">
        <v>21.22</v>
      </c>
      <c r="I198" s="417">
        <f t="shared" si="97"/>
        <v>0</v>
      </c>
      <c r="J198" s="622">
        <f>IFERROR(H198*(G198/E198),"-")</f>
        <v>0</v>
      </c>
    </row>
    <row r="199" spans="1:10" ht="24" x14ac:dyDescent="0.25">
      <c r="A199" s="274"/>
      <c r="B199" s="849"/>
      <c r="C199" s="298" t="s">
        <v>503</v>
      </c>
      <c r="D199" s="742" t="s">
        <v>502</v>
      </c>
      <c r="E199" s="497">
        <v>16.7288</v>
      </c>
      <c r="F199" s="398">
        <f>IFERROR(E199*'01 Prod Physique Boites'!H197,"-")</f>
        <v>266188.66560000001</v>
      </c>
      <c r="G199" s="399">
        <f>IFERROR(E199*'01 Prod Physique Boites'!L197,"-")</f>
        <v>732018.83039999998</v>
      </c>
      <c r="H199" s="382">
        <v>25</v>
      </c>
      <c r="I199" s="419">
        <f t="shared" si="97"/>
        <v>397800</v>
      </c>
      <c r="J199" s="623">
        <f t="shared" ref="J199:J201" si="99">IFERROR(H199*(G199/E199),"-")</f>
        <v>1093950</v>
      </c>
    </row>
    <row r="200" spans="1:10" ht="24" x14ac:dyDescent="0.25">
      <c r="A200" s="274"/>
      <c r="B200" s="849"/>
      <c r="C200" s="298" t="s">
        <v>452</v>
      </c>
      <c r="D200" s="299" t="s">
        <v>279</v>
      </c>
      <c r="E200" s="671">
        <v>17.8202</v>
      </c>
      <c r="F200" s="398">
        <f>IFERROR(E200*'01 Prod Physique Boites'!H198,"-")</f>
        <v>0</v>
      </c>
      <c r="G200" s="399">
        <f>IFERROR(E200*'01 Prod Physique Boites'!L198,"-")</f>
        <v>0</v>
      </c>
      <c r="H200" s="382">
        <v>24.93</v>
      </c>
      <c r="I200" s="689">
        <f t="shared" si="97"/>
        <v>0</v>
      </c>
      <c r="J200" s="623">
        <f t="shared" si="99"/>
        <v>0</v>
      </c>
    </row>
    <row r="201" spans="1:10" ht="24.75" thickBot="1" x14ac:dyDescent="0.3">
      <c r="A201" s="274" t="s">
        <v>101</v>
      </c>
      <c r="B201" s="849"/>
      <c r="C201" s="299" t="s">
        <v>505</v>
      </c>
      <c r="D201" s="298" t="s">
        <v>288</v>
      </c>
      <c r="E201" s="686">
        <v>16.7288</v>
      </c>
      <c r="F201" s="398">
        <f>IFERROR(E201*'01 Prod Physique Boites'!H199,"-")</f>
        <v>732018.83039999998</v>
      </c>
      <c r="G201" s="399">
        <f>IFERROR(E201*'01 Prod Physique Boites'!L199,"-")</f>
        <v>732018.83039999998</v>
      </c>
      <c r="H201" s="384">
        <v>25.49</v>
      </c>
      <c r="I201" s="419">
        <f t="shared" si="97"/>
        <v>1115391.42</v>
      </c>
      <c r="J201" s="623">
        <f t="shared" si="99"/>
        <v>1115391.42</v>
      </c>
    </row>
    <row r="202" spans="1:10" ht="23.25" thickBot="1" x14ac:dyDescent="0.3">
      <c r="A202" s="274" t="s">
        <v>101</v>
      </c>
      <c r="B202" s="849"/>
      <c r="C202" s="303"/>
      <c r="D202" s="304" t="s">
        <v>52</v>
      </c>
      <c r="E202" s="393"/>
      <c r="F202" s="410">
        <f t="shared" ref="F202:G202" si="100">SUM(F195:F201)</f>
        <v>998207.49600000004</v>
      </c>
      <c r="G202" s="411">
        <f t="shared" si="100"/>
        <v>1464037.6608</v>
      </c>
      <c r="H202" s="394"/>
      <c r="I202" s="410">
        <f t="shared" ref="I202:J202" si="101">SUM(I195:I201)</f>
        <v>1513191.42</v>
      </c>
      <c r="J202" s="426">
        <f t="shared" si="101"/>
        <v>2209341.42</v>
      </c>
    </row>
    <row r="203" spans="1:10" ht="23.25" thickBot="1" x14ac:dyDescent="0.3">
      <c r="A203" s="790" t="s">
        <v>101</v>
      </c>
      <c r="B203" s="850" t="s">
        <v>162</v>
      </c>
      <c r="C203" s="851"/>
      <c r="D203" s="852"/>
      <c r="E203" s="395"/>
      <c r="F203" s="412">
        <f t="shared" ref="F203:G203" si="102">+F194+F202</f>
        <v>1530584.8272000002</v>
      </c>
      <c r="G203" s="413">
        <f t="shared" si="102"/>
        <v>2262603.6576</v>
      </c>
      <c r="H203" s="396"/>
      <c r="I203" s="412">
        <f t="shared" ref="I203:J203" si="103">+I194+I202</f>
        <v>2320486.7399999998</v>
      </c>
      <c r="J203" s="427">
        <f t="shared" si="103"/>
        <v>3414436.7399999998</v>
      </c>
    </row>
    <row r="204" spans="1:10" ht="24" x14ac:dyDescent="0.25">
      <c r="A204" s="274" t="s">
        <v>101</v>
      </c>
      <c r="B204" s="849" t="s">
        <v>30</v>
      </c>
      <c r="C204" s="302" t="s">
        <v>445</v>
      </c>
      <c r="D204" s="298" t="s">
        <v>332</v>
      </c>
      <c r="E204" s="695">
        <v>27.917000000000002</v>
      </c>
      <c r="F204" s="398">
        <f>IFERROR(E204*'01 Prod Physique Boites'!H202,"-")</f>
        <v>0</v>
      </c>
      <c r="G204" s="687">
        <f>IFERROR(E204*'01 Prod Physique Boites'!L202,"-")</f>
        <v>0</v>
      </c>
      <c r="H204" s="693">
        <v>33.299999999999997</v>
      </c>
      <c r="I204" s="415">
        <f>IFERROR(H204*(F204/E204),"-")</f>
        <v>0</v>
      </c>
      <c r="J204" s="416">
        <f t="shared" ref="J204:J206" si="104">IFERROR(H204*(G204/E204),"-")</f>
        <v>0</v>
      </c>
    </row>
    <row r="205" spans="1:10" ht="24" x14ac:dyDescent="0.25">
      <c r="A205" s="274" t="s">
        <v>101</v>
      </c>
      <c r="B205" s="849"/>
      <c r="C205" s="299" t="s">
        <v>443</v>
      </c>
      <c r="D205" s="302" t="s">
        <v>382</v>
      </c>
      <c r="E205" s="692">
        <v>28.526700000000002</v>
      </c>
      <c r="F205" s="398">
        <f>IFERROR(E205*'01 Prod Physique Boites'!H203,"-")</f>
        <v>0</v>
      </c>
      <c r="G205" s="687">
        <f>IFERROR(E205*'01 Prod Physique Boites'!L203,"-")</f>
        <v>0</v>
      </c>
      <c r="H205" s="694">
        <v>37.89</v>
      </c>
      <c r="I205" s="417">
        <f>IFERROR(H205*(F205/E205),"-")</f>
        <v>0</v>
      </c>
      <c r="J205" s="418">
        <f t="shared" si="104"/>
        <v>0</v>
      </c>
    </row>
    <row r="206" spans="1:10" ht="24.75" thickBot="1" x14ac:dyDescent="0.3">
      <c r="A206" s="274" t="s">
        <v>101</v>
      </c>
      <c r="B206" s="849"/>
      <c r="C206" s="299" t="s">
        <v>290</v>
      </c>
      <c r="D206" s="299" t="s">
        <v>382</v>
      </c>
      <c r="E206" s="497">
        <v>25.751300000000001</v>
      </c>
      <c r="F206" s="398">
        <f>IFERROR(E206*'01 Prod Physique Boites'!H204,"-")</f>
        <v>0</v>
      </c>
      <c r="G206" s="687">
        <f>IFERROR(E206*'01 Prod Physique Boites'!L204,"-")</f>
        <v>96412.867200000008</v>
      </c>
      <c r="H206" s="384">
        <v>37.89</v>
      </c>
      <c r="I206" s="419">
        <f>IFERROR(H206*(F206/E206),"-")</f>
        <v>0</v>
      </c>
      <c r="J206" s="420">
        <f t="shared" si="104"/>
        <v>141860.16000000003</v>
      </c>
    </row>
    <row r="207" spans="1:10" ht="23.25" thickBot="1" x14ac:dyDescent="0.3">
      <c r="A207" s="274" t="s">
        <v>101</v>
      </c>
      <c r="B207" s="849"/>
      <c r="C207" s="300"/>
      <c r="D207" s="301" t="s">
        <v>50</v>
      </c>
      <c r="E207" s="386"/>
      <c r="F207" s="402">
        <f t="shared" ref="F207:G207" si="105">SUM(F204:F206)</f>
        <v>0</v>
      </c>
      <c r="G207" s="403">
        <f t="shared" si="105"/>
        <v>96412.867200000008</v>
      </c>
      <c r="H207" s="387"/>
      <c r="I207" s="402">
        <f t="shared" ref="I207" si="106">SUM(I204:I206)</f>
        <v>0</v>
      </c>
      <c r="J207" s="421">
        <f>SUM(J204:J206)</f>
        <v>141860.16000000003</v>
      </c>
    </row>
    <row r="208" spans="1:10" ht="24" x14ac:dyDescent="0.25">
      <c r="A208" s="274" t="s">
        <v>101</v>
      </c>
      <c r="B208" s="849"/>
      <c r="C208" s="296" t="s">
        <v>434</v>
      </c>
      <c r="D208" s="296" t="s">
        <v>92</v>
      </c>
      <c r="E208" s="500">
        <v>24.2607</v>
      </c>
      <c r="F208" s="398">
        <f>IFERROR(E208*'01 Prod Physique Boites'!H206,"-")</f>
        <v>0</v>
      </c>
      <c r="G208" s="687">
        <f>IFERROR(E208*'01 Prod Physique Boites'!L206,"-")</f>
        <v>0</v>
      </c>
      <c r="H208" s="379">
        <v>28.31</v>
      </c>
      <c r="I208" s="624">
        <f>IFERROR(H208*(F208/E208),"-")</f>
        <v>0</v>
      </c>
      <c r="J208" s="416">
        <f t="shared" ref="J208:J213" si="107">IFERROR(H208*(G208/E208),"-")</f>
        <v>0</v>
      </c>
    </row>
    <row r="209" spans="1:10" ht="24" x14ac:dyDescent="0.25">
      <c r="A209" s="274"/>
      <c r="B209" s="849"/>
      <c r="C209" s="302" t="s">
        <v>444</v>
      </c>
      <c r="D209" s="298" t="s">
        <v>332</v>
      </c>
      <c r="E209" s="500">
        <v>24.2607</v>
      </c>
      <c r="F209" s="398">
        <f>IFERROR(E209*'01 Prod Physique Boites'!H207,"-")</f>
        <v>0</v>
      </c>
      <c r="G209" s="687">
        <f>IFERROR(E209*'01 Prod Physique Boites'!L207,"-")</f>
        <v>0</v>
      </c>
      <c r="H209" s="379">
        <v>28.88</v>
      </c>
      <c r="I209" s="624">
        <f t="shared" ref="I209:I213" si="108">IFERROR(H209*(F209/E209),"-")</f>
        <v>0</v>
      </c>
      <c r="J209" s="416">
        <f t="shared" si="107"/>
        <v>0</v>
      </c>
    </row>
    <row r="210" spans="1:10" ht="24" x14ac:dyDescent="0.25">
      <c r="A210" s="274"/>
      <c r="B210" s="849"/>
      <c r="C210" s="302" t="s">
        <v>447</v>
      </c>
      <c r="D210" s="298" t="s">
        <v>332</v>
      </c>
      <c r="E210" s="500">
        <v>25.4041</v>
      </c>
      <c r="F210" s="398">
        <f>IFERROR(E210*'01 Prod Physique Boites'!H208,"-")</f>
        <v>0</v>
      </c>
      <c r="G210" s="687">
        <f>IFERROR(E210*'01 Prod Physique Boites'!L208,"-")</f>
        <v>0</v>
      </c>
      <c r="H210" s="379">
        <v>28.21</v>
      </c>
      <c r="I210" s="624">
        <f t="shared" si="108"/>
        <v>0</v>
      </c>
      <c r="J210" s="416">
        <f t="shared" si="107"/>
        <v>0</v>
      </c>
    </row>
    <row r="211" spans="1:10" ht="24" x14ac:dyDescent="0.25">
      <c r="A211" s="274" t="s">
        <v>101</v>
      </c>
      <c r="B211" s="849"/>
      <c r="C211" s="302" t="s">
        <v>333</v>
      </c>
      <c r="D211" s="302" t="s">
        <v>233</v>
      </c>
      <c r="E211" s="501">
        <v>27.917000000000002</v>
      </c>
      <c r="F211" s="683">
        <f>IFERROR(E211*'01 Prod Physique Boites'!H209,"-")</f>
        <v>0</v>
      </c>
      <c r="G211" s="687">
        <f>IFERROR(E211*'01 Prod Physique Boites'!L209,"-")</f>
        <v>0</v>
      </c>
      <c r="H211" s="382">
        <v>39</v>
      </c>
      <c r="I211" s="624">
        <f t="shared" si="108"/>
        <v>0</v>
      </c>
      <c r="J211" s="416">
        <f t="shared" si="107"/>
        <v>0</v>
      </c>
    </row>
    <row r="212" spans="1:10" ht="24" x14ac:dyDescent="0.25">
      <c r="A212" s="274"/>
      <c r="B212" s="849"/>
      <c r="C212" s="299" t="s">
        <v>453</v>
      </c>
      <c r="D212" s="299" t="s">
        <v>364</v>
      </c>
      <c r="E212" s="497">
        <v>22.094999999999999</v>
      </c>
      <c r="F212" s="683">
        <f>IFERROR(E212*'01 Prod Physique Boites'!H210,"-")</f>
        <v>0</v>
      </c>
      <c r="G212" s="687">
        <f>IFERROR(E212*'01 Prod Physique Boites'!L210,"-")</f>
        <v>0</v>
      </c>
      <c r="H212" s="704">
        <v>37.11</v>
      </c>
      <c r="I212" s="624">
        <f t="shared" si="108"/>
        <v>0</v>
      </c>
      <c r="J212" s="416">
        <f t="shared" si="107"/>
        <v>0</v>
      </c>
    </row>
    <row r="213" spans="1:10" ht="24.75" thickBot="1" x14ac:dyDescent="0.3">
      <c r="A213" s="274" t="s">
        <v>101</v>
      </c>
      <c r="B213" s="849"/>
      <c r="C213" s="299" t="s">
        <v>433</v>
      </c>
      <c r="D213" s="299" t="s">
        <v>421</v>
      </c>
      <c r="E213" s="497">
        <v>23.697399999999998</v>
      </c>
      <c r="F213" s="398">
        <f>IFERROR(E213*'01 Prod Physique Boites'!H211,"-")</f>
        <v>0</v>
      </c>
      <c r="G213" s="399">
        <f>IFERROR(E213*'01 Prod Physique Boites'!L211,"-")</f>
        <v>0</v>
      </c>
      <c r="H213" s="384">
        <v>28.21</v>
      </c>
      <c r="I213" s="624">
        <f t="shared" si="108"/>
        <v>0</v>
      </c>
      <c r="J213" s="416">
        <f t="shared" si="107"/>
        <v>0</v>
      </c>
    </row>
    <row r="214" spans="1:10" ht="23.25" thickBot="1" x14ac:dyDescent="0.3">
      <c r="A214" s="274" t="s">
        <v>101</v>
      </c>
      <c r="B214" s="849"/>
      <c r="C214" s="303"/>
      <c r="D214" s="304" t="s">
        <v>51</v>
      </c>
      <c r="E214" s="393"/>
      <c r="F214" s="410">
        <f t="shared" ref="F214:G214" si="109">SUM(F208:F213)</f>
        <v>0</v>
      </c>
      <c r="G214" s="411">
        <f t="shared" si="109"/>
        <v>0</v>
      </c>
      <c r="H214" s="394"/>
      <c r="I214" s="410">
        <f t="shared" ref="I214" si="110">SUM(I208:I213)</f>
        <v>0</v>
      </c>
      <c r="J214" s="426">
        <f>SUM(J208:J213)</f>
        <v>0</v>
      </c>
    </row>
    <row r="215" spans="1:10" ht="23.25" thickBot="1" x14ac:dyDescent="0.3">
      <c r="A215" s="274" t="s">
        <v>101</v>
      </c>
      <c r="B215" s="850" t="s">
        <v>163</v>
      </c>
      <c r="C215" s="851"/>
      <c r="D215" s="852"/>
      <c r="E215" s="395"/>
      <c r="F215" s="412">
        <f t="shared" ref="F215:G215" si="111">+F207+F214</f>
        <v>0</v>
      </c>
      <c r="G215" s="413">
        <f t="shared" si="111"/>
        <v>96412.867200000008</v>
      </c>
      <c r="H215" s="396"/>
      <c r="I215" s="412">
        <f t="shared" ref="I215:J215" si="112">+I207+I214</f>
        <v>0</v>
      </c>
      <c r="J215" s="427">
        <f t="shared" si="112"/>
        <v>141860.16000000003</v>
      </c>
    </row>
    <row r="216" spans="1:10" ht="24.75" thickBot="1" x14ac:dyDescent="0.3">
      <c r="A216" s="274" t="s">
        <v>101</v>
      </c>
      <c r="B216" s="592" t="s">
        <v>32</v>
      </c>
      <c r="C216" s="783"/>
      <c r="D216" s="309"/>
      <c r="E216" s="502">
        <v>12.2659</v>
      </c>
      <c r="F216" s="404">
        <f>IFERROR(E216*'01 Prod Physique Boites'!H210,"-")</f>
        <v>0</v>
      </c>
      <c r="G216" s="405">
        <f>IFERROR(E216*'01 Prod Physique Boites'!L210,"-")</f>
        <v>0</v>
      </c>
      <c r="H216" s="388"/>
      <c r="I216" s="422">
        <f>IFERROR(H216*(F216/E216),"-")</f>
        <v>0</v>
      </c>
      <c r="J216" s="423">
        <f>IFERROR(H216*(G216/E216),"-")</f>
        <v>0</v>
      </c>
    </row>
    <row r="217" spans="1:10" ht="23.25" thickBot="1" x14ac:dyDescent="0.3">
      <c r="A217" s="274" t="s">
        <v>101</v>
      </c>
      <c r="B217" s="853" t="s">
        <v>21</v>
      </c>
      <c r="C217" s="854"/>
      <c r="D217" s="855"/>
      <c r="E217" s="389"/>
      <c r="F217" s="406">
        <f>+F203+F215+F216</f>
        <v>1530584.8272000002</v>
      </c>
      <c r="G217" s="407">
        <f>+G203+G215+G216</f>
        <v>2359016.5248000002</v>
      </c>
      <c r="H217" s="390"/>
      <c r="I217" s="406">
        <f t="shared" ref="I217:J217" si="113">+I203+I215+I216</f>
        <v>2320486.7399999998</v>
      </c>
      <c r="J217" s="424">
        <f t="shared" si="113"/>
        <v>3556296.9</v>
      </c>
    </row>
    <row r="218" spans="1:10" ht="23.25" thickBot="1" x14ac:dyDescent="0.3">
      <c r="A218" s="274" t="s">
        <v>101</v>
      </c>
      <c r="B218" s="839" t="s">
        <v>171</v>
      </c>
      <c r="C218" s="840"/>
      <c r="D218" s="841"/>
      <c r="E218" s="391"/>
      <c r="F218" s="408">
        <f t="shared" ref="F218:G218" si="114">+F217</f>
        <v>1530584.8272000002</v>
      </c>
      <c r="G218" s="409">
        <f t="shared" si="114"/>
        <v>2359016.5248000002</v>
      </c>
      <c r="H218" s="392"/>
      <c r="I218" s="408">
        <f t="shared" ref="I218:J218" si="115">+I217</f>
        <v>2320486.7399999998</v>
      </c>
      <c r="J218" s="425">
        <f t="shared" si="115"/>
        <v>3556296.9</v>
      </c>
    </row>
    <row r="219" spans="1:10" ht="24" x14ac:dyDescent="0.25">
      <c r="A219" s="268" t="s">
        <v>102</v>
      </c>
      <c r="B219" s="842" t="s">
        <v>399</v>
      </c>
      <c r="C219" s="310" t="s">
        <v>113</v>
      </c>
      <c r="D219" s="310"/>
      <c r="E219" s="669">
        <v>254.89750000000001</v>
      </c>
      <c r="F219" s="398">
        <f>IFERROR(E219*'01 Prod Physique Boites'!H217,"-")</f>
        <v>0</v>
      </c>
      <c r="G219" s="399">
        <f>IFERROR(E219*'01 Prod Physique Boites'!L217,"-")</f>
        <v>0</v>
      </c>
      <c r="H219" s="379">
        <v>445.38</v>
      </c>
      <c r="I219" s="415">
        <f>IFERROR(H219*(F219/E219),"-")</f>
        <v>0</v>
      </c>
      <c r="J219" s="416">
        <f t="shared" ref="J219:J221" si="116">IFERROR(H219*(G219/E219),"-")</f>
        <v>0</v>
      </c>
    </row>
    <row r="220" spans="1:10" ht="24" x14ac:dyDescent="0.25">
      <c r="A220" s="274" t="s">
        <v>102</v>
      </c>
      <c r="B220" s="843"/>
      <c r="C220" s="311" t="s">
        <v>246</v>
      </c>
      <c r="D220" s="311"/>
      <c r="E220" s="499">
        <v>246.51390000000001</v>
      </c>
      <c r="F220" s="398">
        <f>IFERROR(E220*'01 Prod Physique Boites'!H218,"-")</f>
        <v>0</v>
      </c>
      <c r="G220" s="399">
        <f>IFERROR(E220*'01 Prod Physique Boites'!L218,"-")</f>
        <v>0</v>
      </c>
      <c r="H220" s="382">
        <v>430.02</v>
      </c>
      <c r="I220" s="417">
        <f>IFERROR(H220*(F220/E220),"-")</f>
        <v>0</v>
      </c>
      <c r="J220" s="418">
        <f t="shared" si="116"/>
        <v>0</v>
      </c>
    </row>
    <row r="221" spans="1:10" ht="24.75" thickBot="1" x14ac:dyDescent="0.3">
      <c r="A221" s="274" t="s">
        <v>102</v>
      </c>
      <c r="B221" s="844"/>
      <c r="C221" s="312" t="s">
        <v>33</v>
      </c>
      <c r="D221" s="312"/>
      <c r="E221" s="496">
        <v>225.7713</v>
      </c>
      <c r="F221" s="398">
        <f>IFERROR(E221*'01 Prod Physique Boites'!H219,"-")</f>
        <v>0</v>
      </c>
      <c r="G221" s="399">
        <f>IFERROR(E221*'01 Prod Physique Boites'!L219,"-")</f>
        <v>0</v>
      </c>
      <c r="H221" s="384"/>
      <c r="I221" s="419">
        <f>IFERROR(H221*(F221/E221),"-")</f>
        <v>0</v>
      </c>
      <c r="J221" s="420">
        <f t="shared" si="116"/>
        <v>0</v>
      </c>
    </row>
    <row r="222" spans="1:10" ht="23.25" thickBot="1" x14ac:dyDescent="0.3">
      <c r="A222" s="274" t="s">
        <v>102</v>
      </c>
      <c r="B222" s="845" t="s">
        <v>34</v>
      </c>
      <c r="C222" s="846"/>
      <c r="D222" s="847"/>
      <c r="E222" s="386"/>
      <c r="F222" s="402">
        <f t="shared" ref="F222:G222" si="117">SUM(F219:F221)</f>
        <v>0</v>
      </c>
      <c r="G222" s="403">
        <f t="shared" si="117"/>
        <v>0</v>
      </c>
      <c r="H222" s="387"/>
      <c r="I222" s="402">
        <f t="shared" ref="I222:J222" si="118">SUM(I219:I221)</f>
        <v>0</v>
      </c>
      <c r="J222" s="421">
        <f t="shared" si="118"/>
        <v>0</v>
      </c>
    </row>
    <row r="223" spans="1:10" ht="24" x14ac:dyDescent="0.25">
      <c r="A223" s="274" t="s">
        <v>102</v>
      </c>
      <c r="B223" s="842" t="s">
        <v>35</v>
      </c>
      <c r="C223" s="310" t="s">
        <v>113</v>
      </c>
      <c r="D223" s="310"/>
      <c r="E223" s="498">
        <v>254.89750000000001</v>
      </c>
      <c r="F223" s="398">
        <f>IFERROR(E223*'01 Prod Physique Boites'!H221,"-")</f>
        <v>0</v>
      </c>
      <c r="G223" s="399">
        <f>IFERROR(E223*'01 Prod Physique Boites'!L221,"-")</f>
        <v>0</v>
      </c>
      <c r="H223" s="379">
        <v>445.38</v>
      </c>
      <c r="I223" s="415">
        <f>IFERROR(H223*(F223/E223),"-")</f>
        <v>0</v>
      </c>
      <c r="J223" s="416">
        <f t="shared" ref="J223:J226" si="119">IFERROR(H223*(G223/E223),"-")</f>
        <v>0</v>
      </c>
    </row>
    <row r="224" spans="1:10" ht="24" x14ac:dyDescent="0.25">
      <c r="A224" s="274" t="s">
        <v>102</v>
      </c>
      <c r="B224" s="843"/>
      <c r="C224" s="311" t="s">
        <v>246</v>
      </c>
      <c r="D224" s="311"/>
      <c r="E224" s="499">
        <v>246.51390000000001</v>
      </c>
      <c r="F224" s="398">
        <f>IFERROR(E224*'01 Prod Physique Boites'!H222,"-")</f>
        <v>0</v>
      </c>
      <c r="G224" s="399">
        <f>IFERROR(E224*'01 Prod Physique Boites'!L222,"-")</f>
        <v>0</v>
      </c>
      <c r="H224" s="382">
        <v>430.02</v>
      </c>
      <c r="I224" s="417">
        <f>IFERROR(H224*(F224/E224),"-")</f>
        <v>0</v>
      </c>
      <c r="J224" s="418">
        <f t="shared" si="119"/>
        <v>0</v>
      </c>
    </row>
    <row r="225" spans="1:10" ht="24" x14ac:dyDescent="0.25">
      <c r="A225" s="274" t="s">
        <v>102</v>
      </c>
      <c r="B225" s="843"/>
      <c r="C225" s="311" t="s">
        <v>184</v>
      </c>
      <c r="D225" s="311" t="s">
        <v>183</v>
      </c>
      <c r="E225" s="499">
        <v>254.89750000000001</v>
      </c>
      <c r="F225" s="398">
        <f>IFERROR(E225*'01 Prod Physique Boites'!H223,"-")</f>
        <v>0</v>
      </c>
      <c r="G225" s="399">
        <f>IFERROR(E225*'01 Prod Physique Boites'!L223,"-")</f>
        <v>0</v>
      </c>
      <c r="H225" s="382"/>
      <c r="I225" s="417">
        <f>IFERROR(H225*(F225/E225),"-")</f>
        <v>0</v>
      </c>
      <c r="J225" s="418">
        <f t="shared" si="119"/>
        <v>0</v>
      </c>
    </row>
    <row r="226" spans="1:10" ht="24.75" thickBot="1" x14ac:dyDescent="0.3">
      <c r="A226" s="274" t="s">
        <v>102</v>
      </c>
      <c r="B226" s="844"/>
      <c r="C226" s="312" t="s">
        <v>36</v>
      </c>
      <c r="D226" s="312"/>
      <c r="E226" s="496">
        <v>229.99359999999999</v>
      </c>
      <c r="F226" s="398">
        <f>IFERROR(E226*'01 Prod Physique Boites'!H224,"-")</f>
        <v>0</v>
      </c>
      <c r="G226" s="399">
        <f>IFERROR(E226*'01 Prod Physique Boites'!L224,"-")</f>
        <v>0</v>
      </c>
      <c r="H226" s="384"/>
      <c r="I226" s="419">
        <f>IFERROR(H226*(F226/E226),"-")</f>
        <v>0</v>
      </c>
      <c r="J226" s="420">
        <f t="shared" si="119"/>
        <v>0</v>
      </c>
    </row>
    <row r="227" spans="1:10" ht="23.25" thickBot="1" x14ac:dyDescent="0.3">
      <c r="A227" s="274" t="s">
        <v>102</v>
      </c>
      <c r="B227" s="845" t="s">
        <v>37</v>
      </c>
      <c r="C227" s="846"/>
      <c r="D227" s="847"/>
      <c r="E227" s="386"/>
      <c r="F227" s="402">
        <f t="shared" ref="F227:G227" si="120">SUM(F223:F226)</f>
        <v>0</v>
      </c>
      <c r="G227" s="403">
        <f t="shared" si="120"/>
        <v>0</v>
      </c>
      <c r="H227" s="387"/>
      <c r="I227" s="402">
        <f>SUM(I223:I226)</f>
        <v>0</v>
      </c>
      <c r="J227" s="421">
        <f>SUM(J223:J226)</f>
        <v>0</v>
      </c>
    </row>
    <row r="228" spans="1:10" ht="24" x14ac:dyDescent="0.25">
      <c r="A228" s="274" t="s">
        <v>102</v>
      </c>
      <c r="B228" s="842" t="s">
        <v>400</v>
      </c>
      <c r="C228" s="313" t="s">
        <v>116</v>
      </c>
      <c r="D228" s="313"/>
      <c r="E228" s="498">
        <v>195.2808</v>
      </c>
      <c r="F228" s="398">
        <f>IFERROR(E228*'01 Prod Physique Boites'!H226,"-")</f>
        <v>0</v>
      </c>
      <c r="G228" s="399">
        <f>IFERROR(E228*'01 Prod Physique Boites'!L226,"-")</f>
        <v>0</v>
      </c>
      <c r="H228" s="642">
        <v>256.7</v>
      </c>
      <c r="I228" s="415">
        <f>IFERROR(H228*(F228/E228),"-")</f>
        <v>0</v>
      </c>
      <c r="J228" s="416">
        <f t="shared" ref="J228:J229" si="121">IFERROR(H228*(G228/E228),"-")</f>
        <v>0</v>
      </c>
    </row>
    <row r="229" spans="1:10" ht="24.75" thickBot="1" x14ac:dyDescent="0.3">
      <c r="A229" s="274" t="s">
        <v>102</v>
      </c>
      <c r="B229" s="844"/>
      <c r="C229" s="285" t="s">
        <v>132</v>
      </c>
      <c r="D229" s="285"/>
      <c r="E229" s="496">
        <v>189.91890000000001</v>
      </c>
      <c r="F229" s="398">
        <f>IFERROR(E229*'01 Prod Physique Boites'!H227,"-")</f>
        <v>0</v>
      </c>
      <c r="G229" s="399">
        <f>IFERROR(E229*'01 Prod Physique Boites'!L227,"-")</f>
        <v>0</v>
      </c>
      <c r="H229" s="384">
        <v>320.35000000000002</v>
      </c>
      <c r="I229" s="419">
        <f>IFERROR(H229*(F229/E229),"-")</f>
        <v>0</v>
      </c>
      <c r="J229" s="420">
        <f t="shared" si="121"/>
        <v>0</v>
      </c>
    </row>
    <row r="230" spans="1:10" ht="23.25" thickBot="1" x14ac:dyDescent="0.3">
      <c r="A230" s="790" t="s">
        <v>102</v>
      </c>
      <c r="B230" s="845" t="s">
        <v>38</v>
      </c>
      <c r="C230" s="846"/>
      <c r="D230" s="847"/>
      <c r="E230" s="386"/>
      <c r="F230" s="402">
        <f>SUM(F228:F229)</f>
        <v>0</v>
      </c>
      <c r="G230" s="403">
        <f t="shared" ref="G230" si="122">SUM(G228:G229)</f>
        <v>0</v>
      </c>
      <c r="H230" s="387"/>
      <c r="I230" s="402">
        <f t="shared" ref="I230:J230" si="123">SUM(I228:I229)</f>
        <v>0</v>
      </c>
      <c r="J230" s="421">
        <f t="shared" si="123"/>
        <v>0</v>
      </c>
    </row>
    <row r="231" spans="1:10" ht="24" x14ac:dyDescent="0.25">
      <c r="A231" s="274" t="s">
        <v>102</v>
      </c>
      <c r="B231" s="842" t="s">
        <v>401</v>
      </c>
      <c r="C231" s="269" t="s">
        <v>305</v>
      </c>
      <c r="D231" s="269" t="s">
        <v>237</v>
      </c>
      <c r="E231" s="500">
        <v>37.248699999999999</v>
      </c>
      <c r="F231" s="398">
        <f>IFERROR(E231*'01 Prod Physique Boites'!H229,"-")</f>
        <v>250311.264</v>
      </c>
      <c r="G231" s="399">
        <f>IFERROR(E231*'01 Prod Physique Boites'!L229,"-")</f>
        <v>250311.264</v>
      </c>
      <c r="H231" s="379">
        <v>71.44</v>
      </c>
      <c r="I231" s="415">
        <f>IFERROR(H231*(F231/E231),"-")</f>
        <v>480076.79999999999</v>
      </c>
      <c r="J231" s="416">
        <f>IFERROR(H231*(G231/E231),"-")</f>
        <v>480076.79999999999</v>
      </c>
    </row>
    <row r="232" spans="1:10" ht="24" x14ac:dyDescent="0.25">
      <c r="A232" s="274" t="s">
        <v>102</v>
      </c>
      <c r="B232" s="843"/>
      <c r="C232" s="269" t="s">
        <v>156</v>
      </c>
      <c r="D232" s="275"/>
      <c r="E232" s="500">
        <v>37.248699999999999</v>
      </c>
      <c r="F232" s="398">
        <f>IFERROR(E232*'01 Prod Physique Boites'!H230,"-")</f>
        <v>0</v>
      </c>
      <c r="G232" s="399">
        <f>IFERROR(E232*'01 Prod Physique Boites'!L230,"-")</f>
        <v>0</v>
      </c>
      <c r="H232" s="382"/>
      <c r="I232" s="417">
        <f>IFERROR(H232*(F232/E232),"-")</f>
        <v>0</v>
      </c>
      <c r="J232" s="418">
        <f t="shared" ref="J232:J234" si="124">IFERROR(H232*(G232/E232),"-")</f>
        <v>0</v>
      </c>
    </row>
    <row r="233" spans="1:10" ht="24" x14ac:dyDescent="0.25">
      <c r="A233" s="274" t="s">
        <v>102</v>
      </c>
      <c r="B233" s="843"/>
      <c r="C233" s="275" t="s">
        <v>343</v>
      </c>
      <c r="D233" s="269" t="s">
        <v>237</v>
      </c>
      <c r="E233" s="500">
        <v>37.248699999999999</v>
      </c>
      <c r="F233" s="398">
        <f>IFERROR(E233*'01 Prod Physique Boites'!H231,"-")</f>
        <v>629801.0196</v>
      </c>
      <c r="G233" s="399">
        <f>IFERROR(E233*'01 Prod Physique Boites'!L231,"-")</f>
        <v>1500973.6151999999</v>
      </c>
      <c r="H233" s="382">
        <v>71.44</v>
      </c>
      <c r="I233" s="417">
        <f>IFERROR(H233*(F233/E233),"-")</f>
        <v>1207907.52</v>
      </c>
      <c r="J233" s="418">
        <f t="shared" si="124"/>
        <v>2878746.2399999998</v>
      </c>
    </row>
    <row r="234" spans="1:10" ht="24.75" thickBot="1" x14ac:dyDescent="0.3">
      <c r="A234" s="274" t="s">
        <v>102</v>
      </c>
      <c r="B234" s="843"/>
      <c r="C234" s="275" t="s">
        <v>157</v>
      </c>
      <c r="D234" s="275"/>
      <c r="E234" s="501">
        <v>38.466099999999997</v>
      </c>
      <c r="F234" s="398">
        <f>IFERROR(E234*'01 Prod Physique Boites'!H232,"-")</f>
        <v>0</v>
      </c>
      <c r="G234" s="399">
        <f>IFERROR(E234*'01 Prod Physique Boites'!L232,"-")</f>
        <v>0</v>
      </c>
      <c r="H234" s="382"/>
      <c r="I234" s="417">
        <f>IFERROR(H234*(F234/E234),"-")</f>
        <v>0</v>
      </c>
      <c r="J234" s="418">
        <f t="shared" si="124"/>
        <v>0</v>
      </c>
    </row>
    <row r="235" spans="1:10" ht="23.25" thickBot="1" x14ac:dyDescent="0.3">
      <c r="A235" s="274" t="s">
        <v>102</v>
      </c>
      <c r="B235" s="845" t="s">
        <v>39</v>
      </c>
      <c r="C235" s="846"/>
      <c r="D235" s="847"/>
      <c r="E235" s="386"/>
      <c r="F235" s="402">
        <f>SUM(F231:F234)</f>
        <v>880112.28359999997</v>
      </c>
      <c r="G235" s="403">
        <f>SUM(G231:G234)</f>
        <v>1751284.8791999999</v>
      </c>
      <c r="H235" s="387"/>
      <c r="I235" s="402">
        <f>SUM(I231:I234)</f>
        <v>1687984.32</v>
      </c>
      <c r="J235" s="402">
        <f>SUM(J231:J234)</f>
        <v>3358823.0399999996</v>
      </c>
    </row>
    <row r="236" spans="1:10" ht="24" x14ac:dyDescent="0.25">
      <c r="A236" s="274" t="s">
        <v>102</v>
      </c>
      <c r="B236" s="842" t="s">
        <v>40</v>
      </c>
      <c r="C236" s="269" t="s">
        <v>186</v>
      </c>
      <c r="D236" s="269" t="s">
        <v>183</v>
      </c>
      <c r="E236" s="500">
        <v>30.7499</v>
      </c>
      <c r="F236" s="398">
        <f>IFERROR(E236*'01 Prod Physique Boites'!H235,"-")</f>
        <v>0</v>
      </c>
      <c r="G236" s="399">
        <f>IFERROR(E236*'01 Prod Physique Boites'!L235,"-")</f>
        <v>0</v>
      </c>
      <c r="H236" s="379"/>
      <c r="I236" s="415">
        <f>IFERROR(H236*(F236/E236),"-")</f>
        <v>0</v>
      </c>
      <c r="J236" s="416">
        <f>IFERROR(H236*(G236/E236),"-")</f>
        <v>0</v>
      </c>
    </row>
    <row r="237" spans="1:10" ht="24" x14ac:dyDescent="0.25">
      <c r="A237" s="274" t="s">
        <v>102</v>
      </c>
      <c r="B237" s="843"/>
      <c r="C237" s="275" t="s">
        <v>159</v>
      </c>
      <c r="D237" s="275"/>
      <c r="E237" s="645">
        <v>25.139099999999999</v>
      </c>
      <c r="F237" s="398">
        <f>IFERROR(E237*'01 Prod Physique Boites'!H236,"-")</f>
        <v>0</v>
      </c>
      <c r="G237" s="399">
        <f>IFERROR(E237*'01 Prod Physique Boites'!L235,"-")</f>
        <v>0</v>
      </c>
      <c r="H237" s="382">
        <v>59.96</v>
      </c>
      <c r="I237" s="417">
        <f>IFERROR(H237*(F237/E237),"-")</f>
        <v>0</v>
      </c>
      <c r="J237" s="418">
        <f t="shared" ref="J237:J238" si="125">IFERROR(H237*(G237/E237),"-")</f>
        <v>0</v>
      </c>
    </row>
    <row r="238" spans="1:10" ht="24.75" thickBot="1" x14ac:dyDescent="0.3">
      <c r="A238" s="274" t="s">
        <v>102</v>
      </c>
      <c r="B238" s="844"/>
      <c r="C238" s="279" t="s">
        <v>186</v>
      </c>
      <c r="D238" s="279" t="s">
        <v>185</v>
      </c>
      <c r="E238" s="497">
        <v>30.073599999999999</v>
      </c>
      <c r="F238" s="398">
        <f>IFERROR(E238*'01 Prod Physique Boites'!H237,"-")</f>
        <v>0</v>
      </c>
      <c r="G238" s="399">
        <f>IFERROR(E238*'01 Prod Physique Boites'!L236,"-")</f>
        <v>0</v>
      </c>
      <c r="H238" s="384"/>
      <c r="I238" s="419">
        <f>IFERROR(H238*(F238/E238),"-")</f>
        <v>0</v>
      </c>
      <c r="J238" s="420">
        <f t="shared" si="125"/>
        <v>0</v>
      </c>
    </row>
    <row r="239" spans="1:10" ht="23.25" thickBot="1" x14ac:dyDescent="0.3">
      <c r="A239" s="274" t="s">
        <v>102</v>
      </c>
      <c r="B239" s="862" t="s">
        <v>41</v>
      </c>
      <c r="C239" s="863"/>
      <c r="D239" s="864"/>
      <c r="E239" s="386"/>
      <c r="F239" s="402">
        <f t="shared" ref="F239:G239" si="126">SUM(F236:F238)</f>
        <v>0</v>
      </c>
      <c r="G239" s="403">
        <f t="shared" si="126"/>
        <v>0</v>
      </c>
      <c r="H239" s="387"/>
      <c r="I239" s="402">
        <f t="shared" ref="I239:J239" si="127">SUM(I236:I238)</f>
        <v>0</v>
      </c>
      <c r="J239" s="421">
        <f t="shared" si="127"/>
        <v>0</v>
      </c>
    </row>
    <row r="240" spans="1:10" ht="24" x14ac:dyDescent="0.25">
      <c r="A240" s="274" t="s">
        <v>102</v>
      </c>
      <c r="B240" s="842" t="s">
        <v>42</v>
      </c>
      <c r="C240" s="269" t="s">
        <v>160</v>
      </c>
      <c r="D240" s="269"/>
      <c r="E240" s="500">
        <v>36.684899999999999</v>
      </c>
      <c r="F240" s="398">
        <f>IFERROR(E240*'01 Prod Physique Boites'!H239,"-")</f>
        <v>129130.848</v>
      </c>
      <c r="G240" s="399">
        <f>IFERROR(E240*'01 Prod Physique Boites'!L239,"-")</f>
        <v>657393.40799999994</v>
      </c>
      <c r="H240" s="379">
        <v>42</v>
      </c>
      <c r="I240" s="415">
        <f t="shared" ref="I240:I241" si="128">IFERROR(H240*(F240/E240),"-")</f>
        <v>147840</v>
      </c>
      <c r="J240" s="380">
        <f t="shared" ref="J240:J241" si="129">IFERROR(H240*(G240/E240),"-")</f>
        <v>752640</v>
      </c>
    </row>
    <row r="241" spans="1:15" ht="24.75" thickBot="1" x14ac:dyDescent="0.3">
      <c r="A241" s="274" t="s">
        <v>102</v>
      </c>
      <c r="B241" s="844"/>
      <c r="C241" s="279" t="s">
        <v>161</v>
      </c>
      <c r="D241" s="279"/>
      <c r="E241" s="497">
        <v>37.002800000000001</v>
      </c>
      <c r="F241" s="398">
        <f>IFERROR(E241*'01 Prod Physique Boites'!H240,"-")</f>
        <v>0</v>
      </c>
      <c r="G241" s="399">
        <f>IFERROR(E241*'01 Prod Physique Boites'!L240,"-")</f>
        <v>0</v>
      </c>
      <c r="H241" s="384">
        <v>45.5</v>
      </c>
      <c r="I241" s="415">
        <f t="shared" si="128"/>
        <v>0</v>
      </c>
      <c r="J241" s="385">
        <f t="shared" si="129"/>
        <v>0</v>
      </c>
    </row>
    <row r="242" spans="1:15" ht="23.25" thickBot="1" x14ac:dyDescent="0.3">
      <c r="A242" s="274" t="s">
        <v>102</v>
      </c>
      <c r="B242" s="862" t="s">
        <v>43</v>
      </c>
      <c r="C242" s="863"/>
      <c r="D242" s="864"/>
      <c r="E242" s="386"/>
      <c r="F242" s="398">
        <f>SUM(F240:F241)</f>
        <v>129130.848</v>
      </c>
      <c r="G242" s="398">
        <f>SUM(G240:G241)</f>
        <v>657393.40799999994</v>
      </c>
      <c r="H242" s="387"/>
      <c r="I242" s="402">
        <f t="shared" ref="I242:J242" si="130">SUM(I240:I241)</f>
        <v>147840</v>
      </c>
      <c r="J242" s="421">
        <f t="shared" si="130"/>
        <v>752640</v>
      </c>
    </row>
    <row r="243" spans="1:15" ht="23.25" thickBot="1" x14ac:dyDescent="0.3">
      <c r="A243" s="274" t="s">
        <v>102</v>
      </c>
      <c r="B243" s="856" t="s">
        <v>25</v>
      </c>
      <c r="C243" s="857"/>
      <c r="D243" s="858"/>
      <c r="E243" s="389"/>
      <c r="F243" s="406">
        <f>+F222+F227+F230+F235+F239+F242</f>
        <v>1009243.1316</v>
      </c>
      <c r="G243" s="407">
        <f>+G222+G227+G230+G235+G239+G242</f>
        <v>2408678.2871999997</v>
      </c>
      <c r="H243" s="390"/>
      <c r="I243" s="406">
        <f>+I222+I227+I230+I235+I239+I242</f>
        <v>1835824.32</v>
      </c>
      <c r="J243" s="424">
        <f>+J222+J227+J230+J235+J239+J242</f>
        <v>4111463.0399999996</v>
      </c>
    </row>
    <row r="244" spans="1:15" ht="23.25" thickBot="1" x14ac:dyDescent="0.3">
      <c r="A244" s="317" t="s">
        <v>102</v>
      </c>
      <c r="B244" s="840" t="s">
        <v>173</v>
      </c>
      <c r="C244" s="840"/>
      <c r="D244" s="841"/>
      <c r="E244" s="391"/>
      <c r="F244" s="408">
        <f t="shared" ref="F244:G244" si="131">+F243</f>
        <v>1009243.1316</v>
      </c>
      <c r="G244" s="409">
        <f t="shared" si="131"/>
        <v>2408678.2871999997</v>
      </c>
      <c r="H244" s="392"/>
      <c r="I244" s="408">
        <f t="shared" ref="I244" si="132">+I243</f>
        <v>1835824.32</v>
      </c>
      <c r="J244" s="425">
        <f>+J243</f>
        <v>4111463.0399999996</v>
      </c>
    </row>
    <row r="245" spans="1:15" ht="26.25" thickBot="1" x14ac:dyDescent="0.3">
      <c r="A245" s="318"/>
      <c r="B245" s="859" t="s">
        <v>174</v>
      </c>
      <c r="C245" s="860"/>
      <c r="D245" s="861"/>
      <c r="E245" s="397"/>
      <c r="F245" s="414">
        <f>+F183+F218+F244</f>
        <v>3761040.0937000001</v>
      </c>
      <c r="G245" s="414">
        <f>+G183+G218+G244</f>
        <v>7996153.3869000003</v>
      </c>
      <c r="H245" s="397"/>
      <c r="I245" s="414">
        <f>+I183+I218+I244</f>
        <v>5980561.6499999994</v>
      </c>
      <c r="J245" s="428">
        <f>+J183+J218+J244</f>
        <v>10909221.969999999</v>
      </c>
    </row>
    <row r="246" spans="1:15" ht="24.6" customHeight="1" thickBot="1" x14ac:dyDescent="0.3">
      <c r="A246" s="230"/>
      <c r="B246" s="230"/>
      <c r="C246" s="230"/>
      <c r="D246" s="230"/>
      <c r="E246" s="376"/>
      <c r="F246" s="376"/>
      <c r="G246" s="376"/>
      <c r="H246" s="376"/>
      <c r="I246" s="376"/>
      <c r="J246" s="376"/>
    </row>
    <row r="247" spans="1:15" ht="22.5" x14ac:dyDescent="0.25">
      <c r="A247" s="881" t="s">
        <v>1</v>
      </c>
      <c r="B247" s="884" t="s">
        <v>2</v>
      </c>
      <c r="C247" s="887" t="s">
        <v>394</v>
      </c>
      <c r="D247" s="887" t="s">
        <v>395</v>
      </c>
      <c r="E247" s="909" t="s">
        <v>403</v>
      </c>
      <c r="F247" s="910"/>
      <c r="G247" s="910"/>
      <c r="H247" s="438"/>
      <c r="I247" s="438"/>
      <c r="J247" s="439"/>
    </row>
    <row r="248" spans="1:15" ht="22.5" x14ac:dyDescent="0.25">
      <c r="A248" s="882"/>
      <c r="B248" s="885"/>
      <c r="C248" s="888"/>
      <c r="D248" s="888"/>
      <c r="E248" s="911" t="s">
        <v>406</v>
      </c>
      <c r="F248" s="912"/>
      <c r="G248" s="913"/>
      <c r="H248" s="911" t="s">
        <v>168</v>
      </c>
      <c r="I248" s="912"/>
      <c r="J248" s="913"/>
    </row>
    <row r="249" spans="1:15" ht="45" x14ac:dyDescent="0.25">
      <c r="A249" s="883"/>
      <c r="B249" s="907"/>
      <c r="C249" s="908"/>
      <c r="D249" s="908"/>
      <c r="E249" s="377" t="s">
        <v>170</v>
      </c>
      <c r="F249" s="803" t="s">
        <v>405</v>
      </c>
      <c r="G249" s="804" t="s">
        <v>404</v>
      </c>
      <c r="H249" s="914" t="s">
        <v>170</v>
      </c>
      <c r="I249" s="916" t="s">
        <v>137</v>
      </c>
      <c r="J249" s="918" t="s">
        <v>404</v>
      </c>
    </row>
    <row r="250" spans="1:15" ht="23.25" thickBot="1" x14ac:dyDescent="0.3">
      <c r="A250" s="883"/>
      <c r="B250" s="886"/>
      <c r="C250" s="889"/>
      <c r="D250" s="889"/>
      <c r="E250" s="920" t="s">
        <v>510</v>
      </c>
      <c r="F250" s="921"/>
      <c r="G250" s="922"/>
      <c r="H250" s="915"/>
      <c r="I250" s="917"/>
      <c r="J250" s="919"/>
    </row>
    <row r="251" spans="1:15" ht="24" x14ac:dyDescent="0.25">
      <c r="A251" s="268" t="s">
        <v>103</v>
      </c>
      <c r="B251" s="867" t="s">
        <v>16</v>
      </c>
      <c r="C251" s="269" t="s">
        <v>366</v>
      </c>
      <c r="D251" s="269" t="s">
        <v>367</v>
      </c>
      <c r="E251" s="665">
        <v>81.360699999999994</v>
      </c>
      <c r="F251" s="398">
        <f>IFERROR(E251*'01 Prod Physique Boites'!H249,"-")</f>
        <v>0</v>
      </c>
      <c r="G251" s="398">
        <f>IFERROR(E251*'01 Prod Physique Boites'!L249,"-")</f>
        <v>0</v>
      </c>
      <c r="H251" s="666">
        <v>143.28</v>
      </c>
      <c r="I251" s="415">
        <f>IFERROR(H251*(F251/E251),"-")</f>
        <v>0</v>
      </c>
      <c r="J251" s="416">
        <f t="shared" ref="J251:J253" si="133">IFERROR(H251*(G251/E251),"-")</f>
        <v>0</v>
      </c>
    </row>
    <row r="252" spans="1:15" ht="24" x14ac:dyDescent="0.25">
      <c r="A252" s="673"/>
      <c r="B252" s="868"/>
      <c r="C252" s="275" t="s">
        <v>464</v>
      </c>
      <c r="D252" s="275" t="s">
        <v>373</v>
      </c>
      <c r="E252" s="501">
        <v>81.360699999999994</v>
      </c>
      <c r="F252" s="398">
        <f>IFERROR(E252*'01 Prod Physique Boites'!H250,"-")</f>
        <v>0</v>
      </c>
      <c r="G252" s="398">
        <f>IFERROR(E252*'01 Prod Physique Boites'!L250,"-")</f>
        <v>0</v>
      </c>
      <c r="H252" s="668">
        <v>143.28</v>
      </c>
      <c r="I252" s="415">
        <f>IFERROR(H252*(F252/E252),"-")</f>
        <v>0</v>
      </c>
      <c r="J252" s="416">
        <f t="shared" si="133"/>
        <v>0</v>
      </c>
    </row>
    <row r="253" spans="1:15" ht="24" x14ac:dyDescent="0.25">
      <c r="A253" s="274" t="s">
        <v>103</v>
      </c>
      <c r="B253" s="868"/>
      <c r="C253" s="275" t="s">
        <v>427</v>
      </c>
      <c r="D253" s="275" t="s">
        <v>382</v>
      </c>
      <c r="E253" s="645">
        <v>77.170400000000001</v>
      </c>
      <c r="F253" s="398">
        <f>IFERROR(E253*'01 Prod Physique Boites'!H251,"-")</f>
        <v>0</v>
      </c>
      <c r="G253" s="646">
        <f>IFERROR(E253*'01 Prod Physique Boites'!L251,"-")</f>
        <v>321028.864</v>
      </c>
      <c r="H253" s="382">
        <v>0</v>
      </c>
      <c r="I253" s="415">
        <f>IFERROR(H253*(F253/E253),"-")</f>
        <v>0</v>
      </c>
      <c r="J253" s="416">
        <f t="shared" si="133"/>
        <v>0</v>
      </c>
    </row>
    <row r="254" spans="1:15" ht="24.75" thickBot="1" x14ac:dyDescent="0.3">
      <c r="A254" s="274" t="s">
        <v>103</v>
      </c>
      <c r="B254" s="869"/>
      <c r="C254" s="279" t="s">
        <v>261</v>
      </c>
      <c r="D254" s="279" t="s">
        <v>230</v>
      </c>
      <c r="E254" s="497">
        <v>60.703499999999998</v>
      </c>
      <c r="F254" s="398">
        <f>IFERROR(E254*'01 Prod Physique Boites'!H252,"-")</f>
        <v>0</v>
      </c>
      <c r="G254" s="398">
        <f>IFERROR(E254*'01 Prod Physique Boites'!L252,"-")</f>
        <v>0</v>
      </c>
      <c r="H254" s="384">
        <v>111.09</v>
      </c>
      <c r="I254" s="415">
        <f>IFERROR(H254*(F254/E254),"-")</f>
        <v>0</v>
      </c>
      <c r="J254" s="416">
        <f>IFERROR(H254*(G254/E254),"-")</f>
        <v>0</v>
      </c>
    </row>
    <row r="255" spans="1:15" ht="23.25" thickBot="1" x14ac:dyDescent="0.3">
      <c r="A255" s="274" t="s">
        <v>103</v>
      </c>
      <c r="B255" s="845" t="s">
        <v>44</v>
      </c>
      <c r="C255" s="846"/>
      <c r="D255" s="847"/>
      <c r="E255" s="386"/>
      <c r="F255" s="402">
        <f t="shared" ref="F255" si="134">SUM(F251:F254)</f>
        <v>0</v>
      </c>
      <c r="G255" s="403">
        <f>SUM(G251:G254)</f>
        <v>321028.864</v>
      </c>
      <c r="H255" s="387"/>
      <c r="I255" s="402">
        <f t="shared" ref="I255:J255" si="135">SUM(I251:I254)</f>
        <v>0</v>
      </c>
      <c r="J255" s="421">
        <f t="shared" si="135"/>
        <v>0</v>
      </c>
      <c r="K255" s="664"/>
      <c r="L255" s="664"/>
      <c r="M255" s="664"/>
      <c r="N255" s="664"/>
      <c r="O255" s="664"/>
    </row>
    <row r="256" spans="1:15" ht="24" x14ac:dyDescent="0.25">
      <c r="A256" s="274" t="s">
        <v>103</v>
      </c>
      <c r="B256" s="867" t="s">
        <v>17</v>
      </c>
      <c r="C256" s="269" t="s">
        <v>293</v>
      </c>
      <c r="D256" s="269"/>
      <c r="E256" s="500">
        <v>12.5275</v>
      </c>
      <c r="F256" s="398">
        <f>IFERROR(E256*'01 Prod Physique Boites'!H254,"-")</f>
        <v>0</v>
      </c>
      <c r="G256" s="398">
        <f>IFERROR(E256*'01 Prod Physique Boites'!L254,"-")</f>
        <v>0</v>
      </c>
      <c r="H256" s="642">
        <v>18.836400000000001</v>
      </c>
      <c r="I256" s="415">
        <f t="shared" ref="I256:I262" si="136">IFERROR(H256*(F256/E256),"-")</f>
        <v>0</v>
      </c>
      <c r="J256" s="416">
        <f t="shared" ref="J256:J261" si="137">IFERROR(H256*(G256/E256),"-")</f>
        <v>0</v>
      </c>
    </row>
    <row r="257" spans="1:15" ht="24" x14ac:dyDescent="0.25">
      <c r="A257" s="274" t="s">
        <v>103</v>
      </c>
      <c r="B257" s="868"/>
      <c r="C257" s="275" t="s">
        <v>342</v>
      </c>
      <c r="D257" s="275" t="s">
        <v>231</v>
      </c>
      <c r="E257" s="638">
        <v>13.002700000000001</v>
      </c>
      <c r="F257" s="398">
        <f>IFERROR(E257*'01 Prod Physique Boites'!H255,"-")</f>
        <v>0</v>
      </c>
      <c r="G257" s="398">
        <f>IFERROR(E257*'01 Prod Physique Boites'!L255,"-")</f>
        <v>0</v>
      </c>
      <c r="H257" s="382">
        <v>21.18</v>
      </c>
      <c r="I257" s="417">
        <f t="shared" si="136"/>
        <v>0</v>
      </c>
      <c r="J257" s="418">
        <f t="shared" si="137"/>
        <v>0</v>
      </c>
    </row>
    <row r="258" spans="1:15" ht="24" x14ac:dyDescent="0.25">
      <c r="A258" s="274" t="s">
        <v>103</v>
      </c>
      <c r="B258" s="868"/>
      <c r="C258" s="275" t="s">
        <v>349</v>
      </c>
      <c r="D258" s="275" t="s">
        <v>187</v>
      </c>
      <c r="E258" s="638">
        <v>12.9049</v>
      </c>
      <c r="F258" s="398">
        <f>IFERROR(E258*'01 Prod Physique Boites'!H256,"-")</f>
        <v>157955.976</v>
      </c>
      <c r="G258" s="398">
        <f>IFERROR(E258*'01 Prod Physique Boites'!L256,"-")</f>
        <v>947735.85599999991</v>
      </c>
      <c r="H258" s="382">
        <v>20.5</v>
      </c>
      <c r="I258" s="417">
        <f t="shared" si="136"/>
        <v>250920</v>
      </c>
      <c r="J258" s="418">
        <f t="shared" si="137"/>
        <v>1505520</v>
      </c>
    </row>
    <row r="259" spans="1:15" ht="24" x14ac:dyDescent="0.25">
      <c r="A259" s="274" t="s">
        <v>103</v>
      </c>
      <c r="B259" s="868"/>
      <c r="C259" s="275" t="s">
        <v>292</v>
      </c>
      <c r="D259" s="275" t="s">
        <v>188</v>
      </c>
      <c r="E259" s="501">
        <v>13.078200000000001</v>
      </c>
      <c r="F259" s="398">
        <f>IFERROR(E259*'01 Prod Physique Boites'!H257,"-")</f>
        <v>0</v>
      </c>
      <c r="G259" s="398">
        <f>IFERROR(E259*'01 Prod Physique Boites'!L257,"-")</f>
        <v>0</v>
      </c>
      <c r="H259" s="382">
        <v>20.6</v>
      </c>
      <c r="I259" s="417">
        <f t="shared" si="136"/>
        <v>0</v>
      </c>
      <c r="J259" s="418">
        <f t="shared" si="137"/>
        <v>0</v>
      </c>
    </row>
    <row r="260" spans="1:15" ht="24" x14ac:dyDescent="0.25">
      <c r="A260" s="274" t="s">
        <v>103</v>
      </c>
      <c r="B260" s="868"/>
      <c r="C260" s="275" t="s">
        <v>321</v>
      </c>
      <c r="D260" s="275" t="s">
        <v>316</v>
      </c>
      <c r="E260" s="501">
        <v>13.1958</v>
      </c>
      <c r="F260" s="398">
        <f>IFERROR(E260*'01 Prod Physique Boites'!H258,"-")</f>
        <v>0</v>
      </c>
      <c r="G260" s="398">
        <f>IFERROR(E260*'01 Prod Physique Boites'!L258,"-")</f>
        <v>0</v>
      </c>
      <c r="H260" s="382">
        <v>21.28</v>
      </c>
      <c r="I260" s="417">
        <f t="shared" si="136"/>
        <v>0</v>
      </c>
      <c r="J260" s="418">
        <f t="shared" si="137"/>
        <v>0</v>
      </c>
    </row>
    <row r="261" spans="1:15" ht="24" x14ac:dyDescent="0.25">
      <c r="A261" s="274">
        <v>1</v>
      </c>
      <c r="B261" s="868"/>
      <c r="C261" s="275" t="s">
        <v>350</v>
      </c>
      <c r="D261" s="275" t="s">
        <v>189</v>
      </c>
      <c r="E261" s="638">
        <v>12.9049</v>
      </c>
      <c r="F261" s="398">
        <f>IFERROR(E261*'01 Prod Physique Boites'!H259,"-")</f>
        <v>0</v>
      </c>
      <c r="G261" s="398">
        <f>IFERROR(E261*'01 Prod Physique Boites'!L259,"-")</f>
        <v>0</v>
      </c>
      <c r="H261" s="629">
        <v>20.5</v>
      </c>
      <c r="I261" s="417">
        <f t="shared" si="136"/>
        <v>0</v>
      </c>
      <c r="J261" s="418">
        <f t="shared" si="137"/>
        <v>0</v>
      </c>
    </row>
    <row r="262" spans="1:15" ht="24.75" thickBot="1" x14ac:dyDescent="0.3">
      <c r="A262" s="274" t="s">
        <v>103</v>
      </c>
      <c r="B262" s="869"/>
      <c r="C262" s="279" t="s">
        <v>339</v>
      </c>
      <c r="D262" s="279" t="s">
        <v>175</v>
      </c>
      <c r="E262" s="497">
        <v>13.6509</v>
      </c>
      <c r="F262" s="398">
        <f>IFERROR(E262*'01 Prod Physique Boites'!H260,"-")</f>
        <v>0</v>
      </c>
      <c r="G262" s="398">
        <f>IFERROR(E262*'01 Prod Physique Boites'!L260,"-")</f>
        <v>0</v>
      </c>
      <c r="H262" s="384">
        <v>21.18</v>
      </c>
      <c r="I262" s="419">
        <f t="shared" si="136"/>
        <v>0</v>
      </c>
      <c r="J262" s="420">
        <f>IFERROR(H262*(G262/E262),"-")</f>
        <v>0</v>
      </c>
    </row>
    <row r="263" spans="1:15" ht="23.25" thickBot="1" x14ac:dyDescent="0.3">
      <c r="A263" s="274" t="s">
        <v>103</v>
      </c>
      <c r="B263" s="845" t="s">
        <v>45</v>
      </c>
      <c r="C263" s="846"/>
      <c r="D263" s="847"/>
      <c r="E263" s="386"/>
      <c r="F263" s="402">
        <f t="shared" ref="F263" si="138">SUM(F256:F262)</f>
        <v>157955.976</v>
      </c>
      <c r="G263" s="403">
        <f>SUM(G256:G262)</f>
        <v>947735.85599999991</v>
      </c>
      <c r="H263" s="387"/>
      <c r="I263" s="402">
        <f t="shared" ref="I263" si="139">SUM(I256:I262)</f>
        <v>250920</v>
      </c>
      <c r="J263" s="421">
        <f>SUM(J256:J262)</f>
        <v>1505520</v>
      </c>
      <c r="K263" s="664"/>
      <c r="L263" s="664"/>
      <c r="M263" s="664"/>
      <c r="N263" s="664"/>
      <c r="O263" s="664"/>
    </row>
    <row r="264" spans="1:15" ht="24" x14ac:dyDescent="0.25">
      <c r="A264" s="274" t="s">
        <v>103</v>
      </c>
      <c r="B264" s="867" t="s">
        <v>18</v>
      </c>
      <c r="C264" s="269" t="s">
        <v>311</v>
      </c>
      <c r="D264" s="269" t="s">
        <v>92</v>
      </c>
      <c r="E264" s="500">
        <v>17.8202</v>
      </c>
      <c r="F264" s="398">
        <f>IFERROR(E264*'01 Prod Physique Boites'!H262,"-")</f>
        <v>0</v>
      </c>
      <c r="G264" s="399">
        <f>IFERROR(E264*'01 Prod Physique Boites'!L262,"-")</f>
        <v>0</v>
      </c>
      <c r="H264" s="379">
        <v>24.93</v>
      </c>
      <c r="I264" s="415">
        <f t="shared" ref="I264:I270" si="140">IFERROR(H264*(F264/E264),"-")</f>
        <v>0</v>
      </c>
      <c r="J264" s="416">
        <f t="shared" ref="J264:J266" si="141">IFERROR(H264*(G264/E264),"-")</f>
        <v>0</v>
      </c>
    </row>
    <row r="265" spans="1:15" ht="24" x14ac:dyDescent="0.25">
      <c r="A265" s="274" t="s">
        <v>103</v>
      </c>
      <c r="B265" s="868"/>
      <c r="C265" s="275" t="s">
        <v>130</v>
      </c>
      <c r="D265" s="275"/>
      <c r="E265" s="501">
        <v>17.8202</v>
      </c>
      <c r="F265" s="398">
        <f>IFERROR(E265*'01 Prod Physique Boites'!H263,"-")</f>
        <v>0</v>
      </c>
      <c r="G265" s="399">
        <f>IFERROR(E265*'01 Prod Physique Boites'!L263,"-")</f>
        <v>0</v>
      </c>
      <c r="H265" s="382">
        <v>0</v>
      </c>
      <c r="I265" s="417">
        <f t="shared" si="140"/>
        <v>0</v>
      </c>
      <c r="J265" s="418">
        <f t="shared" si="141"/>
        <v>0</v>
      </c>
    </row>
    <row r="266" spans="1:15" ht="24" x14ac:dyDescent="0.25">
      <c r="A266" s="274" t="s">
        <v>103</v>
      </c>
      <c r="B266" s="868"/>
      <c r="C266" s="275" t="s">
        <v>115</v>
      </c>
      <c r="D266" s="275"/>
      <c r="E266" s="501">
        <v>16.4071</v>
      </c>
      <c r="F266" s="398">
        <f>IFERROR(E266*'01 Prod Physique Boites'!H264,"-")</f>
        <v>0</v>
      </c>
      <c r="G266" s="399">
        <f>IFERROR(E266*'01 Prod Physique Boites'!L264,"-")</f>
        <v>0</v>
      </c>
      <c r="H266" s="382">
        <v>0</v>
      </c>
      <c r="I266" s="417">
        <f t="shared" si="140"/>
        <v>0</v>
      </c>
      <c r="J266" s="418">
        <f t="shared" si="141"/>
        <v>0</v>
      </c>
    </row>
    <row r="267" spans="1:15" ht="24" x14ac:dyDescent="0.25">
      <c r="A267" s="274" t="s">
        <v>103</v>
      </c>
      <c r="B267" s="868"/>
      <c r="C267" s="275" t="s">
        <v>122</v>
      </c>
      <c r="D267" s="275"/>
      <c r="E267" s="501">
        <v>17.8202</v>
      </c>
      <c r="F267" s="398">
        <f>IFERROR(E267*'01 Prod Physique Boites'!H265,"-")</f>
        <v>0</v>
      </c>
      <c r="G267" s="399">
        <f>IFERROR(E267*'01 Prod Physique Boites'!L265,"-")</f>
        <v>0</v>
      </c>
      <c r="H267" s="382">
        <v>0</v>
      </c>
      <c r="I267" s="417">
        <f t="shared" si="140"/>
        <v>0</v>
      </c>
      <c r="J267" s="418">
        <f>IFERROR(H267*(G267/E267),"-")</f>
        <v>0</v>
      </c>
    </row>
    <row r="268" spans="1:15" ht="24" x14ac:dyDescent="0.25">
      <c r="A268" s="274" t="s">
        <v>103</v>
      </c>
      <c r="B268" s="868"/>
      <c r="C268" s="275" t="s">
        <v>176</v>
      </c>
      <c r="D268" s="275" t="s">
        <v>177</v>
      </c>
      <c r="E268" s="501">
        <v>17.8202</v>
      </c>
      <c r="F268" s="398">
        <f>IFERROR(E268*'01 Prod Physique Boites'!H266,"-")</f>
        <v>0</v>
      </c>
      <c r="G268" s="399">
        <f>IFERROR(E268*'01 Prod Physique Boites'!L266,"-")</f>
        <v>0</v>
      </c>
      <c r="H268" s="382">
        <v>0</v>
      </c>
      <c r="I268" s="417">
        <f t="shared" si="140"/>
        <v>0</v>
      </c>
      <c r="J268" s="418">
        <f t="shared" ref="J268:J270" si="142">IFERROR(H268*(G268/E268),"-")</f>
        <v>0</v>
      </c>
    </row>
    <row r="269" spans="1:15" ht="24" x14ac:dyDescent="0.25">
      <c r="A269" s="274" t="s">
        <v>103</v>
      </c>
      <c r="B269" s="868"/>
      <c r="C269" s="275" t="s">
        <v>179</v>
      </c>
      <c r="D269" s="275" t="s">
        <v>178</v>
      </c>
      <c r="E269" s="501">
        <v>16.7288</v>
      </c>
      <c r="F269" s="398">
        <f>IFERROR(E269*'01 Prod Physique Boites'!H267,"-")</f>
        <v>0</v>
      </c>
      <c r="G269" s="399">
        <f>IFERROR(E269*'01 Prod Physique Boites'!L267,"-")</f>
        <v>0</v>
      </c>
      <c r="H269" s="382">
        <v>0</v>
      </c>
      <c r="I269" s="417">
        <f t="shared" si="140"/>
        <v>0</v>
      </c>
      <c r="J269" s="418">
        <f t="shared" si="142"/>
        <v>0</v>
      </c>
    </row>
    <row r="270" spans="1:15" ht="24.75" thickBot="1" x14ac:dyDescent="0.3">
      <c r="A270" s="274" t="s">
        <v>103</v>
      </c>
      <c r="B270" s="869"/>
      <c r="C270" s="285" t="s">
        <v>180</v>
      </c>
      <c r="D270" s="285" t="s">
        <v>107</v>
      </c>
      <c r="E270" s="497">
        <v>17.8202</v>
      </c>
      <c r="F270" s="398">
        <f>IFERROR(E270*'01 Prod Physique Boites'!H268,"-")</f>
        <v>0</v>
      </c>
      <c r="G270" s="399">
        <f>IFERROR(E270*'01 Prod Physique Boites'!L268,"-")</f>
        <v>0</v>
      </c>
      <c r="H270" s="382">
        <v>0</v>
      </c>
      <c r="I270" s="419">
        <f t="shared" si="140"/>
        <v>0</v>
      </c>
      <c r="J270" s="420">
        <f t="shared" si="142"/>
        <v>0</v>
      </c>
    </row>
    <row r="271" spans="1:15" ht="23.25" thickBot="1" x14ac:dyDescent="0.3">
      <c r="A271" s="274" t="s">
        <v>103</v>
      </c>
      <c r="B271" s="845" t="s">
        <v>29</v>
      </c>
      <c r="C271" s="870"/>
      <c r="D271" s="871"/>
      <c r="E271" s="763"/>
      <c r="F271" s="768">
        <f t="shared" ref="F271:G271" si="143">SUM(F264:F270)</f>
        <v>0</v>
      </c>
      <c r="G271" s="411">
        <f t="shared" si="143"/>
        <v>0</v>
      </c>
      <c r="H271" s="394"/>
      <c r="I271" s="410">
        <f t="shared" ref="I271:J271" si="144">SUM(I264:I270)</f>
        <v>0</v>
      </c>
      <c r="J271" s="426">
        <f t="shared" si="144"/>
        <v>0</v>
      </c>
    </row>
    <row r="272" spans="1:15" ht="24" x14ac:dyDescent="0.25">
      <c r="A272" s="274"/>
      <c r="B272" s="872" t="s">
        <v>19</v>
      </c>
      <c r="C272" s="634" t="s">
        <v>234</v>
      </c>
      <c r="D272" s="734" t="s">
        <v>177</v>
      </c>
      <c r="E272" s="765">
        <v>12.2659</v>
      </c>
      <c r="F272" s="769">
        <f>IFERROR(E272*'01 Prod Physique Boites'!H270,"-")</f>
        <v>0</v>
      </c>
      <c r="G272" s="772">
        <f>IFERROR(E272*'01 Prod Physique Boites'!L270,"-")</f>
        <v>932600.90879999998</v>
      </c>
      <c r="H272" s="775">
        <v>14.79</v>
      </c>
      <c r="I272" s="769">
        <f t="shared" ref="I272:I278" si="145">IFERROR(H272*(F272/E272),"-")</f>
        <v>0</v>
      </c>
      <c r="J272" s="628">
        <f>IFERROR(H272*(G272/E272),"-")</f>
        <v>1124513.28</v>
      </c>
    </row>
    <row r="273" spans="1:10" ht="24" x14ac:dyDescent="0.25">
      <c r="A273" s="274"/>
      <c r="B273" s="873"/>
      <c r="C273" s="727" t="s">
        <v>375</v>
      </c>
      <c r="D273" s="733" t="s">
        <v>421</v>
      </c>
      <c r="E273" s="766">
        <v>12.2659</v>
      </c>
      <c r="F273" s="770">
        <f>IFERROR(E273*'01 Prod Physique Boites'!H271,"-")</f>
        <v>0</v>
      </c>
      <c r="G273" s="773">
        <f>IFERROR(E273*'01 Prod Physique Boites'!L271,"-")</f>
        <v>0</v>
      </c>
      <c r="H273" s="776">
        <v>14.55</v>
      </c>
      <c r="I273" s="770">
        <f t="shared" si="145"/>
        <v>0</v>
      </c>
      <c r="J273" s="622">
        <f t="shared" ref="J273:J278" si="146">IFERROR(H273*(G273/E273),"-")</f>
        <v>0</v>
      </c>
    </row>
    <row r="274" spans="1:10" ht="24" x14ac:dyDescent="0.25">
      <c r="A274" s="274"/>
      <c r="B274" s="873"/>
      <c r="C274" s="727" t="s">
        <v>234</v>
      </c>
      <c r="D274" s="733" t="s">
        <v>476</v>
      </c>
      <c r="E274" s="766">
        <v>12.2659</v>
      </c>
      <c r="F274" s="770">
        <f>IFERROR(E274*'01 Prod Physique Boites'!H272,"-")</f>
        <v>0</v>
      </c>
      <c r="G274" s="773">
        <f>IFERROR(E274*'01 Prod Physique Boites'!L272,"-")</f>
        <v>0</v>
      </c>
      <c r="H274" s="776">
        <v>16.41</v>
      </c>
      <c r="I274" s="770">
        <f t="shared" si="145"/>
        <v>0</v>
      </c>
      <c r="J274" s="622">
        <f t="shared" si="146"/>
        <v>0</v>
      </c>
    </row>
    <row r="275" spans="1:10" ht="24" x14ac:dyDescent="0.25">
      <c r="A275" s="274"/>
      <c r="B275" s="873"/>
      <c r="C275" s="727" t="s">
        <v>375</v>
      </c>
      <c r="D275" s="733" t="s">
        <v>476</v>
      </c>
      <c r="E275" s="766">
        <v>12.2659</v>
      </c>
      <c r="F275" s="770">
        <f>IFERROR(E275*'01 Prod Physique Boites'!H273,"-")</f>
        <v>0</v>
      </c>
      <c r="G275" s="773">
        <f>IFERROR(E275*'01 Prod Physique Boites'!L273,"-")</f>
        <v>0</v>
      </c>
      <c r="H275" s="776">
        <v>16.41</v>
      </c>
      <c r="I275" s="770">
        <f t="shared" si="145"/>
        <v>0</v>
      </c>
      <c r="J275" s="622">
        <f t="shared" si="146"/>
        <v>0</v>
      </c>
    </row>
    <row r="276" spans="1:10" ht="24" x14ac:dyDescent="0.25">
      <c r="A276" s="274"/>
      <c r="B276" s="873"/>
      <c r="C276" s="727" t="s">
        <v>484</v>
      </c>
      <c r="D276" s="733" t="s">
        <v>476</v>
      </c>
      <c r="E276" s="766">
        <v>12.2659</v>
      </c>
      <c r="F276" s="770">
        <f>IFERROR(E276*'01 Prod Physique Boites'!H274,"-")</f>
        <v>103622.3232</v>
      </c>
      <c r="G276" s="773">
        <f>IFERROR(E276*'01 Prod Physique Boites'!L274,"-")</f>
        <v>103622.3232</v>
      </c>
      <c r="H276" s="776">
        <v>16.41</v>
      </c>
      <c r="I276" s="770">
        <f t="shared" si="145"/>
        <v>138631.67999999999</v>
      </c>
      <c r="J276" s="622">
        <f t="shared" si="146"/>
        <v>138631.67999999999</v>
      </c>
    </row>
    <row r="277" spans="1:10" ht="24" x14ac:dyDescent="0.25">
      <c r="A277" s="274"/>
      <c r="B277" s="873"/>
      <c r="C277" s="733"/>
      <c r="D277" s="761"/>
      <c r="E277" s="766">
        <v>12.2659</v>
      </c>
      <c r="F277" s="770">
        <f>IFERROR(E277*'01 Prod Physique Boites'!H275,"-")</f>
        <v>0</v>
      </c>
      <c r="G277" s="773">
        <f>IFERROR(E277*'01 Prod Physique Boites'!L275,"-")</f>
        <v>0</v>
      </c>
      <c r="H277" s="776">
        <v>14.55</v>
      </c>
      <c r="I277" s="770">
        <f t="shared" si="145"/>
        <v>0</v>
      </c>
      <c r="J277" s="622">
        <f t="shared" si="146"/>
        <v>0</v>
      </c>
    </row>
    <row r="278" spans="1:10" ht="24.75" thickBot="1" x14ac:dyDescent="0.3">
      <c r="A278" s="805" t="s">
        <v>103</v>
      </c>
      <c r="B278" s="874"/>
      <c r="C278" s="735" t="s">
        <v>340</v>
      </c>
      <c r="D278" s="762"/>
      <c r="E278" s="767">
        <v>0</v>
      </c>
      <c r="F278" s="771">
        <f>IFERROR(E278*'01 Prod Physique Boites'!H276,"-")</f>
        <v>0</v>
      </c>
      <c r="G278" s="774">
        <f>IFERROR(E278*'01 Prod Physique Boites'!L276,"-")</f>
        <v>0</v>
      </c>
      <c r="H278" s="777">
        <v>0</v>
      </c>
      <c r="I278" s="779" t="str">
        <f t="shared" si="145"/>
        <v>-</v>
      </c>
      <c r="J278" s="780" t="str">
        <f t="shared" si="146"/>
        <v>-</v>
      </c>
    </row>
    <row r="279" spans="1:10" ht="23.25" thickBot="1" x14ac:dyDescent="0.3">
      <c r="A279" s="274" t="s">
        <v>103</v>
      </c>
      <c r="B279" s="845" t="s">
        <v>46</v>
      </c>
      <c r="C279" s="876"/>
      <c r="D279" s="877"/>
      <c r="E279" s="764"/>
      <c r="F279" s="519">
        <f>SUM(F272:F278)</f>
        <v>103622.3232</v>
      </c>
      <c r="G279" s="519">
        <f>SUM(G272:G278)</f>
        <v>1036223.232</v>
      </c>
      <c r="H279" s="518"/>
      <c r="I279" s="519">
        <f>SUM(I272:I278)</f>
        <v>138631.67999999999</v>
      </c>
      <c r="J279" s="778">
        <f>SUM(J272:J278)</f>
        <v>1263144.96</v>
      </c>
    </row>
    <row r="280" spans="1:10" ht="24" x14ac:dyDescent="0.25">
      <c r="A280" s="274" t="s">
        <v>103</v>
      </c>
      <c r="B280" s="867" t="s">
        <v>20</v>
      </c>
      <c r="C280" s="290" t="s">
        <v>486</v>
      </c>
      <c r="D280" s="757" t="s">
        <v>288</v>
      </c>
      <c r="E280" s="795">
        <v>27.106400000000001</v>
      </c>
      <c r="F280" s="398">
        <f>IFERROR(E280*'01 Prod Physique Boites'!H278,"-")</f>
        <v>0</v>
      </c>
      <c r="G280" s="399">
        <f>IFERROR(E280*'01 Prod Physique Boites'!L278,"-")</f>
        <v>608918.16960000002</v>
      </c>
      <c r="H280" s="642">
        <v>0</v>
      </c>
      <c r="I280" s="415">
        <f>IFERROR(H280*(F280/E280),"-")</f>
        <v>0</v>
      </c>
      <c r="J280" s="416">
        <f t="shared" ref="J280:J282" si="147">IFERROR(H280*(G280/E280),"-")</f>
        <v>0</v>
      </c>
    </row>
    <row r="281" spans="1:10" ht="24" x14ac:dyDescent="0.25">
      <c r="A281" s="274" t="s">
        <v>103</v>
      </c>
      <c r="B281" s="868"/>
      <c r="C281" s="291" t="s">
        <v>114</v>
      </c>
      <c r="D281" s="291"/>
      <c r="E281" s="381">
        <v>24.2607</v>
      </c>
      <c r="F281" s="398">
        <f>IFERROR(E281*'01 Prod Physique Boites'!H279,"-")</f>
        <v>0</v>
      </c>
      <c r="G281" s="399">
        <f>IFERROR(E281*'01 Prod Physique Boites'!L279,"-")</f>
        <v>0</v>
      </c>
      <c r="H281" s="382">
        <v>37.369999999999997</v>
      </c>
      <c r="I281" s="417">
        <f>IFERROR(H281*(F281/E281),"-")</f>
        <v>0</v>
      </c>
      <c r="J281" s="418">
        <f t="shared" si="147"/>
        <v>0</v>
      </c>
    </row>
    <row r="282" spans="1:10" ht="24.75" thickBot="1" x14ac:dyDescent="0.3">
      <c r="A282" s="274" t="s">
        <v>103</v>
      </c>
      <c r="B282" s="869"/>
      <c r="C282" s="292" t="s">
        <v>120</v>
      </c>
      <c r="D282" s="292"/>
      <c r="E282" s="383">
        <v>26.035799999999998</v>
      </c>
      <c r="F282" s="398">
        <f>IFERROR(E282*'01 Prod Physique Boites'!H280,"-")</f>
        <v>0</v>
      </c>
      <c r="G282" s="399">
        <f>IFERROR(E282*'01 Prod Physique Boites'!L280,"-")</f>
        <v>0</v>
      </c>
      <c r="H282" s="384">
        <v>37.11</v>
      </c>
      <c r="I282" s="419">
        <f>IFERROR(H282*(F282/E282),"-")</f>
        <v>0</v>
      </c>
      <c r="J282" s="420">
        <f t="shared" si="147"/>
        <v>0</v>
      </c>
    </row>
    <row r="283" spans="1:10" ht="23.25" thickBot="1" x14ac:dyDescent="0.3">
      <c r="A283" s="274" t="s">
        <v>103</v>
      </c>
      <c r="B283" s="846" t="s">
        <v>47</v>
      </c>
      <c r="C283" s="846"/>
      <c r="D283" s="878"/>
      <c r="E283" s="386"/>
      <c r="F283" s="402">
        <f t="shared" ref="F283:G283" si="148">SUM(F280:F282)</f>
        <v>0</v>
      </c>
      <c r="G283" s="403">
        <f t="shared" si="148"/>
        <v>608918.16960000002</v>
      </c>
      <c r="H283" s="387"/>
      <c r="I283" s="402">
        <f t="shared" ref="I283:J283" si="149">SUM(I280:I282)</f>
        <v>0</v>
      </c>
      <c r="J283" s="421">
        <f t="shared" si="149"/>
        <v>0</v>
      </c>
    </row>
    <row r="284" spans="1:10" ht="23.25" thickBot="1" x14ac:dyDescent="0.3">
      <c r="A284" s="274" t="s">
        <v>103</v>
      </c>
      <c r="B284" s="853" t="s">
        <v>21</v>
      </c>
      <c r="C284" s="854"/>
      <c r="D284" s="855"/>
      <c r="E284" s="389"/>
      <c r="F284" s="406">
        <f>+F255+F263+F271+F279+F283</f>
        <v>261578.29920000001</v>
      </c>
      <c r="G284" s="407">
        <f>+G255+G263+G271+G279+G283</f>
        <v>2913906.1216000002</v>
      </c>
      <c r="H284" s="390"/>
      <c r="I284" s="406">
        <f>+I255+I263+I271+I279+I283</f>
        <v>389551.68</v>
      </c>
      <c r="J284" s="424">
        <f>+J255+J263+J271+J279+J283</f>
        <v>2768664.96</v>
      </c>
    </row>
    <row r="285" spans="1:10" ht="24" x14ac:dyDescent="0.25">
      <c r="A285" s="274" t="s">
        <v>103</v>
      </c>
      <c r="B285" s="867" t="s">
        <v>398</v>
      </c>
      <c r="C285" s="269" t="s">
        <v>125</v>
      </c>
      <c r="D285" s="269"/>
      <c r="E285" s="378">
        <v>22.820599999999999</v>
      </c>
      <c r="F285" s="398">
        <f>IFERROR(E285*'01 Prod Physique Boites'!H283,"-")</f>
        <v>0</v>
      </c>
      <c r="G285" s="399">
        <f>IFERROR(E285*'01 Prod Physique Boites'!L283,"-")</f>
        <v>0</v>
      </c>
      <c r="H285" s="379">
        <v>27.5</v>
      </c>
      <c r="I285" s="415">
        <f>IFERROR(H285*(F285/E285),"-")</f>
        <v>0</v>
      </c>
      <c r="J285" s="416">
        <f t="shared" ref="J285:J288" si="150">IFERROR(H285*(G285/E285),"-")</f>
        <v>0</v>
      </c>
    </row>
    <row r="286" spans="1:10" ht="24" x14ac:dyDescent="0.25">
      <c r="A286" s="274" t="s">
        <v>103</v>
      </c>
      <c r="B286" s="868"/>
      <c r="C286" s="294" t="s">
        <v>262</v>
      </c>
      <c r="D286" s="294" t="s">
        <v>181</v>
      </c>
      <c r="E286" s="381">
        <v>23.570699999999999</v>
      </c>
      <c r="F286" s="398">
        <f>IFERROR(E286*'01 Prod Physique Boites'!H284,"-")</f>
        <v>0</v>
      </c>
      <c r="G286" s="399">
        <f>IFERROR(E286*'01 Prod Physique Boites'!L284,"-")</f>
        <v>0</v>
      </c>
      <c r="H286" s="382">
        <v>27.5</v>
      </c>
      <c r="I286" s="417">
        <f>IFERROR(H286*(F286/E286),"-")</f>
        <v>0</v>
      </c>
      <c r="J286" s="418">
        <f t="shared" si="150"/>
        <v>0</v>
      </c>
    </row>
    <row r="287" spans="1:10" ht="24" x14ac:dyDescent="0.25">
      <c r="A287" s="274" t="s">
        <v>103</v>
      </c>
      <c r="B287" s="868"/>
      <c r="C287" s="294" t="s">
        <v>360</v>
      </c>
      <c r="D287" s="294" t="s">
        <v>181</v>
      </c>
      <c r="E287" s="381">
        <v>22.820599999999999</v>
      </c>
      <c r="F287" s="398">
        <f>IFERROR(E287*'01 Prod Physique Boites'!H285,"-")</f>
        <v>0</v>
      </c>
      <c r="G287" s="399">
        <f>IFERROR(E287*'01 Prod Physique Boites'!L285,"-")</f>
        <v>0</v>
      </c>
      <c r="H287" s="382">
        <v>27.5</v>
      </c>
      <c r="I287" s="417">
        <f>IFERROR(H287*(F287/E287),"-")</f>
        <v>0</v>
      </c>
      <c r="J287" s="418">
        <f t="shared" si="150"/>
        <v>0</v>
      </c>
    </row>
    <row r="288" spans="1:10" ht="24.75" thickBot="1" x14ac:dyDescent="0.3">
      <c r="A288" s="274" t="s">
        <v>103</v>
      </c>
      <c r="B288" s="869"/>
      <c r="C288" s="279" t="s">
        <v>182</v>
      </c>
      <c r="D288" s="279" t="s">
        <v>93</v>
      </c>
      <c r="E288" s="796">
        <v>22.238499999999998</v>
      </c>
      <c r="F288" s="398">
        <f>IFERROR(E288*'01 Prod Physique Boites'!H286,"-")</f>
        <v>88064.459999999992</v>
      </c>
      <c r="G288" s="399">
        <f>IFERROR(E288*'01 Prod Physique Boites'!L286,"-")</f>
        <v>220161.15</v>
      </c>
      <c r="H288" s="384">
        <v>27</v>
      </c>
      <c r="I288" s="419">
        <f>IFERROR(H288*(F288/E288),"-")</f>
        <v>106920</v>
      </c>
      <c r="J288" s="420">
        <f t="shared" si="150"/>
        <v>267300</v>
      </c>
    </row>
    <row r="289" spans="1:10" ht="23.25" thickBot="1" x14ac:dyDescent="0.3">
      <c r="A289" s="274" t="s">
        <v>103</v>
      </c>
      <c r="B289" s="845" t="s">
        <v>48</v>
      </c>
      <c r="C289" s="846"/>
      <c r="D289" s="847"/>
      <c r="E289" s="386"/>
      <c r="F289" s="402">
        <f t="shared" ref="F289:G289" si="151">SUM(F285:F288)</f>
        <v>88064.459999999992</v>
      </c>
      <c r="G289" s="403">
        <f t="shared" si="151"/>
        <v>220161.15</v>
      </c>
      <c r="H289" s="387"/>
      <c r="I289" s="402">
        <f t="shared" ref="I289:J289" si="152">SUM(I285:I288)</f>
        <v>106920</v>
      </c>
      <c r="J289" s="421">
        <f t="shared" si="152"/>
        <v>267300</v>
      </c>
    </row>
    <row r="290" spans="1:10" ht="24" x14ac:dyDescent="0.25">
      <c r="A290" s="274" t="s">
        <v>103</v>
      </c>
      <c r="B290" s="867" t="s">
        <v>23</v>
      </c>
      <c r="C290" s="295" t="s">
        <v>307</v>
      </c>
      <c r="D290" s="295" t="s">
        <v>237</v>
      </c>
      <c r="E290" s="378">
        <v>101.4935</v>
      </c>
      <c r="F290" s="398">
        <f>IFERROR(E290*'01 Prod Physique Boites'!H288,"-")</f>
        <v>0</v>
      </c>
      <c r="G290" s="399">
        <f>IFERROR(E290*'01 Prod Physique Boites'!L288,"-")</f>
        <v>0</v>
      </c>
      <c r="H290" s="382">
        <v>160.44999999999999</v>
      </c>
      <c r="I290" s="415">
        <f t="shared" ref="I290:I298" si="153">IFERROR(H290*(F290/E290),"-")</f>
        <v>0</v>
      </c>
      <c r="J290" s="416">
        <f t="shared" ref="J290:J298" si="154">IFERROR(H290*(G290/E290),"-")</f>
        <v>0</v>
      </c>
    </row>
    <row r="291" spans="1:10" ht="24" x14ac:dyDescent="0.25">
      <c r="A291" s="274" t="s">
        <v>103</v>
      </c>
      <c r="B291" s="868"/>
      <c r="C291" s="275" t="s">
        <v>24</v>
      </c>
      <c r="D291" s="275" t="s">
        <v>237</v>
      </c>
      <c r="E291" s="381">
        <v>101.4935</v>
      </c>
      <c r="F291" s="398">
        <f>IFERROR(E291*'01 Prod Physique Boites'!H289,"-")</f>
        <v>1332102.1875</v>
      </c>
      <c r="G291" s="399">
        <f>IFERROR(E291*'01 Prod Physique Boites'!L289,"-")</f>
        <v>1776136.25</v>
      </c>
      <c r="H291" s="382">
        <v>160.44999999999999</v>
      </c>
      <c r="I291" s="417">
        <f t="shared" si="153"/>
        <v>2105906.25</v>
      </c>
      <c r="J291" s="418">
        <f t="shared" si="154"/>
        <v>2807875</v>
      </c>
    </row>
    <row r="292" spans="1:10" ht="24" x14ac:dyDescent="0.25">
      <c r="A292" s="274" t="s">
        <v>103</v>
      </c>
      <c r="B292" s="868"/>
      <c r="C292" s="275" t="s">
        <v>235</v>
      </c>
      <c r="D292" s="275" t="s">
        <v>237</v>
      </c>
      <c r="E292" s="381">
        <v>101.4935</v>
      </c>
      <c r="F292" s="398">
        <f>IFERROR(E292*'01 Prod Physique Boites'!H290,"-")</f>
        <v>0</v>
      </c>
      <c r="G292" s="399">
        <f>IFERROR(E292*'01 Prod Physique Boites'!L290,"-")</f>
        <v>0</v>
      </c>
      <c r="H292" s="382">
        <v>160.44999999999999</v>
      </c>
      <c r="I292" s="417">
        <f t="shared" si="153"/>
        <v>0</v>
      </c>
      <c r="J292" s="418">
        <f t="shared" si="154"/>
        <v>0</v>
      </c>
    </row>
    <row r="293" spans="1:10" ht="24" x14ac:dyDescent="0.25">
      <c r="A293" s="274" t="s">
        <v>103</v>
      </c>
      <c r="B293" s="868"/>
      <c r="C293" s="275" t="s">
        <v>236</v>
      </c>
      <c r="D293" s="275" t="s">
        <v>237</v>
      </c>
      <c r="E293" s="381">
        <v>101.4935</v>
      </c>
      <c r="F293" s="398">
        <f>IFERROR(E293*'01 Prod Physique Boites'!H291,"-")</f>
        <v>0</v>
      </c>
      <c r="G293" s="399">
        <f>IFERROR(E293*'01 Prod Physique Boites'!L291,"-")</f>
        <v>0</v>
      </c>
      <c r="H293" s="382">
        <v>160.44999999999999</v>
      </c>
      <c r="I293" s="417">
        <f t="shared" si="153"/>
        <v>0</v>
      </c>
      <c r="J293" s="418">
        <f t="shared" si="154"/>
        <v>0</v>
      </c>
    </row>
    <row r="294" spans="1:10" ht="24" x14ac:dyDescent="0.25">
      <c r="A294" s="274" t="s">
        <v>103</v>
      </c>
      <c r="B294" s="868"/>
      <c r="C294" s="294" t="s">
        <v>238</v>
      </c>
      <c r="D294" s="275" t="s">
        <v>237</v>
      </c>
      <c r="E294" s="381">
        <v>101.4935</v>
      </c>
      <c r="F294" s="398">
        <f>IFERROR(E294*'01 Prod Physique Boites'!H292,"-")</f>
        <v>0</v>
      </c>
      <c r="G294" s="399">
        <f>IFERROR(E294*'01 Prod Physique Boites'!L292,"-")</f>
        <v>0</v>
      </c>
      <c r="H294" s="382">
        <v>160.44999999999999</v>
      </c>
      <c r="I294" s="417">
        <f t="shared" si="153"/>
        <v>0</v>
      </c>
      <c r="J294" s="418">
        <f t="shared" si="154"/>
        <v>0</v>
      </c>
    </row>
    <row r="295" spans="1:10" ht="24" x14ac:dyDescent="0.25">
      <c r="A295" s="274" t="s">
        <v>103</v>
      </c>
      <c r="B295" s="868"/>
      <c r="C295" s="294" t="s">
        <v>239</v>
      </c>
      <c r="D295" s="275" t="s">
        <v>237</v>
      </c>
      <c r="E295" s="381">
        <v>101.4935</v>
      </c>
      <c r="F295" s="398">
        <f>IFERROR(E295*'01 Prod Physique Boites'!H293,"-")</f>
        <v>0</v>
      </c>
      <c r="G295" s="399">
        <f>IFERROR(E295*'01 Prod Physique Boites'!L293,"-")</f>
        <v>0</v>
      </c>
      <c r="H295" s="382">
        <v>160.44999999999999</v>
      </c>
      <c r="I295" s="417">
        <f t="shared" si="153"/>
        <v>0</v>
      </c>
      <c r="J295" s="418">
        <f t="shared" si="154"/>
        <v>0</v>
      </c>
    </row>
    <row r="296" spans="1:10" ht="24" x14ac:dyDescent="0.25">
      <c r="A296" s="274" t="s">
        <v>103</v>
      </c>
      <c r="B296" s="868"/>
      <c r="C296" s="294" t="s">
        <v>240</v>
      </c>
      <c r="D296" s="275" t="s">
        <v>242</v>
      </c>
      <c r="E296" s="381">
        <v>101.4935</v>
      </c>
      <c r="F296" s="398">
        <f>IFERROR(E296*'01 Prod Physique Boites'!H294,"-")</f>
        <v>0</v>
      </c>
      <c r="G296" s="399">
        <f>IFERROR(E296*'01 Prod Physique Boites'!L294,"-")</f>
        <v>0</v>
      </c>
      <c r="H296" s="382">
        <v>160.44999999999999</v>
      </c>
      <c r="I296" s="417">
        <f t="shared" si="153"/>
        <v>0</v>
      </c>
      <c r="J296" s="418">
        <f t="shared" si="154"/>
        <v>0</v>
      </c>
    </row>
    <row r="297" spans="1:10" ht="24" x14ac:dyDescent="0.25">
      <c r="A297" s="274"/>
      <c r="B297" s="869"/>
      <c r="C297" s="294" t="s">
        <v>451</v>
      </c>
      <c r="D297" s="275" t="s">
        <v>237</v>
      </c>
      <c r="E297" s="383">
        <v>101.49</v>
      </c>
      <c r="F297" s="398">
        <f>IFERROR(E297*'01 Prod Physique Boites'!H295,"-")</f>
        <v>0</v>
      </c>
      <c r="G297" s="399">
        <f>IFERROR(E297*'01 Prod Physique Boites'!L295,"-")</f>
        <v>0</v>
      </c>
      <c r="H297" s="382">
        <v>160.44999999999999</v>
      </c>
      <c r="I297" s="417">
        <f t="shared" si="153"/>
        <v>0</v>
      </c>
      <c r="J297" s="418">
        <f t="shared" si="154"/>
        <v>0</v>
      </c>
    </row>
    <row r="298" spans="1:10" ht="24.75" thickBot="1" x14ac:dyDescent="0.3">
      <c r="A298" s="274" t="s">
        <v>103</v>
      </c>
      <c r="B298" s="869"/>
      <c r="C298" s="294" t="s">
        <v>241</v>
      </c>
      <c r="D298" s="275" t="s">
        <v>237</v>
      </c>
      <c r="E298" s="383">
        <v>101.4935</v>
      </c>
      <c r="F298" s="398">
        <f>IFERROR(E298*'01 Prod Physique Boites'!H296,"-")</f>
        <v>0</v>
      </c>
      <c r="G298" s="399">
        <f>IFERROR(E298*'01 Prod Physique Boites'!L296,"-")</f>
        <v>0</v>
      </c>
      <c r="H298" s="382">
        <v>160.44999999999999</v>
      </c>
      <c r="I298" s="417">
        <f t="shared" si="153"/>
        <v>0</v>
      </c>
      <c r="J298" s="420">
        <f t="shared" si="154"/>
        <v>0</v>
      </c>
    </row>
    <row r="299" spans="1:10" ht="23.25" thickBot="1" x14ac:dyDescent="0.3">
      <c r="A299" s="274" t="s">
        <v>103</v>
      </c>
      <c r="B299" s="845" t="s">
        <v>49</v>
      </c>
      <c r="C299" s="846"/>
      <c r="D299" s="847"/>
      <c r="E299" s="386"/>
      <c r="F299" s="402">
        <f t="shared" ref="F299" si="155">SUM(F290:F298)</f>
        <v>1332102.1875</v>
      </c>
      <c r="G299" s="403">
        <f>SUM(G290:G298)</f>
        <v>1776136.25</v>
      </c>
      <c r="H299" s="387"/>
      <c r="I299" s="402">
        <f t="shared" ref="I299" si="156">SUM(I290:I298)</f>
        <v>2105906.25</v>
      </c>
      <c r="J299" s="421">
        <f>SUM(J290:J298)</f>
        <v>2807875</v>
      </c>
    </row>
    <row r="300" spans="1:10" ht="23.25" thickBot="1" x14ac:dyDescent="0.3">
      <c r="A300" s="274" t="s">
        <v>103</v>
      </c>
      <c r="B300" s="853" t="s">
        <v>25</v>
      </c>
      <c r="C300" s="854"/>
      <c r="D300" s="855"/>
      <c r="E300" s="389"/>
      <c r="F300" s="406">
        <f t="shared" ref="F300" si="157">+F289+F299</f>
        <v>1420166.6475</v>
      </c>
      <c r="G300" s="407">
        <f>+G289+G299</f>
        <v>1996297.4</v>
      </c>
      <c r="H300" s="390"/>
      <c r="I300" s="406">
        <f t="shared" ref="I300:J300" si="158">+I289+I299</f>
        <v>2212826.25</v>
      </c>
      <c r="J300" s="424">
        <f t="shared" si="158"/>
        <v>3075175</v>
      </c>
    </row>
    <row r="301" spans="1:10" ht="23.25" thickBot="1" x14ac:dyDescent="0.3">
      <c r="A301" s="274" t="s">
        <v>103</v>
      </c>
      <c r="B301" s="839" t="s">
        <v>172</v>
      </c>
      <c r="C301" s="840"/>
      <c r="D301" s="841"/>
      <c r="E301" s="391"/>
      <c r="F301" s="408">
        <f t="shared" ref="F301" si="159">+F284+F300</f>
        <v>1681744.9467</v>
      </c>
      <c r="G301" s="409">
        <f>+G284+G300</f>
        <v>4910203.5216000006</v>
      </c>
      <c r="H301" s="392"/>
      <c r="I301" s="408">
        <f t="shared" ref="I301:J301" si="160">+I284+I300</f>
        <v>2602377.9300000002</v>
      </c>
      <c r="J301" s="425">
        <f t="shared" si="160"/>
        <v>5843839.96</v>
      </c>
    </row>
    <row r="302" spans="1:10" ht="24" x14ac:dyDescent="0.25">
      <c r="A302" s="268" t="s">
        <v>101</v>
      </c>
      <c r="B302" s="849" t="s">
        <v>26</v>
      </c>
      <c r="C302" s="296" t="s">
        <v>296</v>
      </c>
      <c r="D302" s="298" t="s">
        <v>177</v>
      </c>
      <c r="E302" s="500">
        <v>13.1272</v>
      </c>
      <c r="F302" s="398">
        <f>IFERROR(E302*'01 Prod Physique Boites'!H300,"-")</f>
        <v>0</v>
      </c>
      <c r="G302" s="399">
        <f>IFERROR(E302*'01 Prod Physique Boites'!L300,"-")</f>
        <v>0</v>
      </c>
      <c r="H302" s="379">
        <v>20.76</v>
      </c>
      <c r="I302" s="415">
        <f t="shared" ref="I302:I311" si="161">IFERROR(H302*(F302/E302),"-")</f>
        <v>0</v>
      </c>
      <c r="J302" s="621">
        <f t="shared" ref="J302:J311" si="162">IFERROR(H302*(G302/E302),"-")</f>
        <v>0</v>
      </c>
    </row>
    <row r="303" spans="1:10" ht="24" x14ac:dyDescent="0.25">
      <c r="A303" s="274" t="s">
        <v>101</v>
      </c>
      <c r="B303" s="849"/>
      <c r="C303" s="297" t="s">
        <v>422</v>
      </c>
      <c r="D303" s="297" t="s">
        <v>421</v>
      </c>
      <c r="E303" s="501">
        <v>16.7288</v>
      </c>
      <c r="F303" s="398">
        <f>IFERROR(E303*'01 Prod Physique Boites'!H301,"-")</f>
        <v>0</v>
      </c>
      <c r="G303" s="399">
        <f>IFERROR(E303*'01 Prod Physique Boites'!L301,"-")</f>
        <v>0</v>
      </c>
      <c r="H303" s="382">
        <v>20.76</v>
      </c>
      <c r="I303" s="417">
        <f t="shared" si="161"/>
        <v>0</v>
      </c>
      <c r="J303" s="622">
        <f t="shared" si="162"/>
        <v>0</v>
      </c>
    </row>
    <row r="304" spans="1:10" ht="24" x14ac:dyDescent="0.25">
      <c r="A304" s="274" t="s">
        <v>101</v>
      </c>
      <c r="B304" s="849"/>
      <c r="C304" s="298" t="s">
        <v>27</v>
      </c>
      <c r="D304" s="298" t="s">
        <v>332</v>
      </c>
      <c r="E304" s="497">
        <v>17.8202</v>
      </c>
      <c r="F304" s="398">
        <f>IFERROR(E304*'01 Prod Physique Boites'!H302,"-")</f>
        <v>0</v>
      </c>
      <c r="G304" s="399">
        <f>IFERROR(E304*'01 Prod Physique Boites'!L302,"-")</f>
        <v>0</v>
      </c>
      <c r="H304" s="382">
        <v>21.22</v>
      </c>
      <c r="I304" s="625">
        <f t="shared" si="161"/>
        <v>0</v>
      </c>
      <c r="J304" s="622">
        <f t="shared" si="162"/>
        <v>0</v>
      </c>
    </row>
    <row r="305" spans="1:10" ht="24" x14ac:dyDescent="0.25">
      <c r="A305" s="274" t="s">
        <v>101</v>
      </c>
      <c r="B305" s="849"/>
      <c r="C305" s="298" t="s">
        <v>27</v>
      </c>
      <c r="D305" s="298" t="s">
        <v>233</v>
      </c>
      <c r="E305" s="497">
        <v>17.8202</v>
      </c>
      <c r="F305" s="398">
        <f>IFERROR(E305*'01 Prod Physique Boites'!H303,"-")</f>
        <v>0</v>
      </c>
      <c r="G305" s="399">
        <f>IFERROR(E305*'01 Prod Physique Boites'!L303,"-")</f>
        <v>0</v>
      </c>
      <c r="H305" s="382">
        <v>24.93</v>
      </c>
      <c r="I305" s="625">
        <f t="shared" si="161"/>
        <v>0</v>
      </c>
      <c r="J305" s="622">
        <f t="shared" si="162"/>
        <v>0</v>
      </c>
    </row>
    <row r="306" spans="1:10" ht="24" x14ac:dyDescent="0.25">
      <c r="A306" s="274" t="s">
        <v>101</v>
      </c>
      <c r="B306" s="849"/>
      <c r="C306" s="298" t="s">
        <v>27</v>
      </c>
      <c r="D306" s="298" t="s">
        <v>278</v>
      </c>
      <c r="E306" s="497">
        <v>17.8202</v>
      </c>
      <c r="F306" s="398">
        <f>IFERROR(E306*'01 Prod Physique Boites'!H304,"-")</f>
        <v>0</v>
      </c>
      <c r="G306" s="399">
        <f>IFERROR(E306*'01 Prod Physique Boites'!L304,"-")</f>
        <v>0</v>
      </c>
      <c r="H306" s="382">
        <v>24.93</v>
      </c>
      <c r="I306" s="625">
        <f t="shared" si="161"/>
        <v>0</v>
      </c>
      <c r="J306" s="622">
        <f t="shared" si="162"/>
        <v>0</v>
      </c>
    </row>
    <row r="307" spans="1:10" ht="24" x14ac:dyDescent="0.25">
      <c r="A307" s="274"/>
      <c r="B307" s="849"/>
      <c r="C307" s="721" t="s">
        <v>485</v>
      </c>
      <c r="D307" s="298" t="s">
        <v>502</v>
      </c>
      <c r="E307" s="497">
        <v>16.7288</v>
      </c>
      <c r="F307" s="398">
        <f>IFERROR(E307*'01 Prod Physique Boites'!H305,"-")</f>
        <v>199641.49919999999</v>
      </c>
      <c r="G307" s="399">
        <f>IFERROR(E307*'01 Prod Physique Boites'!L305,"-")</f>
        <v>598924.4976</v>
      </c>
      <c r="H307" s="384">
        <v>25</v>
      </c>
      <c r="I307" s="625">
        <f t="shared" si="161"/>
        <v>298350</v>
      </c>
      <c r="J307" s="623">
        <f t="shared" si="162"/>
        <v>895050</v>
      </c>
    </row>
    <row r="308" spans="1:10" ht="24" x14ac:dyDescent="0.25">
      <c r="A308" s="274"/>
      <c r="B308" s="849"/>
      <c r="C308" s="298" t="s">
        <v>432</v>
      </c>
      <c r="D308" s="298" t="s">
        <v>502</v>
      </c>
      <c r="E308" s="497">
        <v>17.8202</v>
      </c>
      <c r="F308" s="398">
        <f>IFERROR(E308*'01 Prod Physique Boites'!H306,"-")</f>
        <v>1772218.89</v>
      </c>
      <c r="G308" s="399">
        <f>IFERROR(E308*'01 Prod Physique Boites'!L306,"-")</f>
        <v>1772218.89</v>
      </c>
      <c r="H308" s="384">
        <v>25.43</v>
      </c>
      <c r="I308" s="689">
        <f t="shared" si="161"/>
        <v>2529013.5</v>
      </c>
      <c r="J308" s="623">
        <f t="shared" si="162"/>
        <v>2529013.5</v>
      </c>
    </row>
    <row r="309" spans="1:10" s="690" customFormat="1" ht="24" x14ac:dyDescent="0.25">
      <c r="A309" s="684"/>
      <c r="B309" s="849"/>
      <c r="C309" s="685" t="s">
        <v>381</v>
      </c>
      <c r="D309" s="685" t="s">
        <v>382</v>
      </c>
      <c r="E309" s="686">
        <v>16.345199999999998</v>
      </c>
      <c r="F309" s="398">
        <f>IFERROR(E309*'01 Prod Physique Boites'!H307,"-")</f>
        <v>0</v>
      </c>
      <c r="G309" s="399">
        <f>IFERROR(E309*'01 Prod Physique Boites'!L307,"-")</f>
        <v>0</v>
      </c>
      <c r="H309" s="688">
        <v>23.78</v>
      </c>
      <c r="I309" s="689">
        <f t="shared" si="161"/>
        <v>0</v>
      </c>
      <c r="J309" s="623">
        <f t="shared" si="162"/>
        <v>0</v>
      </c>
    </row>
    <row r="310" spans="1:10" s="690" customFormat="1" ht="24" x14ac:dyDescent="0.25">
      <c r="A310" s="684"/>
      <c r="B310" s="849"/>
      <c r="C310" s="298" t="s">
        <v>429</v>
      </c>
      <c r="D310" s="298" t="s">
        <v>178</v>
      </c>
      <c r="E310" s="686">
        <v>16.7288</v>
      </c>
      <c r="F310" s="398">
        <f>IFERROR(E310*'01 Prod Physique Boites'!H308,"-")</f>
        <v>0</v>
      </c>
      <c r="G310" s="399">
        <f>IFERROR(E310*'01 Prod Physique Boites'!L308,"-")</f>
        <v>0</v>
      </c>
      <c r="H310" s="688">
        <v>25.49</v>
      </c>
      <c r="I310" s="689">
        <f t="shared" si="161"/>
        <v>0</v>
      </c>
      <c r="J310" s="623">
        <f t="shared" si="162"/>
        <v>0</v>
      </c>
    </row>
    <row r="311" spans="1:10" ht="24.75" thickBot="1" x14ac:dyDescent="0.3">
      <c r="A311" s="274" t="s">
        <v>101</v>
      </c>
      <c r="B311" s="849"/>
      <c r="C311" s="299" t="s">
        <v>505</v>
      </c>
      <c r="D311" s="298" t="s">
        <v>288</v>
      </c>
      <c r="E311" s="686">
        <v>16.7288</v>
      </c>
      <c r="F311" s="398">
        <f>IFERROR(E311*'01 Prod Physique Boites'!H309,"-")</f>
        <v>1397490.4944</v>
      </c>
      <c r="G311" s="399">
        <f>IFERROR(E311*'01 Prod Physique Boites'!L309,"-")</f>
        <v>1796773.4927999999</v>
      </c>
      <c r="H311" s="384">
        <v>25.49</v>
      </c>
      <c r="I311" s="689">
        <f t="shared" si="161"/>
        <v>2129383.6199999996</v>
      </c>
      <c r="J311" s="623">
        <f t="shared" si="162"/>
        <v>2737778.94</v>
      </c>
    </row>
    <row r="312" spans="1:10" ht="23.25" thickBot="1" x14ac:dyDescent="0.3">
      <c r="A312" s="274" t="s">
        <v>101</v>
      </c>
      <c r="B312" s="866"/>
      <c r="C312" s="300"/>
      <c r="D312" s="301" t="s">
        <v>52</v>
      </c>
      <c r="E312" s="386"/>
      <c r="F312" s="402">
        <f>SUM(F302:F311)</f>
        <v>3369350.8835999998</v>
      </c>
      <c r="G312" s="403">
        <f>SUM(G302:G311)</f>
        <v>4167916.8804000001</v>
      </c>
      <c r="H312" s="387"/>
      <c r="I312" s="402">
        <f>SUM(I302:I311)</f>
        <v>4956747.1199999992</v>
      </c>
      <c r="J312" s="421">
        <f>SUM(J302:J311)</f>
        <v>6161842.4399999995</v>
      </c>
    </row>
    <row r="313" spans="1:10" ht="24" x14ac:dyDescent="0.25">
      <c r="A313" s="274" t="s">
        <v>101</v>
      </c>
      <c r="B313" s="848" t="s">
        <v>28</v>
      </c>
      <c r="C313" s="298" t="s">
        <v>27</v>
      </c>
      <c r="D313" s="296" t="s">
        <v>278</v>
      </c>
      <c r="E313" s="500">
        <v>17.8202</v>
      </c>
      <c r="F313" s="398">
        <f>IFERROR(E313*'01 Prod Physique Boites'!H311,"-")</f>
        <v>0</v>
      </c>
      <c r="G313" s="399">
        <f>IFERROR(E313*'01 Prod Physique Boites'!L311,"-")</f>
        <v>0</v>
      </c>
      <c r="H313" s="379">
        <v>24.93</v>
      </c>
      <c r="I313" s="415">
        <f t="shared" ref="I313:I319" si="163">IFERROR(H313*(F313/E313),"-")</f>
        <v>0</v>
      </c>
      <c r="J313" s="621">
        <f t="shared" ref="J313:J314" si="164">IFERROR(H313*(G313/E313),"-")</f>
        <v>0</v>
      </c>
    </row>
    <row r="314" spans="1:10" ht="24" x14ac:dyDescent="0.25">
      <c r="A314" s="274" t="s">
        <v>101</v>
      </c>
      <c r="B314" s="849"/>
      <c r="C314" s="298" t="s">
        <v>384</v>
      </c>
      <c r="D314" s="298" t="s">
        <v>332</v>
      </c>
      <c r="E314" s="671">
        <v>16.7288</v>
      </c>
      <c r="F314" s="398">
        <f>IFERROR(E314*'01 Prod Physique Boites'!H312,"-")</f>
        <v>0</v>
      </c>
      <c r="G314" s="399">
        <f>IFERROR(E314*'01 Prod Physique Boites'!L312,"-")</f>
        <v>0</v>
      </c>
      <c r="H314" s="668">
        <v>20.76</v>
      </c>
      <c r="I314" s="417">
        <f t="shared" si="163"/>
        <v>0</v>
      </c>
      <c r="J314" s="622">
        <f t="shared" si="164"/>
        <v>0</v>
      </c>
    </row>
    <row r="315" spans="1:10" ht="24" x14ac:dyDescent="0.25">
      <c r="A315" s="274" t="s">
        <v>101</v>
      </c>
      <c r="B315" s="849"/>
      <c r="C315" s="298" t="s">
        <v>383</v>
      </c>
      <c r="D315" s="298" t="s">
        <v>332</v>
      </c>
      <c r="E315" s="497">
        <v>17.8202</v>
      </c>
      <c r="F315" s="398">
        <f>IFERROR(E315*'01 Prod Physique Boites'!H313,"-")</f>
        <v>0</v>
      </c>
      <c r="G315" s="399">
        <f>IFERROR(E315*'01 Prod Physique Boites'!L313,"-")</f>
        <v>0</v>
      </c>
      <c r="H315" s="382">
        <v>21.22</v>
      </c>
      <c r="I315" s="417">
        <f t="shared" si="163"/>
        <v>0</v>
      </c>
      <c r="J315" s="622">
        <f>IFERROR(H315*(G315/E315),"-")</f>
        <v>0</v>
      </c>
    </row>
    <row r="316" spans="1:10" ht="24" x14ac:dyDescent="0.25">
      <c r="A316" s="274"/>
      <c r="B316" s="849"/>
      <c r="C316" s="298" t="s">
        <v>454</v>
      </c>
      <c r="D316" s="298" t="s">
        <v>332</v>
      </c>
      <c r="E316" s="497">
        <v>14.608000000000001</v>
      </c>
      <c r="F316" s="398">
        <f>IFERROR(E316*'01 Prod Physique Boites'!H314,"-")</f>
        <v>0</v>
      </c>
      <c r="G316" s="399">
        <f>IFERROR(E316*'01 Prod Physique Boites'!L314,"-")</f>
        <v>0</v>
      </c>
      <c r="H316" s="382">
        <v>21.22</v>
      </c>
      <c r="I316" s="417">
        <f t="shared" si="163"/>
        <v>0</v>
      </c>
      <c r="J316" s="622">
        <f>IFERROR(H316*(G316/E316),"-")</f>
        <v>0</v>
      </c>
    </row>
    <row r="317" spans="1:10" ht="24" x14ac:dyDescent="0.25">
      <c r="A317" s="274"/>
      <c r="B317" s="849"/>
      <c r="C317" s="298" t="s">
        <v>503</v>
      </c>
      <c r="D317" s="742" t="s">
        <v>502</v>
      </c>
      <c r="E317" s="497">
        <v>16.7288</v>
      </c>
      <c r="F317" s="398">
        <f>IFERROR(E317*'01 Prod Physique Boites'!H315,"-")</f>
        <v>598924.4976</v>
      </c>
      <c r="G317" s="399">
        <f>IFERROR(E317*'01 Prod Physique Boites'!L315,"-")</f>
        <v>1330943.328</v>
      </c>
      <c r="H317" s="382">
        <v>25</v>
      </c>
      <c r="I317" s="419">
        <f t="shared" si="163"/>
        <v>895050</v>
      </c>
      <c r="J317" s="623">
        <f t="shared" ref="J317:J319" si="165">IFERROR(H317*(G317/E317),"-")</f>
        <v>1989000</v>
      </c>
    </row>
    <row r="318" spans="1:10" ht="24" x14ac:dyDescent="0.25">
      <c r="A318" s="274"/>
      <c r="B318" s="849"/>
      <c r="C318" s="298" t="s">
        <v>452</v>
      </c>
      <c r="D318" s="742" t="s">
        <v>502</v>
      </c>
      <c r="E318" s="817">
        <v>17.8202</v>
      </c>
      <c r="F318" s="398">
        <f>IFERROR(E318*'01 Prod Physique Boites'!H316,"-")</f>
        <v>1630441.3788000001</v>
      </c>
      <c r="G318" s="399">
        <f>IFERROR(E318*'01 Prod Physique Boites'!L316,"-")</f>
        <v>1630441.3788000001</v>
      </c>
      <c r="H318" s="382">
        <v>25.43</v>
      </c>
      <c r="I318" s="689">
        <f t="shared" si="163"/>
        <v>2326692.42</v>
      </c>
      <c r="J318" s="623">
        <f t="shared" si="165"/>
        <v>2326692.42</v>
      </c>
    </row>
    <row r="319" spans="1:10" ht="24.75" thickBot="1" x14ac:dyDescent="0.3">
      <c r="A319" s="274" t="s">
        <v>101</v>
      </c>
      <c r="B319" s="849"/>
      <c r="C319" s="299" t="s">
        <v>505</v>
      </c>
      <c r="D319" s="298" t="s">
        <v>288</v>
      </c>
      <c r="E319" s="686">
        <v>16.7288</v>
      </c>
      <c r="F319" s="398">
        <f>IFERROR(E319*'01 Prod Physique Boites'!H317,"-")</f>
        <v>465830.16479999997</v>
      </c>
      <c r="G319" s="399">
        <f>IFERROR(E319*'01 Prod Physique Boites'!L317,"-")</f>
        <v>1197848.9952</v>
      </c>
      <c r="H319" s="384">
        <v>25.49</v>
      </c>
      <c r="I319" s="419">
        <f t="shared" si="163"/>
        <v>709794.53999999992</v>
      </c>
      <c r="J319" s="623">
        <f t="shared" si="165"/>
        <v>1825185.96</v>
      </c>
    </row>
    <row r="320" spans="1:10" ht="23.25" thickBot="1" x14ac:dyDescent="0.3">
      <c r="A320" s="274" t="s">
        <v>101</v>
      </c>
      <c r="B320" s="849"/>
      <c r="C320" s="303"/>
      <c r="D320" s="304" t="s">
        <v>52</v>
      </c>
      <c r="E320" s="393"/>
      <c r="F320" s="410">
        <f t="shared" ref="F320:G320" si="166">SUM(F313:F319)</f>
        <v>2695196.0411999999</v>
      </c>
      <c r="G320" s="411">
        <f t="shared" si="166"/>
        <v>4159233.7019999996</v>
      </c>
      <c r="H320" s="394"/>
      <c r="I320" s="410">
        <f t="shared" ref="I320:J320" si="167">SUM(I313:I319)</f>
        <v>3931536.96</v>
      </c>
      <c r="J320" s="426">
        <f t="shared" si="167"/>
        <v>6140878.3799999999</v>
      </c>
    </row>
    <row r="321" spans="1:10" ht="23.25" thickBot="1" x14ac:dyDescent="0.3">
      <c r="A321" s="805" t="s">
        <v>101</v>
      </c>
      <c r="B321" s="850" t="s">
        <v>162</v>
      </c>
      <c r="C321" s="851"/>
      <c r="D321" s="852"/>
      <c r="E321" s="395"/>
      <c r="F321" s="412">
        <f t="shared" ref="F321:G321" si="168">+F312+F320</f>
        <v>6064546.9247999992</v>
      </c>
      <c r="G321" s="413">
        <f t="shared" si="168"/>
        <v>8327150.5823999997</v>
      </c>
      <c r="H321" s="396"/>
      <c r="I321" s="412">
        <f t="shared" ref="I321:J321" si="169">+I312+I320</f>
        <v>8888284.0799999982</v>
      </c>
      <c r="J321" s="427">
        <f t="shared" si="169"/>
        <v>12302720.82</v>
      </c>
    </row>
    <row r="322" spans="1:10" ht="24" x14ac:dyDescent="0.25">
      <c r="A322" s="274" t="s">
        <v>101</v>
      </c>
      <c r="B322" s="849" t="s">
        <v>30</v>
      </c>
      <c r="C322" s="302" t="s">
        <v>445</v>
      </c>
      <c r="D322" s="298" t="s">
        <v>332</v>
      </c>
      <c r="E322" s="695">
        <v>27.917000000000002</v>
      </c>
      <c r="F322" s="398">
        <f>IFERROR(E322*'01 Prod Physique Boites'!H320,"-")</f>
        <v>0</v>
      </c>
      <c r="G322" s="687">
        <f>IFERROR(E322*'01 Prod Physique Boites'!L320,"-")</f>
        <v>0</v>
      </c>
      <c r="H322" s="693">
        <v>33.299999999999997</v>
      </c>
      <c r="I322" s="415">
        <f>IFERROR(H322*(F322/E322),"-")</f>
        <v>0</v>
      </c>
      <c r="J322" s="416">
        <f t="shared" ref="J322:J324" si="170">IFERROR(H322*(G322/E322),"-")</f>
        <v>0</v>
      </c>
    </row>
    <row r="323" spans="1:10" ht="24" x14ac:dyDescent="0.25">
      <c r="A323" s="274" t="s">
        <v>101</v>
      </c>
      <c r="B323" s="849"/>
      <c r="C323" s="299" t="s">
        <v>443</v>
      </c>
      <c r="D323" s="302" t="s">
        <v>382</v>
      </c>
      <c r="E323" s="692">
        <v>28.526700000000002</v>
      </c>
      <c r="F323" s="398">
        <f>IFERROR(E323*'01 Prod Physique Boites'!H321,"-")</f>
        <v>0</v>
      </c>
      <c r="G323" s="687">
        <f>IFERROR(E323*'01 Prod Physique Boites'!L321,"-")</f>
        <v>0</v>
      </c>
      <c r="H323" s="694">
        <v>37.89</v>
      </c>
      <c r="I323" s="417">
        <f>IFERROR(H323*(F323/E323),"-")</f>
        <v>0</v>
      </c>
      <c r="J323" s="418">
        <f t="shared" si="170"/>
        <v>0</v>
      </c>
    </row>
    <row r="324" spans="1:10" ht="24.75" thickBot="1" x14ac:dyDescent="0.3">
      <c r="A324" s="274" t="s">
        <v>101</v>
      </c>
      <c r="B324" s="849"/>
      <c r="C324" s="299" t="s">
        <v>290</v>
      </c>
      <c r="D324" s="299" t="s">
        <v>382</v>
      </c>
      <c r="E324" s="497">
        <v>25.751300000000001</v>
      </c>
      <c r="F324" s="398">
        <f>IFERROR(E324*'01 Prod Physique Boites'!H322,"-")</f>
        <v>0</v>
      </c>
      <c r="G324" s="687">
        <f>IFERROR(E324*'01 Prod Physique Boites'!L322,"-")</f>
        <v>96412.867200000008</v>
      </c>
      <c r="H324" s="384">
        <v>37.89</v>
      </c>
      <c r="I324" s="419">
        <f>IFERROR(H324*(F324/E324),"-")</f>
        <v>0</v>
      </c>
      <c r="J324" s="420">
        <f t="shared" si="170"/>
        <v>141860.16000000003</v>
      </c>
    </row>
    <row r="325" spans="1:10" ht="23.25" thickBot="1" x14ac:dyDescent="0.3">
      <c r="A325" s="274" t="s">
        <v>101</v>
      </c>
      <c r="B325" s="849"/>
      <c r="C325" s="300"/>
      <c r="D325" s="301" t="s">
        <v>50</v>
      </c>
      <c r="E325" s="386"/>
      <c r="F325" s="402">
        <f t="shared" ref="F325:G325" si="171">SUM(F322:F324)</f>
        <v>0</v>
      </c>
      <c r="G325" s="403">
        <f t="shared" si="171"/>
        <v>96412.867200000008</v>
      </c>
      <c r="H325" s="387"/>
      <c r="I325" s="402">
        <f t="shared" ref="I325" si="172">SUM(I322:I324)</f>
        <v>0</v>
      </c>
      <c r="J325" s="421">
        <f>SUM(J322:J324)</f>
        <v>141860.16000000003</v>
      </c>
    </row>
    <row r="326" spans="1:10" ht="24" x14ac:dyDescent="0.25">
      <c r="A326" s="274" t="s">
        <v>101</v>
      </c>
      <c r="B326" s="849"/>
      <c r="C326" s="296" t="s">
        <v>434</v>
      </c>
      <c r="D326" s="296" t="s">
        <v>92</v>
      </c>
      <c r="E326" s="500">
        <v>24.2607</v>
      </c>
      <c r="F326" s="398">
        <f>IFERROR(E326*'01 Prod Physique Boites'!H324,"-")</f>
        <v>0</v>
      </c>
      <c r="G326" s="687">
        <f>IFERROR(E326*'01 Prod Physique Boites'!L324,"-")</f>
        <v>0</v>
      </c>
      <c r="H326" s="379">
        <v>28.31</v>
      </c>
      <c r="I326" s="624">
        <f>IFERROR(H326*(F326/E326),"-")</f>
        <v>0</v>
      </c>
      <c r="J326" s="416">
        <f t="shared" ref="J326:J331" si="173">IFERROR(H326*(G326/E326),"-")</f>
        <v>0</v>
      </c>
    </row>
    <row r="327" spans="1:10" ht="24" x14ac:dyDescent="0.25">
      <c r="A327" s="274"/>
      <c r="B327" s="849"/>
      <c r="C327" s="302" t="s">
        <v>444</v>
      </c>
      <c r="D327" s="298" t="s">
        <v>332</v>
      </c>
      <c r="E327" s="500">
        <v>24.2607</v>
      </c>
      <c r="F327" s="398">
        <f>IFERROR(E327*'01 Prod Physique Boites'!H325,"-")</f>
        <v>0</v>
      </c>
      <c r="G327" s="687">
        <f>IFERROR(E327*'01 Prod Physique Boites'!L325,"-")</f>
        <v>0</v>
      </c>
      <c r="H327" s="379">
        <v>28.88</v>
      </c>
      <c r="I327" s="624">
        <f t="shared" ref="I327:I331" si="174">IFERROR(H327*(F327/E327),"-")</f>
        <v>0</v>
      </c>
      <c r="J327" s="416">
        <f t="shared" si="173"/>
        <v>0</v>
      </c>
    </row>
    <row r="328" spans="1:10" ht="24" x14ac:dyDescent="0.25">
      <c r="A328" s="274"/>
      <c r="B328" s="849"/>
      <c r="C328" s="302" t="s">
        <v>447</v>
      </c>
      <c r="D328" s="298" t="s">
        <v>332</v>
      </c>
      <c r="E328" s="500">
        <v>25.4041</v>
      </c>
      <c r="F328" s="398">
        <f>IFERROR(E328*'01 Prod Physique Boites'!H326,"-")</f>
        <v>0</v>
      </c>
      <c r="G328" s="687">
        <f>IFERROR(E328*'01 Prod Physique Boites'!L326,"-")</f>
        <v>0</v>
      </c>
      <c r="H328" s="379">
        <v>28.21</v>
      </c>
      <c r="I328" s="624">
        <f t="shared" si="174"/>
        <v>0</v>
      </c>
      <c r="J328" s="416">
        <f t="shared" si="173"/>
        <v>0</v>
      </c>
    </row>
    <row r="329" spans="1:10" ht="24" x14ac:dyDescent="0.25">
      <c r="A329" s="274" t="s">
        <v>101</v>
      </c>
      <c r="B329" s="849"/>
      <c r="C329" s="302" t="s">
        <v>333</v>
      </c>
      <c r="D329" s="302" t="s">
        <v>233</v>
      </c>
      <c r="E329" s="501">
        <v>27.917000000000002</v>
      </c>
      <c r="F329" s="683">
        <f>IFERROR(E329*'01 Prod Physique Boites'!H327,"-")</f>
        <v>0</v>
      </c>
      <c r="G329" s="687">
        <f>IFERROR(E329*'01 Prod Physique Boites'!L327,"-")</f>
        <v>0</v>
      </c>
      <c r="H329" s="382">
        <v>39</v>
      </c>
      <c r="I329" s="624">
        <f t="shared" si="174"/>
        <v>0</v>
      </c>
      <c r="J329" s="416">
        <f t="shared" si="173"/>
        <v>0</v>
      </c>
    </row>
    <row r="330" spans="1:10" ht="24" x14ac:dyDescent="0.25">
      <c r="A330" s="274"/>
      <c r="B330" s="849"/>
      <c r="C330" s="299" t="s">
        <v>453</v>
      </c>
      <c r="D330" s="299" t="s">
        <v>364</v>
      </c>
      <c r="E330" s="497">
        <v>22.094999999999999</v>
      </c>
      <c r="F330" s="683">
        <f>IFERROR(E330*'01 Prod Physique Boites'!H328,"-")</f>
        <v>0</v>
      </c>
      <c r="G330" s="687">
        <f>IFERROR(E330*'01 Prod Physique Boites'!L328,"-")</f>
        <v>0</v>
      </c>
      <c r="H330" s="704">
        <v>37.11</v>
      </c>
      <c r="I330" s="624">
        <f t="shared" si="174"/>
        <v>0</v>
      </c>
      <c r="J330" s="416">
        <f t="shared" si="173"/>
        <v>0</v>
      </c>
    </row>
    <row r="331" spans="1:10" ht="24.75" thickBot="1" x14ac:dyDescent="0.3">
      <c r="A331" s="274" t="s">
        <v>101</v>
      </c>
      <c r="B331" s="849"/>
      <c r="C331" s="299" t="s">
        <v>433</v>
      </c>
      <c r="D331" s="299" t="s">
        <v>421</v>
      </c>
      <c r="E331" s="497">
        <v>23.697399999999998</v>
      </c>
      <c r="F331" s="398">
        <f>IFERROR(E331*'01 Prod Physique Boites'!H329,"-")</f>
        <v>0</v>
      </c>
      <c r="G331" s="399">
        <f>IFERROR(E331*'01 Prod Physique Boites'!L329,"-")</f>
        <v>0</v>
      </c>
      <c r="H331" s="384">
        <v>28.21</v>
      </c>
      <c r="I331" s="624">
        <f t="shared" si="174"/>
        <v>0</v>
      </c>
      <c r="J331" s="416">
        <f t="shared" si="173"/>
        <v>0</v>
      </c>
    </row>
    <row r="332" spans="1:10" ht="23.25" thickBot="1" x14ac:dyDescent="0.3">
      <c r="A332" s="274" t="s">
        <v>101</v>
      </c>
      <c r="B332" s="849"/>
      <c r="C332" s="303"/>
      <c r="D332" s="304" t="s">
        <v>51</v>
      </c>
      <c r="E332" s="393"/>
      <c r="F332" s="410">
        <f t="shared" ref="F332:G332" si="175">SUM(F326:F331)</f>
        <v>0</v>
      </c>
      <c r="G332" s="411">
        <f t="shared" si="175"/>
        <v>0</v>
      </c>
      <c r="H332" s="394"/>
      <c r="I332" s="410">
        <f t="shared" ref="I332" si="176">SUM(I326:I331)</f>
        <v>0</v>
      </c>
      <c r="J332" s="426">
        <f>SUM(J326:J331)</f>
        <v>0</v>
      </c>
    </row>
    <row r="333" spans="1:10" ht="23.25" thickBot="1" x14ac:dyDescent="0.3">
      <c r="A333" s="274" t="s">
        <v>101</v>
      </c>
      <c r="B333" s="850" t="s">
        <v>163</v>
      </c>
      <c r="C333" s="851"/>
      <c r="D333" s="852"/>
      <c r="E333" s="395"/>
      <c r="F333" s="412">
        <f t="shared" ref="F333:G333" si="177">+F325+F332</f>
        <v>0</v>
      </c>
      <c r="G333" s="413">
        <f t="shared" si="177"/>
        <v>96412.867200000008</v>
      </c>
      <c r="H333" s="396"/>
      <c r="I333" s="412">
        <f t="shared" ref="I333:J333" si="178">+I325+I332</f>
        <v>0</v>
      </c>
      <c r="J333" s="427">
        <f t="shared" si="178"/>
        <v>141860.16000000003</v>
      </c>
    </row>
    <row r="334" spans="1:10" ht="24.75" thickBot="1" x14ac:dyDescent="0.3">
      <c r="A334" s="274" t="s">
        <v>101</v>
      </c>
      <c r="B334" s="592" t="s">
        <v>32</v>
      </c>
      <c r="C334" s="800"/>
      <c r="D334" s="309"/>
      <c r="E334" s="502">
        <v>12.2659</v>
      </c>
      <c r="F334" s="404">
        <f>IFERROR(E334*'01 Prod Physique Boites'!H328,"-")</f>
        <v>0</v>
      </c>
      <c r="G334" s="405">
        <f>IFERROR(E334*'01 Prod Physique Boites'!L328,"-")</f>
        <v>0</v>
      </c>
      <c r="H334" s="388"/>
      <c r="I334" s="422">
        <f>IFERROR(H334*(F334/E334),"-")</f>
        <v>0</v>
      </c>
      <c r="J334" s="423">
        <f>IFERROR(H334*(G334/E334),"-")</f>
        <v>0</v>
      </c>
    </row>
    <row r="335" spans="1:10" ht="23.25" thickBot="1" x14ac:dyDescent="0.3">
      <c r="A335" s="274" t="s">
        <v>101</v>
      </c>
      <c r="B335" s="853" t="s">
        <v>21</v>
      </c>
      <c r="C335" s="854"/>
      <c r="D335" s="855"/>
      <c r="E335" s="389"/>
      <c r="F335" s="406">
        <f>+F321+F333+F334</f>
        <v>6064546.9247999992</v>
      </c>
      <c r="G335" s="407">
        <f>+G321+G333+G334</f>
        <v>8423563.4495999999</v>
      </c>
      <c r="H335" s="390"/>
      <c r="I335" s="406">
        <f t="shared" ref="I335:J335" si="179">+I321+I333+I334</f>
        <v>8888284.0799999982</v>
      </c>
      <c r="J335" s="424">
        <f t="shared" si="179"/>
        <v>12444580.98</v>
      </c>
    </row>
    <row r="336" spans="1:10" ht="23.25" thickBot="1" x14ac:dyDescent="0.3">
      <c r="A336" s="274" t="s">
        <v>101</v>
      </c>
      <c r="B336" s="839" t="s">
        <v>171</v>
      </c>
      <c r="C336" s="840"/>
      <c r="D336" s="841"/>
      <c r="E336" s="391"/>
      <c r="F336" s="408">
        <f t="shared" ref="F336:G336" si="180">+F335</f>
        <v>6064546.9247999992</v>
      </c>
      <c r="G336" s="409">
        <f t="shared" si="180"/>
        <v>8423563.4495999999</v>
      </c>
      <c r="H336" s="392"/>
      <c r="I336" s="408">
        <f t="shared" ref="I336:J336" si="181">+I335</f>
        <v>8888284.0799999982</v>
      </c>
      <c r="J336" s="425">
        <f t="shared" si="181"/>
        <v>12444580.98</v>
      </c>
    </row>
    <row r="337" spans="1:10" ht="24" x14ac:dyDescent="0.25">
      <c r="A337" s="268" t="s">
        <v>102</v>
      </c>
      <c r="B337" s="842" t="s">
        <v>399</v>
      </c>
      <c r="C337" s="310" t="s">
        <v>113</v>
      </c>
      <c r="D337" s="310"/>
      <c r="E337" s="669">
        <v>254.89750000000001</v>
      </c>
      <c r="F337" s="398">
        <f>IFERROR(E337*'01 Prod Physique Boites'!H335,"-")</f>
        <v>0</v>
      </c>
      <c r="G337" s="399">
        <f>IFERROR(E337*'01 Prod Physique Boites'!L335,"-")</f>
        <v>0</v>
      </c>
      <c r="H337" s="379">
        <v>445.38</v>
      </c>
      <c r="I337" s="415">
        <f>IFERROR(H337*(F337/E337),"-")</f>
        <v>0</v>
      </c>
      <c r="J337" s="416">
        <f t="shared" ref="J337:J339" si="182">IFERROR(H337*(G337/E337),"-")</f>
        <v>0</v>
      </c>
    </row>
    <row r="338" spans="1:10" ht="24" x14ac:dyDescent="0.25">
      <c r="A338" s="274" t="s">
        <v>102</v>
      </c>
      <c r="B338" s="843"/>
      <c r="C338" s="311" t="s">
        <v>246</v>
      </c>
      <c r="D338" s="311"/>
      <c r="E338" s="499">
        <v>246.51390000000001</v>
      </c>
      <c r="F338" s="398">
        <f>IFERROR(E338*'01 Prod Physique Boites'!H336,"-")</f>
        <v>0</v>
      </c>
      <c r="G338" s="399">
        <f>IFERROR(E338*'01 Prod Physique Boites'!L336,"-")</f>
        <v>0</v>
      </c>
      <c r="H338" s="382">
        <v>430.02</v>
      </c>
      <c r="I338" s="417">
        <f>IFERROR(H338*(F338/E338),"-")</f>
        <v>0</v>
      </c>
      <c r="J338" s="418">
        <f t="shared" si="182"/>
        <v>0</v>
      </c>
    </row>
    <row r="339" spans="1:10" ht="24.75" thickBot="1" x14ac:dyDescent="0.3">
      <c r="A339" s="274" t="s">
        <v>102</v>
      </c>
      <c r="B339" s="844"/>
      <c r="C339" s="312" t="s">
        <v>33</v>
      </c>
      <c r="D339" s="312"/>
      <c r="E339" s="496">
        <v>225.7713</v>
      </c>
      <c r="F339" s="398">
        <f>IFERROR(E339*'01 Prod Physique Boites'!H337,"-")</f>
        <v>0</v>
      </c>
      <c r="G339" s="399">
        <f>IFERROR(E339*'01 Prod Physique Boites'!L337,"-")</f>
        <v>0</v>
      </c>
      <c r="H339" s="384"/>
      <c r="I339" s="419">
        <f>IFERROR(H339*(F339/E339),"-")</f>
        <v>0</v>
      </c>
      <c r="J339" s="420">
        <f t="shared" si="182"/>
        <v>0</v>
      </c>
    </row>
    <row r="340" spans="1:10" ht="23.25" thickBot="1" x14ac:dyDescent="0.3">
      <c r="A340" s="274" t="s">
        <v>102</v>
      </c>
      <c r="B340" s="845" t="s">
        <v>34</v>
      </c>
      <c r="C340" s="846"/>
      <c r="D340" s="847"/>
      <c r="E340" s="386"/>
      <c r="F340" s="402">
        <f t="shared" ref="F340:G340" si="183">SUM(F337:F339)</f>
        <v>0</v>
      </c>
      <c r="G340" s="403">
        <f t="shared" si="183"/>
        <v>0</v>
      </c>
      <c r="H340" s="387"/>
      <c r="I340" s="402">
        <f t="shared" ref="I340:J340" si="184">SUM(I337:I339)</f>
        <v>0</v>
      </c>
      <c r="J340" s="421">
        <f t="shared" si="184"/>
        <v>0</v>
      </c>
    </row>
    <row r="341" spans="1:10" ht="24" x14ac:dyDescent="0.25">
      <c r="A341" s="274" t="s">
        <v>102</v>
      </c>
      <c r="B341" s="842" t="s">
        <v>35</v>
      </c>
      <c r="C341" s="310" t="s">
        <v>113</v>
      </c>
      <c r="D341" s="310"/>
      <c r="E341" s="498">
        <v>254.89750000000001</v>
      </c>
      <c r="F341" s="398">
        <f>IFERROR(E341*'01 Prod Physique Boites'!H339,"-")</f>
        <v>0</v>
      </c>
      <c r="G341" s="399">
        <f>IFERROR(E341*'01 Prod Physique Boites'!L339,"-")</f>
        <v>0</v>
      </c>
      <c r="H341" s="379">
        <v>445.38</v>
      </c>
      <c r="I341" s="415">
        <f>IFERROR(H341*(F341/E341),"-")</f>
        <v>0</v>
      </c>
      <c r="J341" s="416">
        <f t="shared" ref="J341:J344" si="185">IFERROR(H341*(G341/E341),"-")</f>
        <v>0</v>
      </c>
    </row>
    <row r="342" spans="1:10" ht="24" x14ac:dyDescent="0.25">
      <c r="A342" s="274" t="s">
        <v>102</v>
      </c>
      <c r="B342" s="843"/>
      <c r="C342" s="311" t="s">
        <v>246</v>
      </c>
      <c r="D342" s="311"/>
      <c r="E342" s="499">
        <v>246.51390000000001</v>
      </c>
      <c r="F342" s="398">
        <f>IFERROR(E342*'01 Prod Physique Boites'!H340,"-")</f>
        <v>0</v>
      </c>
      <c r="G342" s="399">
        <f>IFERROR(E342*'01 Prod Physique Boites'!L340,"-")</f>
        <v>0</v>
      </c>
      <c r="H342" s="382">
        <v>430.02</v>
      </c>
      <c r="I342" s="417">
        <f>IFERROR(H342*(F342/E342),"-")</f>
        <v>0</v>
      </c>
      <c r="J342" s="418">
        <f t="shared" si="185"/>
        <v>0</v>
      </c>
    </row>
    <row r="343" spans="1:10" ht="24" x14ac:dyDescent="0.25">
      <c r="A343" s="274" t="s">
        <v>102</v>
      </c>
      <c r="B343" s="843"/>
      <c r="C343" s="311" t="s">
        <v>184</v>
      </c>
      <c r="D343" s="311" t="s">
        <v>183</v>
      </c>
      <c r="E343" s="499">
        <v>254.89750000000001</v>
      </c>
      <c r="F343" s="398">
        <f>IFERROR(E343*'01 Prod Physique Boites'!H341,"-")</f>
        <v>0</v>
      </c>
      <c r="G343" s="399">
        <f>IFERROR(E343*'01 Prod Physique Boites'!L341,"-")</f>
        <v>0</v>
      </c>
      <c r="H343" s="382"/>
      <c r="I343" s="417">
        <f>IFERROR(H343*(F343/E343),"-")</f>
        <v>0</v>
      </c>
      <c r="J343" s="418">
        <f t="shared" si="185"/>
        <v>0</v>
      </c>
    </row>
    <row r="344" spans="1:10" ht="24.75" thickBot="1" x14ac:dyDescent="0.3">
      <c r="A344" s="274" t="s">
        <v>102</v>
      </c>
      <c r="B344" s="844"/>
      <c r="C344" s="312" t="s">
        <v>36</v>
      </c>
      <c r="D344" s="312"/>
      <c r="E344" s="496">
        <v>229.99359999999999</v>
      </c>
      <c r="F344" s="398">
        <f>IFERROR(E344*'01 Prod Physique Boites'!H342,"-")</f>
        <v>0</v>
      </c>
      <c r="G344" s="399">
        <f>IFERROR(E344*'01 Prod Physique Boites'!L342,"-")</f>
        <v>0</v>
      </c>
      <c r="H344" s="384"/>
      <c r="I344" s="419">
        <f>IFERROR(H344*(F344/E344),"-")</f>
        <v>0</v>
      </c>
      <c r="J344" s="420">
        <f t="shared" si="185"/>
        <v>0</v>
      </c>
    </row>
    <row r="345" spans="1:10" ht="23.25" thickBot="1" x14ac:dyDescent="0.3">
      <c r="A345" s="274" t="s">
        <v>102</v>
      </c>
      <c r="B345" s="845" t="s">
        <v>37</v>
      </c>
      <c r="C345" s="846"/>
      <c r="D345" s="847"/>
      <c r="E345" s="386"/>
      <c r="F345" s="402">
        <f t="shared" ref="F345:G345" si="186">SUM(F341:F344)</f>
        <v>0</v>
      </c>
      <c r="G345" s="403">
        <f t="shared" si="186"/>
        <v>0</v>
      </c>
      <c r="H345" s="387"/>
      <c r="I345" s="402">
        <f>SUM(I341:I344)</f>
        <v>0</v>
      </c>
      <c r="J345" s="421">
        <f>SUM(J341:J344)</f>
        <v>0</v>
      </c>
    </row>
    <row r="346" spans="1:10" ht="24" x14ac:dyDescent="0.25">
      <c r="A346" s="274" t="s">
        <v>102</v>
      </c>
      <c r="B346" s="842" t="s">
        <v>400</v>
      </c>
      <c r="C346" s="313" t="s">
        <v>116</v>
      </c>
      <c r="D346" s="313"/>
      <c r="E346" s="498">
        <v>195.2808</v>
      </c>
      <c r="F346" s="398">
        <f>IFERROR(E346*'01 Prod Physique Boites'!H344,"-")</f>
        <v>0</v>
      </c>
      <c r="G346" s="399">
        <f>IFERROR(E346*'01 Prod Physique Boites'!L344,"-")</f>
        <v>0</v>
      </c>
      <c r="H346" s="642">
        <v>256.7</v>
      </c>
      <c r="I346" s="415">
        <f>IFERROR(H346*(F346/E346),"-")</f>
        <v>0</v>
      </c>
      <c r="J346" s="416">
        <f t="shared" ref="J346:J347" si="187">IFERROR(H346*(G346/E346),"-")</f>
        <v>0</v>
      </c>
    </row>
    <row r="347" spans="1:10" ht="24.75" thickBot="1" x14ac:dyDescent="0.3">
      <c r="A347" s="274" t="s">
        <v>102</v>
      </c>
      <c r="B347" s="844"/>
      <c r="C347" s="285" t="s">
        <v>132</v>
      </c>
      <c r="D347" s="285"/>
      <c r="E347" s="496">
        <v>189.91890000000001</v>
      </c>
      <c r="F347" s="398">
        <f>IFERROR(E347*'01 Prod Physique Boites'!H345,"-")</f>
        <v>0</v>
      </c>
      <c r="G347" s="399">
        <f>IFERROR(E347*'01 Prod Physique Boites'!L345,"-")</f>
        <v>0</v>
      </c>
      <c r="H347" s="384">
        <v>320.35000000000002</v>
      </c>
      <c r="I347" s="419">
        <f>IFERROR(H347*(F347/E347),"-")</f>
        <v>0</v>
      </c>
      <c r="J347" s="420">
        <f t="shared" si="187"/>
        <v>0</v>
      </c>
    </row>
    <row r="348" spans="1:10" ht="23.25" thickBot="1" x14ac:dyDescent="0.3">
      <c r="A348" s="805" t="s">
        <v>102</v>
      </c>
      <c r="B348" s="845" t="s">
        <v>38</v>
      </c>
      <c r="C348" s="846"/>
      <c r="D348" s="847"/>
      <c r="E348" s="386"/>
      <c r="F348" s="402">
        <f>SUM(F346:F347)</f>
        <v>0</v>
      </c>
      <c r="G348" s="403">
        <f t="shared" ref="G348" si="188">SUM(G346:G347)</f>
        <v>0</v>
      </c>
      <c r="H348" s="387"/>
      <c r="I348" s="402">
        <f t="shared" ref="I348:J348" si="189">SUM(I346:I347)</f>
        <v>0</v>
      </c>
      <c r="J348" s="421">
        <f t="shared" si="189"/>
        <v>0</v>
      </c>
    </row>
    <row r="349" spans="1:10" ht="24" x14ac:dyDescent="0.25">
      <c r="A349" s="274" t="s">
        <v>102</v>
      </c>
      <c r="B349" s="842" t="s">
        <v>401</v>
      </c>
      <c r="C349" s="269" t="s">
        <v>305</v>
      </c>
      <c r="D349" s="269" t="s">
        <v>237</v>
      </c>
      <c r="E349" s="500">
        <v>37.248699999999999</v>
      </c>
      <c r="F349" s="398">
        <f>IFERROR(E349*'01 Prod Physique Boites'!H347,"-")</f>
        <v>4096165.0416000001</v>
      </c>
      <c r="G349" s="399">
        <f>IFERROR(E349*'01 Prod Physique Boites'!L347,"-")</f>
        <v>4346476.3055999996</v>
      </c>
      <c r="H349" s="379">
        <v>71.44</v>
      </c>
      <c r="I349" s="415">
        <f>IFERROR(H349*(F349/E349),"-")</f>
        <v>7856113.9199999999</v>
      </c>
      <c r="J349" s="416">
        <f>IFERROR(H349*(G349/E349),"-")</f>
        <v>8336190.7199999988</v>
      </c>
    </row>
    <row r="350" spans="1:10" ht="24" x14ac:dyDescent="0.25">
      <c r="A350" s="274" t="s">
        <v>102</v>
      </c>
      <c r="B350" s="843"/>
      <c r="C350" s="269" t="s">
        <v>156</v>
      </c>
      <c r="D350" s="275"/>
      <c r="E350" s="500">
        <v>37.248699999999999</v>
      </c>
      <c r="F350" s="398">
        <f>IFERROR(E350*'01 Prod Physique Boites'!H348,"-")</f>
        <v>0</v>
      </c>
      <c r="G350" s="399">
        <f>IFERROR(E350*'01 Prod Physique Boites'!L348,"-")</f>
        <v>0</v>
      </c>
      <c r="H350" s="382"/>
      <c r="I350" s="417">
        <f>IFERROR(H350*(F350/E350),"-")</f>
        <v>0</v>
      </c>
      <c r="J350" s="418">
        <f t="shared" ref="J350:J352" si="190">IFERROR(H350*(G350/E350),"-")</f>
        <v>0</v>
      </c>
    </row>
    <row r="351" spans="1:10" ht="24" x14ac:dyDescent="0.25">
      <c r="A351" s="274" t="s">
        <v>102</v>
      </c>
      <c r="B351" s="843"/>
      <c r="C351" s="275" t="s">
        <v>343</v>
      </c>
      <c r="D351" s="269" t="s">
        <v>237</v>
      </c>
      <c r="E351" s="500">
        <v>37.248699999999999</v>
      </c>
      <c r="F351" s="398">
        <f>IFERROR(E351*'01 Prod Physique Boites'!H349,"-")</f>
        <v>0</v>
      </c>
      <c r="G351" s="399">
        <f>IFERROR(E351*'01 Prod Physique Boites'!L349,"-")</f>
        <v>1500973.6151999999</v>
      </c>
      <c r="H351" s="382">
        <v>71.44</v>
      </c>
      <c r="I351" s="417">
        <f>IFERROR(H351*(F351/E351),"-")</f>
        <v>0</v>
      </c>
      <c r="J351" s="418">
        <f t="shared" si="190"/>
        <v>2878746.2399999998</v>
      </c>
    </row>
    <row r="352" spans="1:10" ht="24.75" thickBot="1" x14ac:dyDescent="0.3">
      <c r="A352" s="274" t="s">
        <v>102</v>
      </c>
      <c r="B352" s="843"/>
      <c r="C352" s="275" t="s">
        <v>157</v>
      </c>
      <c r="D352" s="275"/>
      <c r="E352" s="501">
        <v>38.466099999999997</v>
      </c>
      <c r="F352" s="398">
        <f>IFERROR(E352*'01 Prod Physique Boites'!H350,"-")</f>
        <v>0</v>
      </c>
      <c r="G352" s="399">
        <f>IFERROR(E352*'01 Prod Physique Boites'!L350,"-")</f>
        <v>0</v>
      </c>
      <c r="H352" s="382"/>
      <c r="I352" s="417">
        <f>IFERROR(H352*(F352/E352),"-")</f>
        <v>0</v>
      </c>
      <c r="J352" s="418">
        <f t="shared" si="190"/>
        <v>0</v>
      </c>
    </row>
    <row r="353" spans="1:10" ht="23.25" thickBot="1" x14ac:dyDescent="0.3">
      <c r="A353" s="274" t="s">
        <v>102</v>
      </c>
      <c r="B353" s="845" t="s">
        <v>39</v>
      </c>
      <c r="C353" s="846"/>
      <c r="D353" s="847"/>
      <c r="E353" s="386"/>
      <c r="F353" s="402">
        <f>SUM(F349:F352)</f>
        <v>4096165.0416000001</v>
      </c>
      <c r="G353" s="403">
        <f>SUM(G349:G352)</f>
        <v>5847449.9207999995</v>
      </c>
      <c r="H353" s="387"/>
      <c r="I353" s="402">
        <f>SUM(I349:I352)</f>
        <v>7856113.9199999999</v>
      </c>
      <c r="J353" s="402">
        <f>SUM(J349:J352)</f>
        <v>11214936.959999999</v>
      </c>
    </row>
    <row r="354" spans="1:10" ht="24" x14ac:dyDescent="0.25">
      <c r="A354" s="274" t="s">
        <v>102</v>
      </c>
      <c r="B354" s="842" t="s">
        <v>40</v>
      </c>
      <c r="C354" s="269" t="s">
        <v>186</v>
      </c>
      <c r="D354" s="269" t="s">
        <v>183</v>
      </c>
      <c r="E354" s="500">
        <v>30.7499</v>
      </c>
      <c r="F354" s="398">
        <f>IFERROR(E354*'01 Prod Physique Boites'!H353,"-")</f>
        <v>0</v>
      </c>
      <c r="G354" s="399">
        <f>IFERROR(E354*'01 Prod Physique Boites'!L353,"-")</f>
        <v>0</v>
      </c>
      <c r="H354" s="379"/>
      <c r="I354" s="415">
        <f>IFERROR(H354*(F354/E354),"-")</f>
        <v>0</v>
      </c>
      <c r="J354" s="416">
        <f>IFERROR(H354*(G354/E354),"-")</f>
        <v>0</v>
      </c>
    </row>
    <row r="355" spans="1:10" ht="24" x14ac:dyDescent="0.25">
      <c r="A355" s="274" t="s">
        <v>102</v>
      </c>
      <c r="B355" s="843"/>
      <c r="C355" s="275" t="s">
        <v>159</v>
      </c>
      <c r="D355" s="275"/>
      <c r="E355" s="645">
        <v>25.139099999999999</v>
      </c>
      <c r="F355" s="398">
        <f>IFERROR(E355*'01 Prod Physique Boites'!H354,"-")</f>
        <v>0</v>
      </c>
      <c r="G355" s="399">
        <f>IFERROR(E355*'01 Prod Physique Boites'!L353,"-")</f>
        <v>0</v>
      </c>
      <c r="H355" s="382">
        <v>59.96</v>
      </c>
      <c r="I355" s="417">
        <f>IFERROR(H355*(F355/E355),"-")</f>
        <v>0</v>
      </c>
      <c r="J355" s="418">
        <f t="shared" ref="J355:J356" si="191">IFERROR(H355*(G355/E355),"-")</f>
        <v>0</v>
      </c>
    </row>
    <row r="356" spans="1:10" ht="24.75" thickBot="1" x14ac:dyDescent="0.3">
      <c r="A356" s="274" t="s">
        <v>102</v>
      </c>
      <c r="B356" s="844"/>
      <c r="C356" s="279" t="s">
        <v>186</v>
      </c>
      <c r="D356" s="279" t="s">
        <v>185</v>
      </c>
      <c r="E356" s="497">
        <v>30.073599999999999</v>
      </c>
      <c r="F356" s="398">
        <f>IFERROR(E356*'01 Prod Physique Boites'!H355,"-")</f>
        <v>0</v>
      </c>
      <c r="G356" s="399">
        <f>IFERROR(E356*'01 Prod Physique Boites'!L354,"-")</f>
        <v>0</v>
      </c>
      <c r="H356" s="384"/>
      <c r="I356" s="419">
        <f>IFERROR(H356*(F356/E356),"-")</f>
        <v>0</v>
      </c>
      <c r="J356" s="420">
        <f t="shared" si="191"/>
        <v>0</v>
      </c>
    </row>
    <row r="357" spans="1:10" ht="23.25" thickBot="1" x14ac:dyDescent="0.3">
      <c r="A357" s="274" t="s">
        <v>102</v>
      </c>
      <c r="B357" s="862" t="s">
        <v>41</v>
      </c>
      <c r="C357" s="863"/>
      <c r="D357" s="864"/>
      <c r="E357" s="386"/>
      <c r="F357" s="402">
        <f t="shared" ref="F357:G357" si="192">SUM(F354:F356)</f>
        <v>0</v>
      </c>
      <c r="G357" s="403">
        <f t="shared" si="192"/>
        <v>0</v>
      </c>
      <c r="H357" s="387"/>
      <c r="I357" s="402">
        <f t="shared" ref="I357:J357" si="193">SUM(I354:I356)</f>
        <v>0</v>
      </c>
      <c r="J357" s="421">
        <f t="shared" si="193"/>
        <v>0</v>
      </c>
    </row>
    <row r="358" spans="1:10" ht="24" x14ac:dyDescent="0.25">
      <c r="A358" s="274" t="s">
        <v>102</v>
      </c>
      <c r="B358" s="842" t="s">
        <v>42</v>
      </c>
      <c r="C358" s="269" t="s">
        <v>160</v>
      </c>
      <c r="D358" s="269"/>
      <c r="E358" s="500">
        <v>36.684899999999999</v>
      </c>
      <c r="F358" s="398">
        <f>IFERROR(E358*'01 Prod Physique Boites'!H357,"-")</f>
        <v>0</v>
      </c>
      <c r="G358" s="399">
        <f>IFERROR(E358*'01 Prod Physique Boites'!L357,"-")</f>
        <v>657393.40799999994</v>
      </c>
      <c r="H358" s="379">
        <v>42</v>
      </c>
      <c r="I358" s="415">
        <f t="shared" ref="I358:I359" si="194">IFERROR(H358*(F358/E358),"-")</f>
        <v>0</v>
      </c>
      <c r="J358" s="380">
        <f t="shared" ref="J358:J359" si="195">IFERROR(H358*(G358/E358),"-")</f>
        <v>752640</v>
      </c>
    </row>
    <row r="359" spans="1:10" ht="24.75" thickBot="1" x14ac:dyDescent="0.3">
      <c r="A359" s="274" t="s">
        <v>102</v>
      </c>
      <c r="B359" s="844"/>
      <c r="C359" s="279" t="s">
        <v>161</v>
      </c>
      <c r="D359" s="279"/>
      <c r="E359" s="497">
        <v>37.002800000000001</v>
      </c>
      <c r="F359" s="398">
        <f>IFERROR(E359*'01 Prod Physique Boites'!H358,"-")</f>
        <v>0</v>
      </c>
      <c r="G359" s="399">
        <f>IFERROR(E359*'01 Prod Physique Boites'!L358,"-")</f>
        <v>0</v>
      </c>
      <c r="H359" s="384">
        <v>45.5</v>
      </c>
      <c r="I359" s="415">
        <f t="shared" si="194"/>
        <v>0</v>
      </c>
      <c r="J359" s="385">
        <f t="shared" si="195"/>
        <v>0</v>
      </c>
    </row>
    <row r="360" spans="1:10" ht="23.25" thickBot="1" x14ac:dyDescent="0.3">
      <c r="A360" s="274" t="s">
        <v>102</v>
      </c>
      <c r="B360" s="862" t="s">
        <v>43</v>
      </c>
      <c r="C360" s="863"/>
      <c r="D360" s="864"/>
      <c r="E360" s="386"/>
      <c r="F360" s="398">
        <f>SUM(F358:F359)</f>
        <v>0</v>
      </c>
      <c r="G360" s="398">
        <f>SUM(G358:G359)</f>
        <v>657393.40799999994</v>
      </c>
      <c r="H360" s="387"/>
      <c r="I360" s="402">
        <f t="shared" ref="I360:J360" si="196">SUM(I358:I359)</f>
        <v>0</v>
      </c>
      <c r="J360" s="421">
        <f t="shared" si="196"/>
        <v>752640</v>
      </c>
    </row>
    <row r="361" spans="1:10" ht="23.25" thickBot="1" x14ac:dyDescent="0.3">
      <c r="A361" s="274" t="s">
        <v>102</v>
      </c>
      <c r="B361" s="856" t="s">
        <v>25</v>
      </c>
      <c r="C361" s="857"/>
      <c r="D361" s="858"/>
      <c r="E361" s="389"/>
      <c r="F361" s="406">
        <f>+F340+F345+F348+F353+F357+F360</f>
        <v>4096165.0416000001</v>
      </c>
      <c r="G361" s="407">
        <f>+G340+G345+G348+G353+G357+G360</f>
        <v>6504843.3287999993</v>
      </c>
      <c r="H361" s="390"/>
      <c r="I361" s="406">
        <f>+I340+I345+I348+I353+I357+I360</f>
        <v>7856113.9199999999</v>
      </c>
      <c r="J361" s="424">
        <f>+J340+J345+J348+J353+J357+J360</f>
        <v>11967576.959999999</v>
      </c>
    </row>
    <row r="362" spans="1:10" ht="23.25" thickBot="1" x14ac:dyDescent="0.3">
      <c r="A362" s="317" t="s">
        <v>102</v>
      </c>
      <c r="B362" s="840" t="s">
        <v>173</v>
      </c>
      <c r="C362" s="840"/>
      <c r="D362" s="841"/>
      <c r="E362" s="391"/>
      <c r="F362" s="408">
        <f t="shared" ref="F362:G362" si="197">+F361</f>
        <v>4096165.0416000001</v>
      </c>
      <c r="G362" s="409">
        <f t="shared" si="197"/>
        <v>6504843.3287999993</v>
      </c>
      <c r="H362" s="392"/>
      <c r="I362" s="408">
        <f t="shared" ref="I362" si="198">+I361</f>
        <v>7856113.9199999999</v>
      </c>
      <c r="J362" s="425">
        <f>+J361</f>
        <v>11967576.959999999</v>
      </c>
    </row>
    <row r="363" spans="1:10" ht="26.25" thickBot="1" x14ac:dyDescent="0.3">
      <c r="A363" s="318"/>
      <c r="B363" s="859" t="s">
        <v>174</v>
      </c>
      <c r="C363" s="860"/>
      <c r="D363" s="861"/>
      <c r="E363" s="397"/>
      <c r="F363" s="414">
        <f>+F301+F336+F362</f>
        <v>11842456.9131</v>
      </c>
      <c r="G363" s="414">
        <f>+G301+G336+G362</f>
        <v>19838610.300000001</v>
      </c>
      <c r="H363" s="397"/>
      <c r="I363" s="414">
        <f>+I301+I336+I362</f>
        <v>19346775.93</v>
      </c>
      <c r="J363" s="428">
        <f>+J301+J336+J362</f>
        <v>30255997.899999999</v>
      </c>
    </row>
    <row r="364" spans="1:10" ht="24.6" customHeight="1" thickBot="1" x14ac:dyDescent="0.3">
      <c r="A364" s="230"/>
      <c r="B364" s="230"/>
      <c r="C364" s="230"/>
      <c r="D364" s="230"/>
      <c r="E364" s="376"/>
      <c r="F364" s="376"/>
      <c r="G364" s="376"/>
      <c r="H364" s="376"/>
      <c r="I364" s="376"/>
      <c r="J364" s="376"/>
    </row>
    <row r="365" spans="1:10" ht="22.5" x14ac:dyDescent="0.25">
      <c r="A365" s="881" t="s">
        <v>1</v>
      </c>
      <c r="B365" s="884" t="s">
        <v>2</v>
      </c>
      <c r="C365" s="887" t="s">
        <v>394</v>
      </c>
      <c r="D365" s="887" t="s">
        <v>395</v>
      </c>
      <c r="E365" s="909" t="s">
        <v>403</v>
      </c>
      <c r="F365" s="910"/>
      <c r="G365" s="910"/>
      <c r="H365" s="438"/>
      <c r="I365" s="438"/>
      <c r="J365" s="439"/>
    </row>
    <row r="366" spans="1:10" ht="22.5" x14ac:dyDescent="0.25">
      <c r="A366" s="882"/>
      <c r="B366" s="885"/>
      <c r="C366" s="888"/>
      <c r="D366" s="888"/>
      <c r="E366" s="911" t="s">
        <v>406</v>
      </c>
      <c r="F366" s="912"/>
      <c r="G366" s="913"/>
      <c r="H366" s="911" t="s">
        <v>168</v>
      </c>
      <c r="I366" s="912"/>
      <c r="J366" s="913"/>
    </row>
    <row r="367" spans="1:10" ht="45" x14ac:dyDescent="0.25">
      <c r="A367" s="883"/>
      <c r="B367" s="907"/>
      <c r="C367" s="908"/>
      <c r="D367" s="908"/>
      <c r="E367" s="377" t="s">
        <v>170</v>
      </c>
      <c r="F367" s="814" t="s">
        <v>405</v>
      </c>
      <c r="G367" s="815" t="s">
        <v>404</v>
      </c>
      <c r="H367" s="914" t="s">
        <v>170</v>
      </c>
      <c r="I367" s="916" t="s">
        <v>137</v>
      </c>
      <c r="J367" s="918" t="s">
        <v>404</v>
      </c>
    </row>
    <row r="368" spans="1:10" ht="23.25" thickBot="1" x14ac:dyDescent="0.3">
      <c r="A368" s="883"/>
      <c r="B368" s="886"/>
      <c r="C368" s="889"/>
      <c r="D368" s="889"/>
      <c r="E368" s="920" t="s">
        <v>520</v>
      </c>
      <c r="F368" s="921"/>
      <c r="G368" s="922"/>
      <c r="H368" s="915"/>
      <c r="I368" s="917"/>
      <c r="J368" s="919"/>
    </row>
    <row r="369" spans="1:15" ht="24" x14ac:dyDescent="0.25">
      <c r="A369" s="268" t="s">
        <v>103</v>
      </c>
      <c r="B369" s="867" t="s">
        <v>16</v>
      </c>
      <c r="C369" s="269" t="s">
        <v>366</v>
      </c>
      <c r="D369" s="269" t="s">
        <v>367</v>
      </c>
      <c r="E369" s="665">
        <v>81.360699999999994</v>
      </c>
      <c r="F369" s="398">
        <f>IFERROR(E369*'01 Prod Physique Boites'!H367,"-")</f>
        <v>0</v>
      </c>
      <c r="G369" s="398">
        <f>IFERROR(E369*'01 Prod Physique Boites'!L367,"-")</f>
        <v>0</v>
      </c>
      <c r="H369" s="666">
        <v>143.28</v>
      </c>
      <c r="I369" s="415">
        <f>IFERROR(H369*(F369/E369),"-")</f>
        <v>0</v>
      </c>
      <c r="J369" s="416">
        <f t="shared" ref="J369:J371" si="199">IFERROR(H369*(G369/E369),"-")</f>
        <v>0</v>
      </c>
    </row>
    <row r="370" spans="1:15" ht="24" x14ac:dyDescent="0.25">
      <c r="A370" s="673"/>
      <c r="B370" s="868"/>
      <c r="C370" s="275" t="s">
        <v>464</v>
      </c>
      <c r="D370" s="275" t="s">
        <v>373</v>
      </c>
      <c r="E370" s="501">
        <v>81.360699999999994</v>
      </c>
      <c r="F370" s="398">
        <f>IFERROR(E370*'01 Prod Physique Boites'!H368,"-")</f>
        <v>0</v>
      </c>
      <c r="G370" s="398">
        <f>IFERROR(E370*'01 Prod Physique Boites'!L368,"-")</f>
        <v>0</v>
      </c>
      <c r="H370" s="668">
        <v>143.28</v>
      </c>
      <c r="I370" s="415">
        <f>IFERROR(H370*(F370/E370),"-")</f>
        <v>0</v>
      </c>
      <c r="J370" s="416">
        <f t="shared" si="199"/>
        <v>0</v>
      </c>
    </row>
    <row r="371" spans="1:15" ht="24" x14ac:dyDescent="0.25">
      <c r="A371" s="274" t="s">
        <v>103</v>
      </c>
      <c r="B371" s="868"/>
      <c r="C371" s="275" t="s">
        <v>427</v>
      </c>
      <c r="D371" s="275" t="s">
        <v>382</v>
      </c>
      <c r="E371" s="645">
        <v>77.170400000000001</v>
      </c>
      <c r="F371" s="398">
        <f>IFERROR(E371*'01 Prod Physique Boites'!H369,"-")</f>
        <v>543279.61600000004</v>
      </c>
      <c r="G371" s="646">
        <f>IFERROR(E371*'01 Prod Physique Boites'!L369,"-")</f>
        <v>864308.48</v>
      </c>
      <c r="H371" s="382">
        <v>0</v>
      </c>
      <c r="I371" s="415">
        <f>IFERROR(H371*(F371/E371),"-")</f>
        <v>0</v>
      </c>
      <c r="J371" s="416">
        <f t="shared" si="199"/>
        <v>0</v>
      </c>
    </row>
    <row r="372" spans="1:15" ht="24.75" thickBot="1" x14ac:dyDescent="0.3">
      <c r="A372" s="274" t="s">
        <v>103</v>
      </c>
      <c r="B372" s="869"/>
      <c r="C372" s="279" t="s">
        <v>261</v>
      </c>
      <c r="D372" s="279" t="s">
        <v>230</v>
      </c>
      <c r="E372" s="497">
        <v>60.703499999999998</v>
      </c>
      <c r="F372" s="398">
        <f>IFERROR(E372*'01 Prod Physique Boites'!H370,"-")</f>
        <v>0</v>
      </c>
      <c r="G372" s="398">
        <f>IFERROR(E372*'01 Prod Physique Boites'!L370,"-")</f>
        <v>0</v>
      </c>
      <c r="H372" s="384">
        <v>111.09</v>
      </c>
      <c r="I372" s="415">
        <f>IFERROR(H372*(F372/E372),"-")</f>
        <v>0</v>
      </c>
      <c r="J372" s="416">
        <f>IFERROR(H372*(G372/E372),"-")</f>
        <v>0</v>
      </c>
    </row>
    <row r="373" spans="1:15" ht="23.25" thickBot="1" x14ac:dyDescent="0.3">
      <c r="A373" s="274" t="s">
        <v>103</v>
      </c>
      <c r="B373" s="845" t="s">
        <v>44</v>
      </c>
      <c r="C373" s="846"/>
      <c r="D373" s="847"/>
      <c r="E373" s="386"/>
      <c r="F373" s="402">
        <f t="shared" ref="F373" si="200">SUM(F369:F372)</f>
        <v>543279.61600000004</v>
      </c>
      <c r="G373" s="403">
        <f>SUM(G369:G372)</f>
        <v>864308.48</v>
      </c>
      <c r="H373" s="387"/>
      <c r="I373" s="402">
        <f t="shared" ref="I373:J373" si="201">SUM(I369:I372)</f>
        <v>0</v>
      </c>
      <c r="J373" s="421">
        <f t="shared" si="201"/>
        <v>0</v>
      </c>
      <c r="K373" s="664"/>
      <c r="L373" s="664"/>
      <c r="M373" s="664"/>
      <c r="N373" s="664"/>
      <c r="O373" s="664"/>
    </row>
    <row r="374" spans="1:15" ht="24" x14ac:dyDescent="0.25">
      <c r="A374" s="274" t="s">
        <v>103</v>
      </c>
      <c r="B374" s="867" t="s">
        <v>17</v>
      </c>
      <c r="C374" s="269" t="s">
        <v>293</v>
      </c>
      <c r="D374" s="269"/>
      <c r="E374" s="500">
        <v>12.5275</v>
      </c>
      <c r="F374" s="398">
        <f>IFERROR(E374*'01 Prod Physique Boites'!H372,"-")</f>
        <v>0</v>
      </c>
      <c r="G374" s="398">
        <f>IFERROR(E374*'01 Prod Physique Boites'!L372,"-")</f>
        <v>0</v>
      </c>
      <c r="H374" s="642">
        <v>18.836400000000001</v>
      </c>
      <c r="I374" s="415">
        <f t="shared" ref="I374:I380" si="202">IFERROR(H374*(F374/E374),"-")</f>
        <v>0</v>
      </c>
      <c r="J374" s="416">
        <f t="shared" ref="J374:J379" si="203">IFERROR(H374*(G374/E374),"-")</f>
        <v>0</v>
      </c>
    </row>
    <row r="375" spans="1:15" ht="24" x14ac:dyDescent="0.25">
      <c r="A375" s="274" t="s">
        <v>103</v>
      </c>
      <c r="B375" s="868"/>
      <c r="C375" s="275" t="s">
        <v>342</v>
      </c>
      <c r="D375" s="275" t="s">
        <v>231</v>
      </c>
      <c r="E375" s="638">
        <v>13.002700000000001</v>
      </c>
      <c r="F375" s="398">
        <f>IFERROR(E375*'01 Prod Physique Boites'!H373,"-")</f>
        <v>0</v>
      </c>
      <c r="G375" s="398">
        <f>IFERROR(E375*'01 Prod Physique Boites'!L373,"-")</f>
        <v>0</v>
      </c>
      <c r="H375" s="382">
        <v>21.18</v>
      </c>
      <c r="I375" s="417">
        <f t="shared" si="202"/>
        <v>0</v>
      </c>
      <c r="J375" s="418">
        <f t="shared" si="203"/>
        <v>0</v>
      </c>
    </row>
    <row r="376" spans="1:15" ht="24" x14ac:dyDescent="0.25">
      <c r="A376" s="274" t="s">
        <v>103</v>
      </c>
      <c r="B376" s="868"/>
      <c r="C376" s="275" t="s">
        <v>349</v>
      </c>
      <c r="D376" s="275" t="s">
        <v>187</v>
      </c>
      <c r="E376" s="638">
        <v>12.9049</v>
      </c>
      <c r="F376" s="398">
        <f>IFERROR(E376*'01 Prod Physique Boites'!H374,"-")</f>
        <v>236933.96399999998</v>
      </c>
      <c r="G376" s="398">
        <f>IFERROR(E376*'01 Prod Physique Boites'!L374,"-")</f>
        <v>1184669.82</v>
      </c>
      <c r="H376" s="382">
        <v>20.5</v>
      </c>
      <c r="I376" s="417">
        <f t="shared" si="202"/>
        <v>376380</v>
      </c>
      <c r="J376" s="418">
        <f t="shared" si="203"/>
        <v>1881900.0000000002</v>
      </c>
    </row>
    <row r="377" spans="1:15" ht="24" x14ac:dyDescent="0.25">
      <c r="A377" s="274" t="s">
        <v>103</v>
      </c>
      <c r="B377" s="868"/>
      <c r="C377" s="275" t="s">
        <v>292</v>
      </c>
      <c r="D377" s="275" t="s">
        <v>188</v>
      </c>
      <c r="E377" s="501">
        <v>13.078200000000001</v>
      </c>
      <c r="F377" s="398">
        <f>IFERROR(E377*'01 Prod Physique Boites'!H375,"-")</f>
        <v>0</v>
      </c>
      <c r="G377" s="398">
        <f>IFERROR(E377*'01 Prod Physique Boites'!L375,"-")</f>
        <v>0</v>
      </c>
      <c r="H377" s="382">
        <v>20.6</v>
      </c>
      <c r="I377" s="417">
        <f t="shared" si="202"/>
        <v>0</v>
      </c>
      <c r="J377" s="418">
        <f t="shared" si="203"/>
        <v>0</v>
      </c>
    </row>
    <row r="378" spans="1:15" ht="24" x14ac:dyDescent="0.25">
      <c r="A378" s="274" t="s">
        <v>103</v>
      </c>
      <c r="B378" s="868"/>
      <c r="C378" s="275" t="s">
        <v>321</v>
      </c>
      <c r="D378" s="275" t="s">
        <v>316</v>
      </c>
      <c r="E378" s="501">
        <v>13.1958</v>
      </c>
      <c r="F378" s="398">
        <f>IFERROR(E378*'01 Prod Physique Boites'!H376,"-")</f>
        <v>0</v>
      </c>
      <c r="G378" s="398">
        <f>IFERROR(E378*'01 Prod Physique Boites'!L376,"-")</f>
        <v>0</v>
      </c>
      <c r="H378" s="382">
        <v>21.28</v>
      </c>
      <c r="I378" s="417">
        <f t="shared" si="202"/>
        <v>0</v>
      </c>
      <c r="J378" s="418">
        <f t="shared" si="203"/>
        <v>0</v>
      </c>
    </row>
    <row r="379" spans="1:15" ht="24" x14ac:dyDescent="0.25">
      <c r="A379" s="274">
        <v>1</v>
      </c>
      <c r="B379" s="868"/>
      <c r="C379" s="275" t="s">
        <v>350</v>
      </c>
      <c r="D379" s="275" t="s">
        <v>189</v>
      </c>
      <c r="E379" s="638">
        <v>12.9049</v>
      </c>
      <c r="F379" s="398">
        <f>IFERROR(E379*'01 Prod Physique Boites'!H377,"-")</f>
        <v>0</v>
      </c>
      <c r="G379" s="398">
        <f>IFERROR(E379*'01 Prod Physique Boites'!L377,"-")</f>
        <v>0</v>
      </c>
      <c r="H379" s="629">
        <v>20.5</v>
      </c>
      <c r="I379" s="417">
        <f t="shared" si="202"/>
        <v>0</v>
      </c>
      <c r="J379" s="418">
        <f t="shared" si="203"/>
        <v>0</v>
      </c>
    </row>
    <row r="380" spans="1:15" ht="24.75" thickBot="1" x14ac:dyDescent="0.3">
      <c r="A380" s="274" t="s">
        <v>103</v>
      </c>
      <c r="B380" s="869"/>
      <c r="C380" s="279" t="s">
        <v>339</v>
      </c>
      <c r="D380" s="279" t="s">
        <v>175</v>
      </c>
      <c r="E380" s="497">
        <v>13.6509</v>
      </c>
      <c r="F380" s="398">
        <f>IFERROR(E380*'01 Prod Physique Boites'!H378,"-")</f>
        <v>0</v>
      </c>
      <c r="G380" s="398">
        <f>IFERROR(E380*'01 Prod Physique Boites'!L378,"-")</f>
        <v>0</v>
      </c>
      <c r="H380" s="384">
        <v>21.18</v>
      </c>
      <c r="I380" s="419">
        <f t="shared" si="202"/>
        <v>0</v>
      </c>
      <c r="J380" s="420">
        <f>IFERROR(H380*(G380/E380),"-")</f>
        <v>0</v>
      </c>
    </row>
    <row r="381" spans="1:15" ht="23.25" thickBot="1" x14ac:dyDescent="0.3">
      <c r="A381" s="274" t="s">
        <v>103</v>
      </c>
      <c r="B381" s="845" t="s">
        <v>45</v>
      </c>
      <c r="C381" s="846"/>
      <c r="D381" s="847"/>
      <c r="E381" s="386"/>
      <c r="F381" s="402">
        <f t="shared" ref="F381" si="204">SUM(F374:F380)</f>
        <v>236933.96399999998</v>
      </c>
      <c r="G381" s="403">
        <f>SUM(G374:G380)</f>
        <v>1184669.82</v>
      </c>
      <c r="H381" s="387"/>
      <c r="I381" s="402">
        <f t="shared" ref="I381" si="205">SUM(I374:I380)</f>
        <v>376380</v>
      </c>
      <c r="J381" s="421">
        <f>SUM(J374:J380)</f>
        <v>1881900.0000000002</v>
      </c>
      <c r="K381" s="664"/>
      <c r="L381" s="664"/>
      <c r="M381" s="664"/>
      <c r="N381" s="664"/>
      <c r="O381" s="664"/>
    </row>
    <row r="382" spans="1:15" ht="24" x14ac:dyDescent="0.25">
      <c r="A382" s="274" t="s">
        <v>103</v>
      </c>
      <c r="B382" s="867" t="s">
        <v>18</v>
      </c>
      <c r="C382" s="269" t="s">
        <v>311</v>
      </c>
      <c r="D382" s="269" t="s">
        <v>92</v>
      </c>
      <c r="E382" s="500">
        <v>17.8202</v>
      </c>
      <c r="F382" s="398">
        <f>IFERROR(E382*'01 Prod Physique Boites'!H380,"-")</f>
        <v>0</v>
      </c>
      <c r="G382" s="399">
        <f>IFERROR(E382*'01 Prod Physique Boites'!L380,"-")</f>
        <v>0</v>
      </c>
      <c r="H382" s="379">
        <v>24.93</v>
      </c>
      <c r="I382" s="415">
        <f t="shared" ref="I382:I388" si="206">IFERROR(H382*(F382/E382),"-")</f>
        <v>0</v>
      </c>
      <c r="J382" s="416">
        <f t="shared" ref="J382:J384" si="207">IFERROR(H382*(G382/E382),"-")</f>
        <v>0</v>
      </c>
    </row>
    <row r="383" spans="1:15" ht="24" x14ac:dyDescent="0.25">
      <c r="A383" s="274" t="s">
        <v>103</v>
      </c>
      <c r="B383" s="868"/>
      <c r="C383" s="275" t="s">
        <v>130</v>
      </c>
      <c r="D383" s="275"/>
      <c r="E383" s="501">
        <v>17.8202</v>
      </c>
      <c r="F383" s="398">
        <f>IFERROR(E383*'01 Prod Physique Boites'!H381,"-")</f>
        <v>0</v>
      </c>
      <c r="G383" s="399">
        <f>IFERROR(E383*'01 Prod Physique Boites'!L381,"-")</f>
        <v>0</v>
      </c>
      <c r="H383" s="382">
        <v>0</v>
      </c>
      <c r="I383" s="417">
        <f t="shared" si="206"/>
        <v>0</v>
      </c>
      <c r="J383" s="418">
        <f t="shared" si="207"/>
        <v>0</v>
      </c>
    </row>
    <row r="384" spans="1:15" ht="24" x14ac:dyDescent="0.25">
      <c r="A384" s="274" t="s">
        <v>103</v>
      </c>
      <c r="B384" s="868"/>
      <c r="C384" s="275" t="s">
        <v>115</v>
      </c>
      <c r="D384" s="275"/>
      <c r="E384" s="501">
        <v>16.4071</v>
      </c>
      <c r="F384" s="398">
        <f>IFERROR(E384*'01 Prod Physique Boites'!H382,"-")</f>
        <v>0</v>
      </c>
      <c r="G384" s="399">
        <f>IFERROR(E384*'01 Prod Physique Boites'!L382,"-")</f>
        <v>0</v>
      </c>
      <c r="H384" s="382">
        <v>0</v>
      </c>
      <c r="I384" s="417">
        <f t="shared" si="206"/>
        <v>0</v>
      </c>
      <c r="J384" s="418">
        <f t="shared" si="207"/>
        <v>0</v>
      </c>
    </row>
    <row r="385" spans="1:10" ht="24" x14ac:dyDescent="0.25">
      <c r="A385" s="274" t="s">
        <v>103</v>
      </c>
      <c r="B385" s="868"/>
      <c r="C385" s="275" t="s">
        <v>122</v>
      </c>
      <c r="D385" s="275"/>
      <c r="E385" s="501">
        <v>17.8202</v>
      </c>
      <c r="F385" s="398">
        <f>IFERROR(E385*'01 Prod Physique Boites'!H383,"-")</f>
        <v>0</v>
      </c>
      <c r="G385" s="399">
        <f>IFERROR(E385*'01 Prod Physique Boites'!L383,"-")</f>
        <v>0</v>
      </c>
      <c r="H385" s="382">
        <v>0</v>
      </c>
      <c r="I385" s="417">
        <f t="shared" si="206"/>
        <v>0</v>
      </c>
      <c r="J385" s="418">
        <f>IFERROR(H385*(G385/E385),"-")</f>
        <v>0</v>
      </c>
    </row>
    <row r="386" spans="1:10" ht="24" x14ac:dyDescent="0.25">
      <c r="A386" s="274" t="s">
        <v>103</v>
      </c>
      <c r="B386" s="868"/>
      <c r="C386" s="275" t="s">
        <v>176</v>
      </c>
      <c r="D386" s="275" t="s">
        <v>177</v>
      </c>
      <c r="E386" s="501">
        <v>17.8202</v>
      </c>
      <c r="F386" s="398">
        <f>IFERROR(E386*'01 Prod Physique Boites'!H384,"-")</f>
        <v>0</v>
      </c>
      <c r="G386" s="399">
        <f>IFERROR(E386*'01 Prod Physique Boites'!L384,"-")</f>
        <v>0</v>
      </c>
      <c r="H386" s="382">
        <v>0</v>
      </c>
      <c r="I386" s="417">
        <f t="shared" si="206"/>
        <v>0</v>
      </c>
      <c r="J386" s="418">
        <f t="shared" ref="J386:J388" si="208">IFERROR(H386*(G386/E386),"-")</f>
        <v>0</v>
      </c>
    </row>
    <row r="387" spans="1:10" ht="24" x14ac:dyDescent="0.25">
      <c r="A387" s="274" t="s">
        <v>103</v>
      </c>
      <c r="B387" s="868"/>
      <c r="C387" s="275" t="s">
        <v>179</v>
      </c>
      <c r="D387" s="275" t="s">
        <v>178</v>
      </c>
      <c r="E387" s="501">
        <v>16.7288</v>
      </c>
      <c r="F387" s="398">
        <f>IFERROR(E387*'01 Prod Physique Boites'!H385,"-")</f>
        <v>0</v>
      </c>
      <c r="G387" s="399">
        <f>IFERROR(E387*'01 Prod Physique Boites'!L385,"-")</f>
        <v>0</v>
      </c>
      <c r="H387" s="382">
        <v>0</v>
      </c>
      <c r="I387" s="417">
        <f t="shared" si="206"/>
        <v>0</v>
      </c>
      <c r="J387" s="418">
        <f t="shared" si="208"/>
        <v>0</v>
      </c>
    </row>
    <row r="388" spans="1:10" ht="24.75" thickBot="1" x14ac:dyDescent="0.3">
      <c r="A388" s="274" t="s">
        <v>103</v>
      </c>
      <c r="B388" s="869"/>
      <c r="C388" s="285" t="s">
        <v>180</v>
      </c>
      <c r="D388" s="285" t="s">
        <v>107</v>
      </c>
      <c r="E388" s="497">
        <v>17.8202</v>
      </c>
      <c r="F388" s="398">
        <f>IFERROR(E388*'01 Prod Physique Boites'!H386,"-")</f>
        <v>0</v>
      </c>
      <c r="G388" s="399">
        <f>IFERROR(E388*'01 Prod Physique Boites'!L386,"-")</f>
        <v>0</v>
      </c>
      <c r="H388" s="382">
        <v>0</v>
      </c>
      <c r="I388" s="419">
        <f t="shared" si="206"/>
        <v>0</v>
      </c>
      <c r="J388" s="420">
        <f t="shared" si="208"/>
        <v>0</v>
      </c>
    </row>
    <row r="389" spans="1:10" ht="23.25" thickBot="1" x14ac:dyDescent="0.3">
      <c r="A389" s="274" t="s">
        <v>103</v>
      </c>
      <c r="B389" s="845" t="s">
        <v>29</v>
      </c>
      <c r="C389" s="870"/>
      <c r="D389" s="871"/>
      <c r="E389" s="763"/>
      <c r="F389" s="768">
        <f t="shared" ref="F389:G389" si="209">SUM(F382:F388)</f>
        <v>0</v>
      </c>
      <c r="G389" s="411">
        <f t="shared" si="209"/>
        <v>0</v>
      </c>
      <c r="H389" s="394"/>
      <c r="I389" s="410">
        <f t="shared" ref="I389:J389" si="210">SUM(I382:I388)</f>
        <v>0</v>
      </c>
      <c r="J389" s="426">
        <f t="shared" si="210"/>
        <v>0</v>
      </c>
    </row>
    <row r="390" spans="1:10" ht="24" x14ac:dyDescent="0.25">
      <c r="A390" s="274"/>
      <c r="B390" s="872" t="s">
        <v>19</v>
      </c>
      <c r="C390" s="634" t="s">
        <v>234</v>
      </c>
      <c r="D390" s="734" t="s">
        <v>177</v>
      </c>
      <c r="E390" s="765">
        <v>12.2659</v>
      </c>
      <c r="F390" s="769">
        <f>IFERROR(E390*'01 Prod Physique Boites'!H388,"-")</f>
        <v>0</v>
      </c>
      <c r="G390" s="772">
        <f>IFERROR(E390*'01 Prod Physique Boites'!L388,"-")</f>
        <v>932600.90879999998</v>
      </c>
      <c r="H390" s="775">
        <v>14.79</v>
      </c>
      <c r="I390" s="769">
        <f t="shared" ref="I390:I396" si="211">IFERROR(H390*(F390/E390),"-")</f>
        <v>0</v>
      </c>
      <c r="J390" s="628">
        <f>IFERROR(H390*(G390/E390),"-")</f>
        <v>1124513.28</v>
      </c>
    </row>
    <row r="391" spans="1:10" ht="24" x14ac:dyDescent="0.25">
      <c r="A391" s="274"/>
      <c r="B391" s="873"/>
      <c r="C391" s="727" t="s">
        <v>375</v>
      </c>
      <c r="D391" s="733" t="s">
        <v>421</v>
      </c>
      <c r="E391" s="766">
        <v>12.2659</v>
      </c>
      <c r="F391" s="770">
        <f>IFERROR(E391*'01 Prod Physique Boites'!H389,"-")</f>
        <v>0</v>
      </c>
      <c r="G391" s="773">
        <f>IFERROR(E391*'01 Prod Physique Boites'!L389,"-")</f>
        <v>0</v>
      </c>
      <c r="H391" s="776">
        <v>14.55</v>
      </c>
      <c r="I391" s="770">
        <f t="shared" si="211"/>
        <v>0</v>
      </c>
      <c r="J391" s="622">
        <f t="shared" ref="J391:J396" si="212">IFERROR(H391*(G391/E391),"-")</f>
        <v>0</v>
      </c>
    </row>
    <row r="392" spans="1:10" ht="24" x14ac:dyDescent="0.25">
      <c r="A392" s="274"/>
      <c r="B392" s="873"/>
      <c r="C392" s="727" t="s">
        <v>234</v>
      </c>
      <c r="D392" s="733" t="s">
        <v>476</v>
      </c>
      <c r="E392" s="766">
        <v>12.2659</v>
      </c>
      <c r="F392" s="770">
        <f>IFERROR(E392*'01 Prod Physique Boites'!H390,"-")</f>
        <v>0</v>
      </c>
      <c r="G392" s="773">
        <f>IFERROR(E392*'01 Prod Physique Boites'!L390,"-")</f>
        <v>0</v>
      </c>
      <c r="H392" s="776">
        <v>16.41</v>
      </c>
      <c r="I392" s="770">
        <f t="shared" si="211"/>
        <v>0</v>
      </c>
      <c r="J392" s="622">
        <f t="shared" si="212"/>
        <v>0</v>
      </c>
    </row>
    <row r="393" spans="1:10" ht="24" x14ac:dyDescent="0.25">
      <c r="A393" s="274"/>
      <c r="B393" s="873"/>
      <c r="C393" s="727" t="s">
        <v>375</v>
      </c>
      <c r="D393" s="733" t="s">
        <v>476</v>
      </c>
      <c r="E393" s="766">
        <v>12.2659</v>
      </c>
      <c r="F393" s="770">
        <f>IFERROR(E393*'01 Prod Physique Boites'!H391,"-")</f>
        <v>0</v>
      </c>
      <c r="G393" s="773">
        <f>IFERROR(E393*'01 Prod Physique Boites'!L391,"-")</f>
        <v>0</v>
      </c>
      <c r="H393" s="776">
        <v>16.41</v>
      </c>
      <c r="I393" s="770">
        <f t="shared" si="211"/>
        <v>0</v>
      </c>
      <c r="J393" s="622">
        <f t="shared" si="212"/>
        <v>0</v>
      </c>
    </row>
    <row r="394" spans="1:10" ht="24" x14ac:dyDescent="0.25">
      <c r="A394" s="274"/>
      <c r="B394" s="873"/>
      <c r="C394" s="727" t="s">
        <v>484</v>
      </c>
      <c r="D394" s="733" t="s">
        <v>476</v>
      </c>
      <c r="E394" s="766">
        <v>12.2659</v>
      </c>
      <c r="F394" s="770">
        <f>IFERROR(E394*'01 Prod Physique Boites'!H392,"-")</f>
        <v>103622.3232</v>
      </c>
      <c r="G394" s="773">
        <f>IFERROR(E394*'01 Prod Physique Boites'!L392,"-")</f>
        <v>207244.6464</v>
      </c>
      <c r="H394" s="776">
        <v>16.41</v>
      </c>
      <c r="I394" s="770">
        <f t="shared" si="211"/>
        <v>138631.67999999999</v>
      </c>
      <c r="J394" s="622">
        <f t="shared" si="212"/>
        <v>277263.35999999999</v>
      </c>
    </row>
    <row r="395" spans="1:10" ht="24" x14ac:dyDescent="0.25">
      <c r="A395" s="274"/>
      <c r="B395" s="873"/>
      <c r="C395" s="733"/>
      <c r="D395" s="761"/>
      <c r="E395" s="766">
        <v>12.2659</v>
      </c>
      <c r="F395" s="770">
        <f>IFERROR(E395*'01 Prod Physique Boites'!H393,"-")</f>
        <v>0</v>
      </c>
      <c r="G395" s="773">
        <f>IFERROR(E395*'01 Prod Physique Boites'!L393,"-")</f>
        <v>0</v>
      </c>
      <c r="H395" s="776">
        <v>14.55</v>
      </c>
      <c r="I395" s="770">
        <f t="shared" si="211"/>
        <v>0</v>
      </c>
      <c r="J395" s="622">
        <f t="shared" si="212"/>
        <v>0</v>
      </c>
    </row>
    <row r="396" spans="1:10" ht="24.75" thickBot="1" x14ac:dyDescent="0.3">
      <c r="A396" s="816" t="s">
        <v>103</v>
      </c>
      <c r="B396" s="874"/>
      <c r="C396" s="735" t="s">
        <v>340</v>
      </c>
      <c r="D396" s="762"/>
      <c r="E396" s="767">
        <v>0</v>
      </c>
      <c r="F396" s="771">
        <f>IFERROR(E396*'01 Prod Physique Boites'!H394,"-")</f>
        <v>0</v>
      </c>
      <c r="G396" s="774">
        <f>IFERROR(E396*'01 Prod Physique Boites'!L394,"-")</f>
        <v>0</v>
      </c>
      <c r="H396" s="777">
        <v>0</v>
      </c>
      <c r="I396" s="779" t="str">
        <f t="shared" si="211"/>
        <v>-</v>
      </c>
      <c r="J396" s="780" t="str">
        <f t="shared" si="212"/>
        <v>-</v>
      </c>
    </row>
    <row r="397" spans="1:10" ht="23.25" thickBot="1" x14ac:dyDescent="0.3">
      <c r="A397" s="274" t="s">
        <v>103</v>
      </c>
      <c r="B397" s="845" t="s">
        <v>46</v>
      </c>
      <c r="C397" s="876"/>
      <c r="D397" s="877"/>
      <c r="E397" s="764"/>
      <c r="F397" s="519">
        <f>SUM(F390:F396)</f>
        <v>103622.3232</v>
      </c>
      <c r="G397" s="519">
        <f>SUM(G390:G396)</f>
        <v>1139845.5552000001</v>
      </c>
      <c r="H397" s="518"/>
      <c r="I397" s="519">
        <f>SUM(I390:I396)</f>
        <v>138631.67999999999</v>
      </c>
      <c r="J397" s="778">
        <f>SUM(J390:J396)</f>
        <v>1401776.6400000001</v>
      </c>
    </row>
    <row r="398" spans="1:10" ht="24" x14ac:dyDescent="0.25">
      <c r="A398" s="274" t="s">
        <v>103</v>
      </c>
      <c r="B398" s="867" t="s">
        <v>20</v>
      </c>
      <c r="C398" s="290" t="s">
        <v>486</v>
      </c>
      <c r="D398" s="757" t="s">
        <v>288</v>
      </c>
      <c r="E398" s="795">
        <v>27.106400000000001</v>
      </c>
      <c r="F398" s="398">
        <f>IFERROR(E398*'01 Prod Physique Boites'!H396,"-")</f>
        <v>0</v>
      </c>
      <c r="G398" s="399">
        <f>IFERROR(E398*'01 Prod Physique Boites'!L396,"-")</f>
        <v>608918.16960000002</v>
      </c>
      <c r="H398" s="642">
        <v>0</v>
      </c>
      <c r="I398" s="415">
        <f>IFERROR(H398*(F398/E398),"-")</f>
        <v>0</v>
      </c>
      <c r="J398" s="416">
        <f t="shared" ref="J398:J400" si="213">IFERROR(H398*(G398/E398),"-")</f>
        <v>0</v>
      </c>
    </row>
    <row r="399" spans="1:10" ht="24" x14ac:dyDescent="0.25">
      <c r="A399" s="274" t="s">
        <v>103</v>
      </c>
      <c r="B399" s="868"/>
      <c r="C399" s="291" t="s">
        <v>114</v>
      </c>
      <c r="D399" s="291"/>
      <c r="E399" s="381">
        <v>24.2607</v>
      </c>
      <c r="F399" s="398">
        <f>IFERROR(E399*'01 Prod Physique Boites'!H397,"-")</f>
        <v>0</v>
      </c>
      <c r="G399" s="399">
        <f>IFERROR(E399*'01 Prod Physique Boites'!L397,"-")</f>
        <v>0</v>
      </c>
      <c r="H399" s="382">
        <v>37.369999999999997</v>
      </c>
      <c r="I399" s="417">
        <f>IFERROR(H399*(F399/E399),"-")</f>
        <v>0</v>
      </c>
      <c r="J399" s="418">
        <f t="shared" si="213"/>
        <v>0</v>
      </c>
    </row>
    <row r="400" spans="1:10" ht="24.75" thickBot="1" x14ac:dyDescent="0.3">
      <c r="A400" s="274" t="s">
        <v>103</v>
      </c>
      <c r="B400" s="869"/>
      <c r="C400" s="292" t="s">
        <v>120</v>
      </c>
      <c r="D400" s="292"/>
      <c r="E400" s="383">
        <v>26.035799999999998</v>
      </c>
      <c r="F400" s="398">
        <f>IFERROR(E400*'01 Prod Physique Boites'!H398,"-")</f>
        <v>0</v>
      </c>
      <c r="G400" s="399">
        <f>IFERROR(E400*'01 Prod Physique Boites'!L398,"-")</f>
        <v>0</v>
      </c>
      <c r="H400" s="384">
        <v>37.11</v>
      </c>
      <c r="I400" s="419">
        <f>IFERROR(H400*(F400/E400),"-")</f>
        <v>0</v>
      </c>
      <c r="J400" s="420">
        <f t="shared" si="213"/>
        <v>0</v>
      </c>
    </row>
    <row r="401" spans="1:10" ht="23.25" thickBot="1" x14ac:dyDescent="0.3">
      <c r="A401" s="274" t="s">
        <v>103</v>
      </c>
      <c r="B401" s="846" t="s">
        <v>47</v>
      </c>
      <c r="C401" s="846"/>
      <c r="D401" s="878"/>
      <c r="E401" s="386"/>
      <c r="F401" s="402">
        <f t="shared" ref="F401:G401" si="214">SUM(F398:F400)</f>
        <v>0</v>
      </c>
      <c r="G401" s="403">
        <f t="shared" si="214"/>
        <v>608918.16960000002</v>
      </c>
      <c r="H401" s="387"/>
      <c r="I401" s="402">
        <f t="shared" ref="I401:J401" si="215">SUM(I398:I400)</f>
        <v>0</v>
      </c>
      <c r="J401" s="421">
        <f t="shared" si="215"/>
        <v>0</v>
      </c>
    </row>
    <row r="402" spans="1:10" ht="23.25" thickBot="1" x14ac:dyDescent="0.3">
      <c r="A402" s="274" t="s">
        <v>103</v>
      </c>
      <c r="B402" s="853" t="s">
        <v>21</v>
      </c>
      <c r="C402" s="854"/>
      <c r="D402" s="855"/>
      <c r="E402" s="389"/>
      <c r="F402" s="406">
        <f>+F373+F381+F389+F397+F401</f>
        <v>883835.90320000006</v>
      </c>
      <c r="G402" s="407">
        <f>+G373+G381+G389+G397+G401</f>
        <v>3797742.0248000002</v>
      </c>
      <c r="H402" s="390"/>
      <c r="I402" s="406">
        <f>+I373+I381+I389+I397+I401</f>
        <v>515011.68</v>
      </c>
      <c r="J402" s="424">
        <f>+J373+J381+J389+J397+J401</f>
        <v>3283676.6400000006</v>
      </c>
    </row>
    <row r="403" spans="1:10" ht="24" x14ac:dyDescent="0.25">
      <c r="A403" s="274" t="s">
        <v>103</v>
      </c>
      <c r="B403" s="867" t="s">
        <v>398</v>
      </c>
      <c r="C403" s="269" t="s">
        <v>125</v>
      </c>
      <c r="D403" s="269"/>
      <c r="E403" s="378">
        <v>22.820599999999999</v>
      </c>
      <c r="F403" s="398">
        <f>IFERROR(E403*'01 Prod Physique Boites'!H401,"-")</f>
        <v>0</v>
      </c>
      <c r="G403" s="399">
        <f>IFERROR(E403*'01 Prod Physique Boites'!L401,"-")</f>
        <v>0</v>
      </c>
      <c r="H403" s="379">
        <v>27.5</v>
      </c>
      <c r="I403" s="415">
        <f>IFERROR(H403*(F403/E403),"-")</f>
        <v>0</v>
      </c>
      <c r="J403" s="416">
        <f t="shared" ref="J403:J406" si="216">IFERROR(H403*(G403/E403),"-")</f>
        <v>0</v>
      </c>
    </row>
    <row r="404" spans="1:10" ht="24" x14ac:dyDescent="0.25">
      <c r="A404" s="274" t="s">
        <v>103</v>
      </c>
      <c r="B404" s="868"/>
      <c r="C404" s="294" t="s">
        <v>262</v>
      </c>
      <c r="D404" s="294" t="s">
        <v>181</v>
      </c>
      <c r="E404" s="381">
        <v>23.570699999999999</v>
      </c>
      <c r="F404" s="398">
        <f>IFERROR(E404*'01 Prod Physique Boites'!H402,"-")</f>
        <v>0</v>
      </c>
      <c r="G404" s="399">
        <f>IFERROR(E404*'01 Prod Physique Boites'!L402,"-")</f>
        <v>0</v>
      </c>
      <c r="H404" s="382">
        <v>27.5</v>
      </c>
      <c r="I404" s="417">
        <f>IFERROR(H404*(F404/E404),"-")</f>
        <v>0</v>
      </c>
      <c r="J404" s="418">
        <f t="shared" si="216"/>
        <v>0</v>
      </c>
    </row>
    <row r="405" spans="1:10" ht="24" x14ac:dyDescent="0.25">
      <c r="A405" s="274" t="s">
        <v>103</v>
      </c>
      <c r="B405" s="868"/>
      <c r="C405" s="294" t="s">
        <v>360</v>
      </c>
      <c r="D405" s="294" t="s">
        <v>181</v>
      </c>
      <c r="E405" s="381">
        <v>22.820599999999999</v>
      </c>
      <c r="F405" s="398">
        <f>IFERROR(E405*'01 Prod Physique Boites'!H403,"-")</f>
        <v>0</v>
      </c>
      <c r="G405" s="399">
        <f>IFERROR(E405*'01 Prod Physique Boites'!L403,"-")</f>
        <v>0</v>
      </c>
      <c r="H405" s="382">
        <v>27.5</v>
      </c>
      <c r="I405" s="417">
        <f>IFERROR(H405*(F405/E405),"-")</f>
        <v>0</v>
      </c>
      <c r="J405" s="418">
        <f t="shared" si="216"/>
        <v>0</v>
      </c>
    </row>
    <row r="406" spans="1:10" ht="24.75" thickBot="1" x14ac:dyDescent="0.3">
      <c r="A406" s="274" t="s">
        <v>103</v>
      </c>
      <c r="B406" s="869"/>
      <c r="C406" s="279" t="s">
        <v>182</v>
      </c>
      <c r="D406" s="279" t="s">
        <v>93</v>
      </c>
      <c r="E406" s="796">
        <v>22.238499999999998</v>
      </c>
      <c r="F406" s="398">
        <f>IFERROR(E406*'01 Prod Physique Boites'!H404,"-")</f>
        <v>44032.229999999996</v>
      </c>
      <c r="G406" s="399">
        <f>IFERROR(E406*'01 Prod Physique Boites'!L404,"-")</f>
        <v>264193.38</v>
      </c>
      <c r="H406" s="384">
        <v>27</v>
      </c>
      <c r="I406" s="419">
        <f>IFERROR(H406*(F406/E406),"-")</f>
        <v>53460</v>
      </c>
      <c r="J406" s="420">
        <f t="shared" si="216"/>
        <v>320760.00000000006</v>
      </c>
    </row>
    <row r="407" spans="1:10" ht="23.25" thickBot="1" x14ac:dyDescent="0.3">
      <c r="A407" s="274" t="s">
        <v>103</v>
      </c>
      <c r="B407" s="845" t="s">
        <v>48</v>
      </c>
      <c r="C407" s="846"/>
      <c r="D407" s="847"/>
      <c r="E407" s="386"/>
      <c r="F407" s="402">
        <f t="shared" ref="F407:G407" si="217">SUM(F403:F406)</f>
        <v>44032.229999999996</v>
      </c>
      <c r="G407" s="403">
        <f t="shared" si="217"/>
        <v>264193.38</v>
      </c>
      <c r="H407" s="387"/>
      <c r="I407" s="402">
        <f t="shared" ref="I407:J407" si="218">SUM(I403:I406)</f>
        <v>53460</v>
      </c>
      <c r="J407" s="421">
        <f t="shared" si="218"/>
        <v>320760.00000000006</v>
      </c>
    </row>
    <row r="408" spans="1:10" ht="24" x14ac:dyDescent="0.25">
      <c r="A408" s="274" t="s">
        <v>103</v>
      </c>
      <c r="B408" s="867" t="s">
        <v>23</v>
      </c>
      <c r="C408" s="295" t="s">
        <v>307</v>
      </c>
      <c r="D408" s="295" t="s">
        <v>237</v>
      </c>
      <c r="E408" s="378">
        <v>101.4935</v>
      </c>
      <c r="F408" s="398">
        <f>IFERROR(E408*'01 Prod Physique Boites'!H406,"-")</f>
        <v>0</v>
      </c>
      <c r="G408" s="399">
        <f>IFERROR(E408*'01 Prod Physique Boites'!L406,"-")</f>
        <v>0</v>
      </c>
      <c r="H408" s="382">
        <v>160.44999999999999</v>
      </c>
      <c r="I408" s="415">
        <f t="shared" ref="I408:I416" si="219">IFERROR(H408*(F408/E408),"-")</f>
        <v>0</v>
      </c>
      <c r="J408" s="416">
        <f t="shared" ref="J408:J416" si="220">IFERROR(H408*(G408/E408),"-")</f>
        <v>0</v>
      </c>
    </row>
    <row r="409" spans="1:10" ht="24" x14ac:dyDescent="0.25">
      <c r="A409" s="274" t="s">
        <v>103</v>
      </c>
      <c r="B409" s="868"/>
      <c r="C409" s="275" t="s">
        <v>24</v>
      </c>
      <c r="D409" s="275" t="s">
        <v>237</v>
      </c>
      <c r="E409" s="381">
        <v>101.4935</v>
      </c>
      <c r="F409" s="398">
        <f>IFERROR(E409*'01 Prod Physique Boites'!H407,"-")</f>
        <v>888068.125</v>
      </c>
      <c r="G409" s="399">
        <f>IFERROR(E409*'01 Prod Physique Boites'!L407,"-")</f>
        <v>2664204.375</v>
      </c>
      <c r="H409" s="382">
        <v>160.44999999999999</v>
      </c>
      <c r="I409" s="417">
        <f t="shared" si="219"/>
        <v>1403937.5</v>
      </c>
      <c r="J409" s="418">
        <f t="shared" si="220"/>
        <v>4211812.5</v>
      </c>
    </row>
    <row r="410" spans="1:10" ht="24" x14ac:dyDescent="0.25">
      <c r="A410" s="274" t="s">
        <v>103</v>
      </c>
      <c r="B410" s="868"/>
      <c r="C410" s="275" t="s">
        <v>235</v>
      </c>
      <c r="D410" s="275" t="s">
        <v>237</v>
      </c>
      <c r="E410" s="381">
        <v>101.4935</v>
      </c>
      <c r="F410" s="398">
        <f>IFERROR(E410*'01 Prod Physique Boites'!H408,"-")</f>
        <v>0</v>
      </c>
      <c r="G410" s="399">
        <f>IFERROR(E410*'01 Prod Physique Boites'!L408,"-")</f>
        <v>0</v>
      </c>
      <c r="H410" s="382">
        <v>160.44999999999999</v>
      </c>
      <c r="I410" s="417">
        <f t="shared" si="219"/>
        <v>0</v>
      </c>
      <c r="J410" s="418">
        <f t="shared" si="220"/>
        <v>0</v>
      </c>
    </row>
    <row r="411" spans="1:10" ht="24" x14ac:dyDescent="0.25">
      <c r="A411" s="274" t="s">
        <v>103</v>
      </c>
      <c r="B411" s="868"/>
      <c r="C411" s="275" t="s">
        <v>236</v>
      </c>
      <c r="D411" s="275" t="s">
        <v>237</v>
      </c>
      <c r="E411" s="381">
        <v>101.4935</v>
      </c>
      <c r="F411" s="398">
        <f>IFERROR(E411*'01 Prod Physique Boites'!H409,"-")</f>
        <v>0</v>
      </c>
      <c r="G411" s="399">
        <f>IFERROR(E411*'01 Prod Physique Boites'!L409,"-")</f>
        <v>0</v>
      </c>
      <c r="H411" s="382">
        <v>160.44999999999999</v>
      </c>
      <c r="I411" s="417">
        <f t="shared" si="219"/>
        <v>0</v>
      </c>
      <c r="J411" s="418">
        <f t="shared" si="220"/>
        <v>0</v>
      </c>
    </row>
    <row r="412" spans="1:10" ht="24" x14ac:dyDescent="0.25">
      <c r="A412" s="274" t="s">
        <v>103</v>
      </c>
      <c r="B412" s="868"/>
      <c r="C412" s="294" t="s">
        <v>238</v>
      </c>
      <c r="D412" s="275" t="s">
        <v>237</v>
      </c>
      <c r="E412" s="381">
        <v>101.4935</v>
      </c>
      <c r="F412" s="398">
        <f>IFERROR(E412*'01 Prod Physique Boites'!H410,"-")</f>
        <v>0</v>
      </c>
      <c r="G412" s="399">
        <f>IFERROR(E412*'01 Prod Physique Boites'!L410,"-")</f>
        <v>0</v>
      </c>
      <c r="H412" s="382">
        <v>160.44999999999999</v>
      </c>
      <c r="I412" s="417">
        <f t="shared" si="219"/>
        <v>0</v>
      </c>
      <c r="J412" s="418">
        <f t="shared" si="220"/>
        <v>0</v>
      </c>
    </row>
    <row r="413" spans="1:10" ht="24" x14ac:dyDescent="0.25">
      <c r="A413" s="274" t="s">
        <v>103</v>
      </c>
      <c r="B413" s="868"/>
      <c r="C413" s="294" t="s">
        <v>239</v>
      </c>
      <c r="D413" s="275" t="s">
        <v>237</v>
      </c>
      <c r="E413" s="381">
        <v>101.4935</v>
      </c>
      <c r="F413" s="398">
        <f>IFERROR(E413*'01 Prod Physique Boites'!H411,"-")</f>
        <v>0</v>
      </c>
      <c r="G413" s="399">
        <f>IFERROR(E413*'01 Prod Physique Boites'!L411,"-")</f>
        <v>0</v>
      </c>
      <c r="H413" s="382">
        <v>160.44999999999999</v>
      </c>
      <c r="I413" s="417">
        <f t="shared" si="219"/>
        <v>0</v>
      </c>
      <c r="J413" s="418">
        <f t="shared" si="220"/>
        <v>0</v>
      </c>
    </row>
    <row r="414" spans="1:10" ht="24" x14ac:dyDescent="0.25">
      <c r="A414" s="274" t="s">
        <v>103</v>
      </c>
      <c r="B414" s="868"/>
      <c r="C414" s="294" t="s">
        <v>240</v>
      </c>
      <c r="D414" s="275" t="s">
        <v>242</v>
      </c>
      <c r="E414" s="381">
        <v>101.4935</v>
      </c>
      <c r="F414" s="398">
        <f>IFERROR(E414*'01 Prod Physique Boites'!H412,"-")</f>
        <v>0</v>
      </c>
      <c r="G414" s="399">
        <f>IFERROR(E414*'01 Prod Physique Boites'!L412,"-")</f>
        <v>0</v>
      </c>
      <c r="H414" s="382">
        <v>160.44999999999999</v>
      </c>
      <c r="I414" s="417">
        <f t="shared" si="219"/>
        <v>0</v>
      </c>
      <c r="J414" s="418">
        <f t="shared" si="220"/>
        <v>0</v>
      </c>
    </row>
    <row r="415" spans="1:10" ht="24" x14ac:dyDescent="0.25">
      <c r="A415" s="274"/>
      <c r="B415" s="869"/>
      <c r="C415" s="294" t="s">
        <v>451</v>
      </c>
      <c r="D415" s="275" t="s">
        <v>237</v>
      </c>
      <c r="E415" s="383">
        <v>101.49</v>
      </c>
      <c r="F415" s="398">
        <f>IFERROR(E415*'01 Prod Physique Boites'!H413,"-")</f>
        <v>0</v>
      </c>
      <c r="G415" s="399">
        <f>IFERROR(E415*'01 Prod Physique Boites'!L413,"-")</f>
        <v>0</v>
      </c>
      <c r="H415" s="382">
        <v>160.44999999999999</v>
      </c>
      <c r="I415" s="417">
        <f t="shared" si="219"/>
        <v>0</v>
      </c>
      <c r="J415" s="418">
        <f t="shared" si="220"/>
        <v>0</v>
      </c>
    </row>
    <row r="416" spans="1:10" ht="24.75" thickBot="1" x14ac:dyDescent="0.3">
      <c r="A416" s="274" t="s">
        <v>103</v>
      </c>
      <c r="B416" s="869"/>
      <c r="C416" s="294" t="s">
        <v>241</v>
      </c>
      <c r="D416" s="275" t="s">
        <v>237</v>
      </c>
      <c r="E416" s="383">
        <v>101.4935</v>
      </c>
      <c r="F416" s="398">
        <f>IFERROR(E416*'01 Prod Physique Boites'!H414,"-")</f>
        <v>0</v>
      </c>
      <c r="G416" s="399">
        <f>IFERROR(E416*'01 Prod Physique Boites'!L414,"-")</f>
        <v>0</v>
      </c>
      <c r="H416" s="382">
        <v>160.44999999999999</v>
      </c>
      <c r="I416" s="417">
        <f t="shared" si="219"/>
        <v>0</v>
      </c>
      <c r="J416" s="420">
        <f t="shared" si="220"/>
        <v>0</v>
      </c>
    </row>
    <row r="417" spans="1:10" ht="23.25" thickBot="1" x14ac:dyDescent="0.3">
      <c r="A417" s="274" t="s">
        <v>103</v>
      </c>
      <c r="B417" s="845" t="s">
        <v>49</v>
      </c>
      <c r="C417" s="846"/>
      <c r="D417" s="847"/>
      <c r="E417" s="386"/>
      <c r="F417" s="402">
        <f t="shared" ref="F417" si="221">SUM(F408:F416)</f>
        <v>888068.125</v>
      </c>
      <c r="G417" s="403">
        <f>SUM(G408:G416)</f>
        <v>2664204.375</v>
      </c>
      <c r="H417" s="387"/>
      <c r="I417" s="402">
        <f t="shared" ref="I417" si="222">SUM(I408:I416)</f>
        <v>1403937.5</v>
      </c>
      <c r="J417" s="421">
        <f>SUM(J408:J416)</f>
        <v>4211812.5</v>
      </c>
    </row>
    <row r="418" spans="1:10" ht="23.25" thickBot="1" x14ac:dyDescent="0.3">
      <c r="A418" s="274" t="s">
        <v>103</v>
      </c>
      <c r="B418" s="853" t="s">
        <v>25</v>
      </c>
      <c r="C418" s="854"/>
      <c r="D418" s="855"/>
      <c r="E418" s="389"/>
      <c r="F418" s="406">
        <f t="shared" ref="F418" si="223">+F407+F417</f>
        <v>932100.35499999998</v>
      </c>
      <c r="G418" s="407">
        <f>+G407+G417</f>
        <v>2928397.7549999999</v>
      </c>
      <c r="H418" s="390"/>
      <c r="I418" s="406">
        <f t="shared" ref="I418:J418" si="224">+I407+I417</f>
        <v>1457397.5</v>
      </c>
      <c r="J418" s="424">
        <f t="shared" si="224"/>
        <v>4532572.5</v>
      </c>
    </row>
    <row r="419" spans="1:10" ht="23.25" thickBot="1" x14ac:dyDescent="0.3">
      <c r="A419" s="274" t="s">
        <v>103</v>
      </c>
      <c r="B419" s="839" t="s">
        <v>172</v>
      </c>
      <c r="C419" s="840"/>
      <c r="D419" s="841"/>
      <c r="E419" s="391"/>
      <c r="F419" s="408">
        <f t="shared" ref="F419" si="225">+F402+F418</f>
        <v>1815936.2582</v>
      </c>
      <c r="G419" s="409">
        <f>+G402+G418</f>
        <v>6726139.7797999997</v>
      </c>
      <c r="H419" s="392"/>
      <c r="I419" s="408">
        <f t="shared" ref="I419:J419" si="226">+I402+I418</f>
        <v>1972409.18</v>
      </c>
      <c r="J419" s="425">
        <f t="shared" si="226"/>
        <v>7816249.1400000006</v>
      </c>
    </row>
    <row r="420" spans="1:10" ht="24" x14ac:dyDescent="0.25">
      <c r="A420" s="268" t="s">
        <v>101</v>
      </c>
      <c r="B420" s="849" t="s">
        <v>26</v>
      </c>
      <c r="C420" s="296" t="s">
        <v>296</v>
      </c>
      <c r="D420" s="298" t="s">
        <v>177</v>
      </c>
      <c r="E420" s="500">
        <v>13.1272</v>
      </c>
      <c r="F420" s="398">
        <f>IFERROR(E420*'01 Prod Physique Boites'!H418,"-")</f>
        <v>0</v>
      </c>
      <c r="G420" s="399">
        <f>IFERROR(E420*'01 Prod Physique Boites'!L418,"-")</f>
        <v>0</v>
      </c>
      <c r="H420" s="379">
        <v>20.76</v>
      </c>
      <c r="I420" s="415">
        <f t="shared" ref="I420:I429" si="227">IFERROR(H420*(F420/E420),"-")</f>
        <v>0</v>
      </c>
      <c r="J420" s="621">
        <f t="shared" ref="J420:J429" si="228">IFERROR(H420*(G420/E420),"-")</f>
        <v>0</v>
      </c>
    </row>
    <row r="421" spans="1:10" ht="24" x14ac:dyDescent="0.25">
      <c r="A421" s="274" t="s">
        <v>101</v>
      </c>
      <c r="B421" s="849"/>
      <c r="C421" s="297" t="s">
        <v>422</v>
      </c>
      <c r="D421" s="297" t="s">
        <v>421</v>
      </c>
      <c r="E421" s="501">
        <v>16.7288</v>
      </c>
      <c r="F421" s="398">
        <f>IFERROR(E421*'01 Prod Physique Boites'!H419,"-")</f>
        <v>0</v>
      </c>
      <c r="G421" s="399">
        <f>IFERROR(E421*'01 Prod Physique Boites'!L419,"-")</f>
        <v>0</v>
      </c>
      <c r="H421" s="382">
        <v>20.76</v>
      </c>
      <c r="I421" s="417">
        <f t="shared" si="227"/>
        <v>0</v>
      </c>
      <c r="J421" s="622">
        <f t="shared" si="228"/>
        <v>0</v>
      </c>
    </row>
    <row r="422" spans="1:10" ht="24" x14ac:dyDescent="0.25">
      <c r="A422" s="274" t="s">
        <v>101</v>
      </c>
      <c r="B422" s="849"/>
      <c r="C422" s="298" t="s">
        <v>27</v>
      </c>
      <c r="D422" s="298" t="s">
        <v>332</v>
      </c>
      <c r="E422" s="497">
        <v>17.8202</v>
      </c>
      <c r="F422" s="398">
        <f>IFERROR(E422*'01 Prod Physique Boites'!H420,"-")</f>
        <v>0</v>
      </c>
      <c r="G422" s="399">
        <f>IFERROR(E422*'01 Prod Physique Boites'!L420,"-")</f>
        <v>0</v>
      </c>
      <c r="H422" s="382">
        <v>21.22</v>
      </c>
      <c r="I422" s="625">
        <f t="shared" si="227"/>
        <v>0</v>
      </c>
      <c r="J422" s="622">
        <f t="shared" si="228"/>
        <v>0</v>
      </c>
    </row>
    <row r="423" spans="1:10" ht="24" x14ac:dyDescent="0.25">
      <c r="A423" s="274" t="s">
        <v>101</v>
      </c>
      <c r="B423" s="849"/>
      <c r="C423" s="298" t="s">
        <v>27</v>
      </c>
      <c r="D423" s="298" t="s">
        <v>233</v>
      </c>
      <c r="E423" s="497">
        <v>17.8202</v>
      </c>
      <c r="F423" s="398">
        <f>IFERROR(E423*'01 Prod Physique Boites'!H421,"-")</f>
        <v>0</v>
      </c>
      <c r="G423" s="399">
        <f>IFERROR(E423*'01 Prod Physique Boites'!L421,"-")</f>
        <v>0</v>
      </c>
      <c r="H423" s="382">
        <v>24.93</v>
      </c>
      <c r="I423" s="625">
        <f t="shared" si="227"/>
        <v>0</v>
      </c>
      <c r="J423" s="622">
        <f t="shared" si="228"/>
        <v>0</v>
      </c>
    </row>
    <row r="424" spans="1:10" ht="24" x14ac:dyDescent="0.25">
      <c r="A424" s="274" t="s">
        <v>101</v>
      </c>
      <c r="B424" s="849"/>
      <c r="C424" s="298" t="s">
        <v>27</v>
      </c>
      <c r="D424" s="298" t="s">
        <v>278</v>
      </c>
      <c r="E424" s="497">
        <v>17.8202</v>
      </c>
      <c r="F424" s="398">
        <f>IFERROR(E424*'01 Prod Physique Boites'!H422,"-")</f>
        <v>0</v>
      </c>
      <c r="G424" s="399">
        <f>IFERROR(E424*'01 Prod Physique Boites'!L422,"-")</f>
        <v>0</v>
      </c>
      <c r="H424" s="382">
        <v>24.93</v>
      </c>
      <c r="I424" s="625">
        <f t="shared" si="227"/>
        <v>0</v>
      </c>
      <c r="J424" s="622">
        <f t="shared" si="228"/>
        <v>0</v>
      </c>
    </row>
    <row r="425" spans="1:10" ht="24" x14ac:dyDescent="0.25">
      <c r="A425" s="274"/>
      <c r="B425" s="849"/>
      <c r="C425" s="721" t="s">
        <v>485</v>
      </c>
      <c r="D425" s="298" t="s">
        <v>502</v>
      </c>
      <c r="E425" s="497">
        <v>16.7288</v>
      </c>
      <c r="F425" s="398">
        <f>IFERROR(E425*'01 Prod Physique Boites'!H423,"-")</f>
        <v>0</v>
      </c>
      <c r="G425" s="399">
        <f>IFERROR(E425*'01 Prod Physique Boites'!L423,"-")</f>
        <v>598924.4976</v>
      </c>
      <c r="H425" s="384">
        <v>25</v>
      </c>
      <c r="I425" s="625">
        <f t="shared" si="227"/>
        <v>0</v>
      </c>
      <c r="J425" s="623">
        <f t="shared" si="228"/>
        <v>895050</v>
      </c>
    </row>
    <row r="426" spans="1:10" ht="24" x14ac:dyDescent="0.25">
      <c r="A426" s="274"/>
      <c r="B426" s="849"/>
      <c r="C426" s="298" t="s">
        <v>432</v>
      </c>
      <c r="D426" s="298" t="s">
        <v>502</v>
      </c>
      <c r="E426" s="497">
        <v>17.8202</v>
      </c>
      <c r="F426" s="398">
        <f>IFERROR(E426*'01 Prod Physique Boites'!H424,"-")</f>
        <v>708887.55599999998</v>
      </c>
      <c r="G426" s="399">
        <f>IFERROR(E426*'01 Prod Physique Boites'!L424,"-")</f>
        <v>2481106.446</v>
      </c>
      <c r="H426" s="384">
        <v>25.43</v>
      </c>
      <c r="I426" s="689">
        <f t="shared" si="227"/>
        <v>1011605.4</v>
      </c>
      <c r="J426" s="623">
        <f t="shared" si="228"/>
        <v>3540618.9</v>
      </c>
    </row>
    <row r="427" spans="1:10" s="690" customFormat="1" ht="24" x14ac:dyDescent="0.25">
      <c r="A427" s="684"/>
      <c r="B427" s="849"/>
      <c r="C427" s="685" t="s">
        <v>381</v>
      </c>
      <c r="D427" s="685" t="s">
        <v>382</v>
      </c>
      <c r="E427" s="686">
        <v>16.345199999999998</v>
      </c>
      <c r="F427" s="398">
        <f>IFERROR(E427*'01 Prod Physique Boites'!H425,"-")</f>
        <v>0</v>
      </c>
      <c r="G427" s="399">
        <f>IFERROR(E427*'01 Prod Physique Boites'!L425,"-")</f>
        <v>0</v>
      </c>
      <c r="H427" s="688">
        <v>23.78</v>
      </c>
      <c r="I427" s="689">
        <f t="shared" si="227"/>
        <v>0</v>
      </c>
      <c r="J427" s="623">
        <f t="shared" si="228"/>
        <v>0</v>
      </c>
    </row>
    <row r="428" spans="1:10" s="690" customFormat="1" ht="24" x14ac:dyDescent="0.25">
      <c r="A428" s="684"/>
      <c r="B428" s="849"/>
      <c r="C428" s="298" t="s">
        <v>429</v>
      </c>
      <c r="D428" s="298" t="s">
        <v>178</v>
      </c>
      <c r="E428" s="686">
        <v>16.7288</v>
      </c>
      <c r="F428" s="398">
        <f>IFERROR(E428*'01 Prod Physique Boites'!H426,"-")</f>
        <v>0</v>
      </c>
      <c r="G428" s="399">
        <f>IFERROR(E428*'01 Prod Physique Boites'!L426,"-")</f>
        <v>0</v>
      </c>
      <c r="H428" s="688">
        <v>25.49</v>
      </c>
      <c r="I428" s="689">
        <f t="shared" si="227"/>
        <v>0</v>
      </c>
      <c r="J428" s="623">
        <f t="shared" si="228"/>
        <v>0</v>
      </c>
    </row>
    <row r="429" spans="1:10" ht="24.75" thickBot="1" x14ac:dyDescent="0.3">
      <c r="A429" s="274" t="s">
        <v>101</v>
      </c>
      <c r="B429" s="849"/>
      <c r="C429" s="299" t="s">
        <v>505</v>
      </c>
      <c r="D429" s="298" t="s">
        <v>288</v>
      </c>
      <c r="E429" s="686">
        <v>16.7288</v>
      </c>
      <c r="F429" s="398">
        <f>IFERROR(E429*'01 Prod Physique Boites'!H427,"-")</f>
        <v>0</v>
      </c>
      <c r="G429" s="399">
        <f>IFERROR(E429*'01 Prod Physique Boites'!L427,"-")</f>
        <v>1796773.4927999999</v>
      </c>
      <c r="H429" s="384">
        <v>25.49</v>
      </c>
      <c r="I429" s="689">
        <f t="shared" si="227"/>
        <v>0</v>
      </c>
      <c r="J429" s="623">
        <f t="shared" si="228"/>
        <v>2737778.94</v>
      </c>
    </row>
    <row r="430" spans="1:10" ht="23.25" thickBot="1" x14ac:dyDescent="0.3">
      <c r="A430" s="274" t="s">
        <v>101</v>
      </c>
      <c r="B430" s="866"/>
      <c r="C430" s="300"/>
      <c r="D430" s="301" t="s">
        <v>52</v>
      </c>
      <c r="E430" s="386"/>
      <c r="F430" s="402">
        <f>SUM(F420:F429)</f>
        <v>708887.55599999998</v>
      </c>
      <c r="G430" s="403">
        <f>SUM(G420:G429)</f>
        <v>4876804.4364</v>
      </c>
      <c r="H430" s="387"/>
      <c r="I430" s="402">
        <f>SUM(I420:I429)</f>
        <v>1011605.4</v>
      </c>
      <c r="J430" s="421">
        <f>SUM(J420:J429)</f>
        <v>7173447.8399999999</v>
      </c>
    </row>
    <row r="431" spans="1:10" ht="24" x14ac:dyDescent="0.25">
      <c r="A431" s="274" t="s">
        <v>101</v>
      </c>
      <c r="B431" s="848" t="s">
        <v>28</v>
      </c>
      <c r="C431" s="298" t="s">
        <v>27</v>
      </c>
      <c r="D431" s="296" t="s">
        <v>278</v>
      </c>
      <c r="E431" s="500">
        <v>17.8202</v>
      </c>
      <c r="F431" s="398">
        <f>IFERROR(E431*'01 Prod Physique Boites'!H429,"-")</f>
        <v>0</v>
      </c>
      <c r="G431" s="399">
        <f>IFERROR(E431*'01 Prod Physique Boites'!L429,"-")</f>
        <v>0</v>
      </c>
      <c r="H431" s="379">
        <v>24.93</v>
      </c>
      <c r="I431" s="415">
        <f t="shared" ref="I431:I437" si="229">IFERROR(H431*(F431/E431),"-")</f>
        <v>0</v>
      </c>
      <c r="J431" s="621">
        <f t="shared" ref="J431:J432" si="230">IFERROR(H431*(G431/E431),"-")</f>
        <v>0</v>
      </c>
    </row>
    <row r="432" spans="1:10" ht="24" x14ac:dyDescent="0.25">
      <c r="A432" s="274" t="s">
        <v>101</v>
      </c>
      <c r="B432" s="849"/>
      <c r="C432" s="298" t="s">
        <v>384</v>
      </c>
      <c r="D432" s="298" t="s">
        <v>332</v>
      </c>
      <c r="E432" s="671">
        <v>16.7288</v>
      </c>
      <c r="F432" s="398">
        <f>IFERROR(E432*'01 Prod Physique Boites'!H430,"-")</f>
        <v>0</v>
      </c>
      <c r="G432" s="399">
        <f>IFERROR(E432*'01 Prod Physique Boites'!L430,"-")</f>
        <v>0</v>
      </c>
      <c r="H432" s="668">
        <v>20.76</v>
      </c>
      <c r="I432" s="417">
        <f t="shared" si="229"/>
        <v>0</v>
      </c>
      <c r="J432" s="622">
        <f t="shared" si="230"/>
        <v>0</v>
      </c>
    </row>
    <row r="433" spans="1:10" ht="24" x14ac:dyDescent="0.25">
      <c r="A433" s="274" t="s">
        <v>101</v>
      </c>
      <c r="B433" s="849"/>
      <c r="C433" s="298" t="s">
        <v>383</v>
      </c>
      <c r="D433" s="298" t="s">
        <v>332</v>
      </c>
      <c r="E433" s="497">
        <v>17.8202</v>
      </c>
      <c r="F433" s="398">
        <f>IFERROR(E433*'01 Prod Physique Boites'!H431,"-")</f>
        <v>0</v>
      </c>
      <c r="G433" s="399">
        <f>IFERROR(E433*'01 Prod Physique Boites'!L431,"-")</f>
        <v>0</v>
      </c>
      <c r="H433" s="382">
        <v>21.22</v>
      </c>
      <c r="I433" s="417">
        <f t="shared" si="229"/>
        <v>0</v>
      </c>
      <c r="J433" s="622">
        <f>IFERROR(H433*(G433/E433),"-")</f>
        <v>0</v>
      </c>
    </row>
    <row r="434" spans="1:10" ht="24" x14ac:dyDescent="0.25">
      <c r="A434" s="274"/>
      <c r="B434" s="849"/>
      <c r="C434" s="298" t="s">
        <v>454</v>
      </c>
      <c r="D434" s="298" t="s">
        <v>332</v>
      </c>
      <c r="E434" s="497">
        <v>14.608000000000001</v>
      </c>
      <c r="F434" s="398">
        <f>IFERROR(E434*'01 Prod Physique Boites'!H432,"-")</f>
        <v>0</v>
      </c>
      <c r="G434" s="399">
        <f>IFERROR(E434*'01 Prod Physique Boites'!L432,"-")</f>
        <v>0</v>
      </c>
      <c r="H434" s="382">
        <v>21.22</v>
      </c>
      <c r="I434" s="417">
        <f t="shared" si="229"/>
        <v>0</v>
      </c>
      <c r="J434" s="622">
        <f>IFERROR(H434*(G434/E434),"-")</f>
        <v>0</v>
      </c>
    </row>
    <row r="435" spans="1:10" ht="24" x14ac:dyDescent="0.25">
      <c r="A435" s="274"/>
      <c r="B435" s="849"/>
      <c r="C435" s="298" t="s">
        <v>503</v>
      </c>
      <c r="D435" s="742" t="s">
        <v>502</v>
      </c>
      <c r="E435" s="497">
        <v>16.7288</v>
      </c>
      <c r="F435" s="398">
        <f>IFERROR(E435*'01 Prod Physique Boites'!H433,"-")</f>
        <v>0</v>
      </c>
      <c r="G435" s="399">
        <f>IFERROR(E435*'01 Prod Physique Boites'!L433,"-")</f>
        <v>1330943.328</v>
      </c>
      <c r="H435" s="382">
        <v>25</v>
      </c>
      <c r="I435" s="419">
        <f t="shared" si="229"/>
        <v>0</v>
      </c>
      <c r="J435" s="623">
        <f t="shared" ref="J435:J437" si="231">IFERROR(H435*(G435/E435),"-")</f>
        <v>1989000</v>
      </c>
    </row>
    <row r="436" spans="1:10" ht="24" x14ac:dyDescent="0.25">
      <c r="A436" s="274"/>
      <c r="B436" s="849"/>
      <c r="C436" s="298" t="s">
        <v>452</v>
      </c>
      <c r="D436" s="742" t="s">
        <v>502</v>
      </c>
      <c r="E436" s="817">
        <v>17.8202</v>
      </c>
      <c r="F436" s="398">
        <f>IFERROR(E436*'01 Prod Physique Boites'!H434,"-")</f>
        <v>2693772.7127999999</v>
      </c>
      <c r="G436" s="399">
        <f>IFERROR(E436*'01 Prod Physique Boites'!L434,"-")</f>
        <v>4324214.0915999999</v>
      </c>
      <c r="H436" s="382">
        <v>25.43</v>
      </c>
      <c r="I436" s="689">
        <f t="shared" si="229"/>
        <v>3844100.52</v>
      </c>
      <c r="J436" s="623">
        <f t="shared" si="231"/>
        <v>6170792.9399999995</v>
      </c>
    </row>
    <row r="437" spans="1:10" ht="24.75" thickBot="1" x14ac:dyDescent="0.3">
      <c r="A437" s="274" t="s">
        <v>101</v>
      </c>
      <c r="B437" s="849"/>
      <c r="C437" s="299" t="s">
        <v>505</v>
      </c>
      <c r="D437" s="298" t="s">
        <v>288</v>
      </c>
      <c r="E437" s="686">
        <v>16.7288</v>
      </c>
      <c r="F437" s="398">
        <f>IFERROR(E437*'01 Prod Physique Boites'!H435,"-")</f>
        <v>0</v>
      </c>
      <c r="G437" s="399">
        <f>IFERROR(E437*'01 Prod Physique Boites'!L435,"-")</f>
        <v>1197848.9952</v>
      </c>
      <c r="H437" s="384">
        <v>25.49</v>
      </c>
      <c r="I437" s="419">
        <f t="shared" si="229"/>
        <v>0</v>
      </c>
      <c r="J437" s="623">
        <f t="shared" si="231"/>
        <v>1825185.96</v>
      </c>
    </row>
    <row r="438" spans="1:10" ht="23.25" thickBot="1" x14ac:dyDescent="0.3">
      <c r="A438" s="274" t="s">
        <v>101</v>
      </c>
      <c r="B438" s="849"/>
      <c r="C438" s="303"/>
      <c r="D438" s="304" t="s">
        <v>52</v>
      </c>
      <c r="E438" s="393"/>
      <c r="F438" s="410">
        <f t="shared" ref="F438:G438" si="232">SUM(F431:F437)</f>
        <v>2693772.7127999999</v>
      </c>
      <c r="G438" s="411">
        <f t="shared" si="232"/>
        <v>6853006.4147999994</v>
      </c>
      <c r="H438" s="394"/>
      <c r="I438" s="410">
        <f t="shared" ref="I438:J438" si="233">SUM(I431:I437)</f>
        <v>3844100.52</v>
      </c>
      <c r="J438" s="426">
        <f t="shared" si="233"/>
        <v>9984978.8999999985</v>
      </c>
    </row>
    <row r="439" spans="1:10" ht="23.25" thickBot="1" x14ac:dyDescent="0.3">
      <c r="A439" s="816" t="s">
        <v>101</v>
      </c>
      <c r="B439" s="850" t="s">
        <v>162</v>
      </c>
      <c r="C439" s="851"/>
      <c r="D439" s="852"/>
      <c r="E439" s="395"/>
      <c r="F439" s="412">
        <f t="shared" ref="F439:G439" si="234">+F430+F438</f>
        <v>3402660.2687999997</v>
      </c>
      <c r="G439" s="413">
        <f t="shared" si="234"/>
        <v>11729810.851199999</v>
      </c>
      <c r="H439" s="396"/>
      <c r="I439" s="412">
        <f t="shared" ref="I439:J439" si="235">+I430+I438</f>
        <v>4855705.92</v>
      </c>
      <c r="J439" s="427">
        <f t="shared" si="235"/>
        <v>17158426.739999998</v>
      </c>
    </row>
    <row r="440" spans="1:10" ht="24" x14ac:dyDescent="0.25">
      <c r="A440" s="274" t="s">
        <v>101</v>
      </c>
      <c r="B440" s="849" t="s">
        <v>30</v>
      </c>
      <c r="C440" s="302" t="s">
        <v>445</v>
      </c>
      <c r="D440" s="298" t="s">
        <v>332</v>
      </c>
      <c r="E440" s="695">
        <v>27.917000000000002</v>
      </c>
      <c r="F440" s="398">
        <f>IFERROR(E440*'01 Prod Physique Boites'!H438,"-")</f>
        <v>0</v>
      </c>
      <c r="G440" s="687">
        <f>IFERROR(E440*'01 Prod Physique Boites'!L438,"-")</f>
        <v>0</v>
      </c>
      <c r="H440" s="693">
        <v>33.299999999999997</v>
      </c>
      <c r="I440" s="415">
        <f>IFERROR(H440*(F440/E440),"-")</f>
        <v>0</v>
      </c>
      <c r="J440" s="416">
        <f t="shared" ref="J440:J442" si="236">IFERROR(H440*(G440/E440),"-")</f>
        <v>0</v>
      </c>
    </row>
    <row r="441" spans="1:10" ht="24" x14ac:dyDescent="0.25">
      <c r="A441" s="274" t="s">
        <v>101</v>
      </c>
      <c r="B441" s="849"/>
      <c r="C441" s="299" t="s">
        <v>443</v>
      </c>
      <c r="D441" s="302" t="s">
        <v>382</v>
      </c>
      <c r="E441" s="692">
        <v>28.526700000000002</v>
      </c>
      <c r="F441" s="398">
        <f>IFERROR(E441*'01 Prod Physique Boites'!H439,"-")</f>
        <v>0</v>
      </c>
      <c r="G441" s="687">
        <f>IFERROR(E441*'01 Prod Physique Boites'!L439,"-")</f>
        <v>0</v>
      </c>
      <c r="H441" s="694">
        <v>37.89</v>
      </c>
      <c r="I441" s="417">
        <f>IFERROR(H441*(F441/E441),"-")</f>
        <v>0</v>
      </c>
      <c r="J441" s="418">
        <f t="shared" si="236"/>
        <v>0</v>
      </c>
    </row>
    <row r="442" spans="1:10" ht="24.75" thickBot="1" x14ac:dyDescent="0.3">
      <c r="A442" s="274" t="s">
        <v>101</v>
      </c>
      <c r="B442" s="849"/>
      <c r="C442" s="299" t="s">
        <v>290</v>
      </c>
      <c r="D442" s="299" t="s">
        <v>382</v>
      </c>
      <c r="E442" s="497">
        <v>25.751300000000001</v>
      </c>
      <c r="F442" s="398">
        <f>IFERROR(E442*'01 Prod Physique Boites'!H440,"-")</f>
        <v>0</v>
      </c>
      <c r="G442" s="687">
        <f>IFERROR(E442*'01 Prod Physique Boites'!L440,"-")</f>
        <v>96412.867200000008</v>
      </c>
      <c r="H442" s="384">
        <v>37.89</v>
      </c>
      <c r="I442" s="419">
        <f>IFERROR(H442*(F442/E442),"-")</f>
        <v>0</v>
      </c>
      <c r="J442" s="420">
        <f t="shared" si="236"/>
        <v>141860.16000000003</v>
      </c>
    </row>
    <row r="443" spans="1:10" ht="23.25" thickBot="1" x14ac:dyDescent="0.3">
      <c r="A443" s="274" t="s">
        <v>101</v>
      </c>
      <c r="B443" s="849"/>
      <c r="C443" s="300"/>
      <c r="D443" s="301" t="s">
        <v>50</v>
      </c>
      <c r="E443" s="386"/>
      <c r="F443" s="402">
        <f t="shared" ref="F443:G443" si="237">SUM(F440:F442)</f>
        <v>0</v>
      </c>
      <c r="G443" s="403">
        <f t="shared" si="237"/>
        <v>96412.867200000008</v>
      </c>
      <c r="H443" s="387"/>
      <c r="I443" s="402">
        <f t="shared" ref="I443" si="238">SUM(I440:I442)</f>
        <v>0</v>
      </c>
      <c r="J443" s="421">
        <f>SUM(J440:J442)</f>
        <v>141860.16000000003</v>
      </c>
    </row>
    <row r="444" spans="1:10" ht="24" x14ac:dyDescent="0.25">
      <c r="A444" s="274" t="s">
        <v>101</v>
      </c>
      <c r="B444" s="849"/>
      <c r="C444" s="296" t="s">
        <v>434</v>
      </c>
      <c r="D444" s="296" t="s">
        <v>92</v>
      </c>
      <c r="E444" s="500">
        <v>24.2607</v>
      </c>
      <c r="F444" s="398">
        <f>IFERROR(E444*'01 Prod Physique Boites'!H442,"-")</f>
        <v>0</v>
      </c>
      <c r="G444" s="687">
        <f>IFERROR(E444*'01 Prod Physique Boites'!L442,"-")</f>
        <v>0</v>
      </c>
      <c r="H444" s="379">
        <v>28.31</v>
      </c>
      <c r="I444" s="624">
        <f>IFERROR(H444*(F444/E444),"-")</f>
        <v>0</v>
      </c>
      <c r="J444" s="416">
        <f t="shared" ref="J444:J449" si="239">IFERROR(H444*(G444/E444),"-")</f>
        <v>0</v>
      </c>
    </row>
    <row r="445" spans="1:10" ht="24" x14ac:dyDescent="0.25">
      <c r="A445" s="274"/>
      <c r="B445" s="849"/>
      <c r="C445" s="302" t="s">
        <v>444</v>
      </c>
      <c r="D445" s="298" t="s">
        <v>332</v>
      </c>
      <c r="E445" s="500">
        <v>24.2607</v>
      </c>
      <c r="F445" s="398">
        <f>IFERROR(E445*'01 Prod Physique Boites'!H443,"-")</f>
        <v>0</v>
      </c>
      <c r="G445" s="687">
        <f>IFERROR(E445*'01 Prod Physique Boites'!L443,"-")</f>
        <v>0</v>
      </c>
      <c r="H445" s="379">
        <v>28.88</v>
      </c>
      <c r="I445" s="624">
        <f t="shared" ref="I445:I449" si="240">IFERROR(H445*(F445/E445),"-")</f>
        <v>0</v>
      </c>
      <c r="J445" s="416">
        <f t="shared" si="239"/>
        <v>0</v>
      </c>
    </row>
    <row r="446" spans="1:10" ht="24" x14ac:dyDescent="0.25">
      <c r="A446" s="274"/>
      <c r="B446" s="849"/>
      <c r="C446" s="302" t="s">
        <v>447</v>
      </c>
      <c r="D446" s="298" t="s">
        <v>332</v>
      </c>
      <c r="E446" s="500">
        <v>25.4041</v>
      </c>
      <c r="F446" s="398">
        <f>IFERROR(E446*'01 Prod Physique Boites'!H444,"-")</f>
        <v>0</v>
      </c>
      <c r="G446" s="687">
        <f>IFERROR(E446*'01 Prod Physique Boites'!L444,"-")</f>
        <v>0</v>
      </c>
      <c r="H446" s="379">
        <v>28.21</v>
      </c>
      <c r="I446" s="624">
        <f t="shared" si="240"/>
        <v>0</v>
      </c>
      <c r="J446" s="416">
        <f t="shared" si="239"/>
        <v>0</v>
      </c>
    </row>
    <row r="447" spans="1:10" ht="24" x14ac:dyDescent="0.25">
      <c r="A447" s="274" t="s">
        <v>101</v>
      </c>
      <c r="B447" s="849"/>
      <c r="C447" s="302" t="s">
        <v>333</v>
      </c>
      <c r="D447" s="302" t="s">
        <v>233</v>
      </c>
      <c r="E447" s="501">
        <v>27.917000000000002</v>
      </c>
      <c r="F447" s="683">
        <f>IFERROR(E447*'01 Prod Physique Boites'!H445,"-")</f>
        <v>0</v>
      </c>
      <c r="G447" s="687">
        <f>IFERROR(E447*'01 Prod Physique Boites'!L445,"-")</f>
        <v>0</v>
      </c>
      <c r="H447" s="382">
        <v>39</v>
      </c>
      <c r="I447" s="624">
        <f t="shared" si="240"/>
        <v>0</v>
      </c>
      <c r="J447" s="416">
        <f t="shared" si="239"/>
        <v>0</v>
      </c>
    </row>
    <row r="448" spans="1:10" ht="24" x14ac:dyDescent="0.25">
      <c r="A448" s="274"/>
      <c r="B448" s="849"/>
      <c r="C448" s="299" t="s">
        <v>453</v>
      </c>
      <c r="D448" s="299" t="s">
        <v>364</v>
      </c>
      <c r="E448" s="497">
        <v>22.094999999999999</v>
      </c>
      <c r="F448" s="683">
        <f>IFERROR(E448*'01 Prod Physique Boites'!H446,"-")</f>
        <v>0</v>
      </c>
      <c r="G448" s="687">
        <f>IFERROR(E448*'01 Prod Physique Boites'!L446,"-")</f>
        <v>0</v>
      </c>
      <c r="H448" s="704">
        <v>37.11</v>
      </c>
      <c r="I448" s="624">
        <f t="shared" si="240"/>
        <v>0</v>
      </c>
      <c r="J448" s="416">
        <f t="shared" si="239"/>
        <v>0</v>
      </c>
    </row>
    <row r="449" spans="1:10" ht="24.75" thickBot="1" x14ac:dyDescent="0.3">
      <c r="A449" s="274" t="s">
        <v>101</v>
      </c>
      <c r="B449" s="849"/>
      <c r="C449" s="299" t="s">
        <v>433</v>
      </c>
      <c r="D449" s="299" t="s">
        <v>421</v>
      </c>
      <c r="E449" s="497">
        <v>23.697399999999998</v>
      </c>
      <c r="F449" s="398">
        <f>IFERROR(E449*'01 Prod Physique Boites'!H447,"-")</f>
        <v>0</v>
      </c>
      <c r="G449" s="399">
        <f>IFERROR(E449*'01 Prod Physique Boites'!L447,"-")</f>
        <v>0</v>
      </c>
      <c r="H449" s="384">
        <v>28.21</v>
      </c>
      <c r="I449" s="624">
        <f t="shared" si="240"/>
        <v>0</v>
      </c>
      <c r="J449" s="416">
        <f t="shared" si="239"/>
        <v>0</v>
      </c>
    </row>
    <row r="450" spans="1:10" ht="23.25" thickBot="1" x14ac:dyDescent="0.3">
      <c r="A450" s="274" t="s">
        <v>101</v>
      </c>
      <c r="B450" s="849"/>
      <c r="C450" s="303"/>
      <c r="D450" s="304" t="s">
        <v>51</v>
      </c>
      <c r="E450" s="393"/>
      <c r="F450" s="410">
        <f t="shared" ref="F450:G450" si="241">SUM(F444:F449)</f>
        <v>0</v>
      </c>
      <c r="G450" s="411">
        <f t="shared" si="241"/>
        <v>0</v>
      </c>
      <c r="H450" s="394"/>
      <c r="I450" s="410">
        <f t="shared" ref="I450" si="242">SUM(I444:I449)</f>
        <v>0</v>
      </c>
      <c r="J450" s="426">
        <f>SUM(J444:J449)</f>
        <v>0</v>
      </c>
    </row>
    <row r="451" spans="1:10" ht="23.25" thickBot="1" x14ac:dyDescent="0.3">
      <c r="A451" s="274" t="s">
        <v>101</v>
      </c>
      <c r="B451" s="850" t="s">
        <v>163</v>
      </c>
      <c r="C451" s="851"/>
      <c r="D451" s="852"/>
      <c r="E451" s="395"/>
      <c r="F451" s="412">
        <f t="shared" ref="F451:G451" si="243">+F443+F450</f>
        <v>0</v>
      </c>
      <c r="G451" s="413">
        <f t="shared" si="243"/>
        <v>96412.867200000008</v>
      </c>
      <c r="H451" s="396"/>
      <c r="I451" s="412">
        <f t="shared" ref="I451:J451" si="244">+I443+I450</f>
        <v>0</v>
      </c>
      <c r="J451" s="427">
        <f t="shared" si="244"/>
        <v>141860.16000000003</v>
      </c>
    </row>
    <row r="452" spans="1:10" ht="24.75" thickBot="1" x14ac:dyDescent="0.3">
      <c r="A452" s="274" t="s">
        <v>101</v>
      </c>
      <c r="B452" s="592" t="s">
        <v>32</v>
      </c>
      <c r="C452" s="811"/>
      <c r="D452" s="309"/>
      <c r="E452" s="502">
        <v>12.2659</v>
      </c>
      <c r="F452" s="404">
        <f>IFERROR(E452*'01 Prod Physique Boites'!H446,"-")</f>
        <v>0</v>
      </c>
      <c r="G452" s="405">
        <f>IFERROR(E452*'01 Prod Physique Boites'!L446,"-")</f>
        <v>0</v>
      </c>
      <c r="H452" s="388"/>
      <c r="I452" s="422">
        <f>IFERROR(H452*(F452/E452),"-")</f>
        <v>0</v>
      </c>
      <c r="J452" s="423">
        <f>IFERROR(H452*(G452/E452),"-")</f>
        <v>0</v>
      </c>
    </row>
    <row r="453" spans="1:10" ht="23.25" thickBot="1" x14ac:dyDescent="0.3">
      <c r="A453" s="274" t="s">
        <v>101</v>
      </c>
      <c r="B453" s="853" t="s">
        <v>21</v>
      </c>
      <c r="C453" s="854"/>
      <c r="D453" s="855"/>
      <c r="E453" s="389"/>
      <c r="F453" s="406">
        <f>+F439+F451+F452</f>
        <v>3402660.2687999997</v>
      </c>
      <c r="G453" s="407">
        <f>+G439+G451+G452</f>
        <v>11826223.7184</v>
      </c>
      <c r="H453" s="390"/>
      <c r="I453" s="406">
        <f t="shared" ref="I453:J453" si="245">+I439+I451+I452</f>
        <v>4855705.92</v>
      </c>
      <c r="J453" s="424">
        <f t="shared" si="245"/>
        <v>17300286.899999999</v>
      </c>
    </row>
    <row r="454" spans="1:10" ht="23.25" thickBot="1" x14ac:dyDescent="0.3">
      <c r="A454" s="274" t="s">
        <v>101</v>
      </c>
      <c r="B454" s="839" t="s">
        <v>171</v>
      </c>
      <c r="C454" s="840"/>
      <c r="D454" s="841"/>
      <c r="E454" s="391"/>
      <c r="F454" s="408">
        <f t="shared" ref="F454:G454" si="246">+F453</f>
        <v>3402660.2687999997</v>
      </c>
      <c r="G454" s="409">
        <f t="shared" si="246"/>
        <v>11826223.7184</v>
      </c>
      <c r="H454" s="392"/>
      <c r="I454" s="408">
        <f t="shared" ref="I454:J454" si="247">+I453</f>
        <v>4855705.92</v>
      </c>
      <c r="J454" s="425">
        <f t="shared" si="247"/>
        <v>17300286.899999999</v>
      </c>
    </row>
    <row r="455" spans="1:10" ht="24" x14ac:dyDescent="0.25">
      <c r="A455" s="268" t="s">
        <v>102</v>
      </c>
      <c r="B455" s="842" t="s">
        <v>399</v>
      </c>
      <c r="C455" s="310" t="s">
        <v>113</v>
      </c>
      <c r="D455" s="310"/>
      <c r="E455" s="669">
        <v>254.89750000000001</v>
      </c>
      <c r="F455" s="398">
        <f>IFERROR(E455*'01 Prod Physique Boites'!H453,"-")</f>
        <v>0</v>
      </c>
      <c r="G455" s="399">
        <f>IFERROR(E455*'01 Prod Physique Boites'!L453,"-")</f>
        <v>0</v>
      </c>
      <c r="H455" s="379">
        <v>445.38</v>
      </c>
      <c r="I455" s="415">
        <f>IFERROR(H455*(F455/E455),"-")</f>
        <v>0</v>
      </c>
      <c r="J455" s="416">
        <f t="shared" ref="J455:J457" si="248">IFERROR(H455*(G455/E455),"-")</f>
        <v>0</v>
      </c>
    </row>
    <row r="456" spans="1:10" ht="24" x14ac:dyDescent="0.25">
      <c r="A456" s="274" t="s">
        <v>102</v>
      </c>
      <c r="B456" s="843"/>
      <c r="C456" s="311" t="s">
        <v>246</v>
      </c>
      <c r="D456" s="311"/>
      <c r="E456" s="499">
        <v>246.51390000000001</v>
      </c>
      <c r="F456" s="398">
        <f>IFERROR(E456*'01 Prod Physique Boites'!H454,"-")</f>
        <v>0</v>
      </c>
      <c r="G456" s="399">
        <f>IFERROR(E456*'01 Prod Physique Boites'!L454,"-")</f>
        <v>0</v>
      </c>
      <c r="H456" s="382">
        <v>430.02</v>
      </c>
      <c r="I456" s="417">
        <f>IFERROR(H456*(F456/E456),"-")</f>
        <v>0</v>
      </c>
      <c r="J456" s="418">
        <f t="shared" si="248"/>
        <v>0</v>
      </c>
    </row>
    <row r="457" spans="1:10" ht="24.75" thickBot="1" x14ac:dyDescent="0.3">
      <c r="A457" s="274" t="s">
        <v>102</v>
      </c>
      <c r="B457" s="844"/>
      <c r="C457" s="312" t="s">
        <v>33</v>
      </c>
      <c r="D457" s="312"/>
      <c r="E457" s="496">
        <v>225.7713</v>
      </c>
      <c r="F457" s="398">
        <f>IFERROR(E457*'01 Prod Physique Boites'!H455,"-")</f>
        <v>0</v>
      </c>
      <c r="G457" s="399">
        <f>IFERROR(E457*'01 Prod Physique Boites'!L455,"-")</f>
        <v>0</v>
      </c>
      <c r="H457" s="384"/>
      <c r="I457" s="419">
        <f>IFERROR(H457*(F457/E457),"-")</f>
        <v>0</v>
      </c>
      <c r="J457" s="420">
        <f t="shared" si="248"/>
        <v>0</v>
      </c>
    </row>
    <row r="458" spans="1:10" ht="23.25" thickBot="1" x14ac:dyDescent="0.3">
      <c r="A458" s="274" t="s">
        <v>102</v>
      </c>
      <c r="B458" s="845" t="s">
        <v>34</v>
      </c>
      <c r="C458" s="846"/>
      <c r="D458" s="847"/>
      <c r="E458" s="386"/>
      <c r="F458" s="402">
        <f t="shared" ref="F458:G458" si="249">SUM(F455:F457)</f>
        <v>0</v>
      </c>
      <c r="G458" s="403">
        <f t="shared" si="249"/>
        <v>0</v>
      </c>
      <c r="H458" s="387"/>
      <c r="I458" s="402">
        <f t="shared" ref="I458:J458" si="250">SUM(I455:I457)</f>
        <v>0</v>
      </c>
      <c r="J458" s="421">
        <f t="shared" si="250"/>
        <v>0</v>
      </c>
    </row>
    <row r="459" spans="1:10" ht="24" x14ac:dyDescent="0.25">
      <c r="A459" s="274" t="s">
        <v>102</v>
      </c>
      <c r="B459" s="842" t="s">
        <v>35</v>
      </c>
      <c r="C459" s="310" t="s">
        <v>113</v>
      </c>
      <c r="D459" s="310"/>
      <c r="E459" s="498">
        <v>254.89750000000001</v>
      </c>
      <c r="F459" s="398">
        <f>IFERROR(E459*'01 Prod Physique Boites'!H457,"-")</f>
        <v>0</v>
      </c>
      <c r="G459" s="399">
        <f>IFERROR(E459*'01 Prod Physique Boites'!L457,"-")</f>
        <v>0</v>
      </c>
      <c r="H459" s="379">
        <v>445.38</v>
      </c>
      <c r="I459" s="415">
        <f>IFERROR(H459*(F459/E459),"-")</f>
        <v>0</v>
      </c>
      <c r="J459" s="416">
        <f t="shared" ref="J459:J462" si="251">IFERROR(H459*(G459/E459),"-")</f>
        <v>0</v>
      </c>
    </row>
    <row r="460" spans="1:10" ht="24" x14ac:dyDescent="0.25">
      <c r="A460" s="274" t="s">
        <v>102</v>
      </c>
      <c r="B460" s="843"/>
      <c r="C460" s="311" t="s">
        <v>246</v>
      </c>
      <c r="D460" s="311"/>
      <c r="E460" s="499">
        <v>246.51390000000001</v>
      </c>
      <c r="F460" s="398">
        <f>IFERROR(E460*'01 Prod Physique Boites'!H458,"-")</f>
        <v>0</v>
      </c>
      <c r="G460" s="399">
        <f>IFERROR(E460*'01 Prod Physique Boites'!L458,"-")</f>
        <v>0</v>
      </c>
      <c r="H460" s="382">
        <v>430.02</v>
      </c>
      <c r="I460" s="417">
        <f>IFERROR(H460*(F460/E460),"-")</f>
        <v>0</v>
      </c>
      <c r="J460" s="418">
        <f t="shared" si="251"/>
        <v>0</v>
      </c>
    </row>
    <row r="461" spans="1:10" ht="24" x14ac:dyDescent="0.25">
      <c r="A461" s="274" t="s">
        <v>102</v>
      </c>
      <c r="B461" s="843"/>
      <c r="C461" s="311" t="s">
        <v>184</v>
      </c>
      <c r="D461" s="311" t="s">
        <v>183</v>
      </c>
      <c r="E461" s="499">
        <v>254.89750000000001</v>
      </c>
      <c r="F461" s="398">
        <f>IFERROR(E461*'01 Prod Physique Boites'!H459,"-")</f>
        <v>0</v>
      </c>
      <c r="G461" s="399">
        <f>IFERROR(E461*'01 Prod Physique Boites'!L459,"-")</f>
        <v>0</v>
      </c>
      <c r="H461" s="382"/>
      <c r="I461" s="417">
        <f>IFERROR(H461*(F461/E461),"-")</f>
        <v>0</v>
      </c>
      <c r="J461" s="418">
        <f t="shared" si="251"/>
        <v>0</v>
      </c>
    </row>
    <row r="462" spans="1:10" ht="24.75" thickBot="1" x14ac:dyDescent="0.3">
      <c r="A462" s="274" t="s">
        <v>102</v>
      </c>
      <c r="B462" s="844"/>
      <c r="C462" s="312" t="s">
        <v>36</v>
      </c>
      <c r="D462" s="312"/>
      <c r="E462" s="496">
        <v>229.99359999999999</v>
      </c>
      <c r="F462" s="398">
        <f>IFERROR(E462*'01 Prod Physique Boites'!H460,"-")</f>
        <v>0</v>
      </c>
      <c r="G462" s="399">
        <f>IFERROR(E462*'01 Prod Physique Boites'!L460,"-")</f>
        <v>0</v>
      </c>
      <c r="H462" s="384"/>
      <c r="I462" s="419">
        <f>IFERROR(H462*(F462/E462),"-")</f>
        <v>0</v>
      </c>
      <c r="J462" s="420">
        <f t="shared" si="251"/>
        <v>0</v>
      </c>
    </row>
    <row r="463" spans="1:10" ht="23.25" thickBot="1" x14ac:dyDescent="0.3">
      <c r="A463" s="274" t="s">
        <v>102</v>
      </c>
      <c r="B463" s="845" t="s">
        <v>37</v>
      </c>
      <c r="C463" s="846"/>
      <c r="D463" s="847"/>
      <c r="E463" s="386"/>
      <c r="F463" s="402">
        <f t="shared" ref="F463:G463" si="252">SUM(F459:F462)</f>
        <v>0</v>
      </c>
      <c r="G463" s="403">
        <f t="shared" si="252"/>
        <v>0</v>
      </c>
      <c r="H463" s="387"/>
      <c r="I463" s="402">
        <f>SUM(I459:I462)</f>
        <v>0</v>
      </c>
      <c r="J463" s="421">
        <f>SUM(J459:J462)</f>
        <v>0</v>
      </c>
    </row>
    <row r="464" spans="1:10" ht="24" x14ac:dyDescent="0.25">
      <c r="A464" s="274" t="s">
        <v>102</v>
      </c>
      <c r="B464" s="842" t="s">
        <v>400</v>
      </c>
      <c r="C464" s="313" t="s">
        <v>116</v>
      </c>
      <c r="D464" s="313"/>
      <c r="E464" s="498">
        <v>195.2808</v>
      </c>
      <c r="F464" s="398">
        <f>IFERROR(E464*'01 Prod Physique Boites'!H462,"-")</f>
        <v>0</v>
      </c>
      <c r="G464" s="399">
        <f>IFERROR(E464*'01 Prod Physique Boites'!L462,"-")</f>
        <v>0</v>
      </c>
      <c r="H464" s="642">
        <v>256.7</v>
      </c>
      <c r="I464" s="415">
        <f>IFERROR(H464*(F464/E464),"-")</f>
        <v>0</v>
      </c>
      <c r="J464" s="416">
        <f t="shared" ref="J464:J465" si="253">IFERROR(H464*(G464/E464),"-")</f>
        <v>0</v>
      </c>
    </row>
    <row r="465" spans="1:10" ht="24.75" thickBot="1" x14ac:dyDescent="0.3">
      <c r="A465" s="274" t="s">
        <v>102</v>
      </c>
      <c r="B465" s="844"/>
      <c r="C465" s="285" t="s">
        <v>132</v>
      </c>
      <c r="D465" s="285"/>
      <c r="E465" s="496">
        <v>189.91890000000001</v>
      </c>
      <c r="F465" s="398">
        <f>IFERROR(E465*'01 Prod Physique Boites'!H463,"-")</f>
        <v>0</v>
      </c>
      <c r="G465" s="399">
        <f>IFERROR(E465*'01 Prod Physique Boites'!L463,"-")</f>
        <v>0</v>
      </c>
      <c r="H465" s="384">
        <v>320.35000000000002</v>
      </c>
      <c r="I465" s="419">
        <f>IFERROR(H465*(F465/E465),"-")</f>
        <v>0</v>
      </c>
      <c r="J465" s="420">
        <f t="shared" si="253"/>
        <v>0</v>
      </c>
    </row>
    <row r="466" spans="1:10" ht="23.25" thickBot="1" x14ac:dyDescent="0.3">
      <c r="A466" s="816" t="s">
        <v>102</v>
      </c>
      <c r="B466" s="845" t="s">
        <v>38</v>
      </c>
      <c r="C466" s="846"/>
      <c r="D466" s="847"/>
      <c r="E466" s="386"/>
      <c r="F466" s="402">
        <f>SUM(F464:F465)</f>
        <v>0</v>
      </c>
      <c r="G466" s="403">
        <f t="shared" ref="G466" si="254">SUM(G464:G465)</f>
        <v>0</v>
      </c>
      <c r="H466" s="387"/>
      <c r="I466" s="402">
        <f t="shared" ref="I466:J466" si="255">SUM(I464:I465)</f>
        <v>0</v>
      </c>
      <c r="J466" s="421">
        <f t="shared" si="255"/>
        <v>0</v>
      </c>
    </row>
    <row r="467" spans="1:10" ht="24" x14ac:dyDescent="0.25">
      <c r="A467" s="274" t="s">
        <v>102</v>
      </c>
      <c r="B467" s="842" t="s">
        <v>401</v>
      </c>
      <c r="C467" s="269" t="s">
        <v>305</v>
      </c>
      <c r="D467" s="269" t="s">
        <v>237</v>
      </c>
      <c r="E467" s="500">
        <v>37.248699999999999</v>
      </c>
      <c r="F467" s="398">
        <f>IFERROR(E467*'01 Prod Physique Boites'!H465,"-")</f>
        <v>2351584.9284000001</v>
      </c>
      <c r="G467" s="399">
        <f>IFERROR(E467*'01 Prod Physique Boites'!L465,"-")</f>
        <v>6698061.2340000002</v>
      </c>
      <c r="H467" s="379">
        <v>71.44</v>
      </c>
      <c r="I467" s="415">
        <f>IFERROR(H467*(F467/E467),"-")</f>
        <v>4510150.08</v>
      </c>
      <c r="J467" s="416">
        <f>IFERROR(H467*(G467/E467),"-")</f>
        <v>12846340.799999999</v>
      </c>
    </row>
    <row r="468" spans="1:10" ht="24" x14ac:dyDescent="0.25">
      <c r="A468" s="274" t="s">
        <v>102</v>
      </c>
      <c r="B468" s="843"/>
      <c r="C468" s="269" t="s">
        <v>156</v>
      </c>
      <c r="D468" s="275"/>
      <c r="E468" s="500">
        <v>37.248699999999999</v>
      </c>
      <c r="F468" s="398">
        <f>IFERROR(E468*'01 Prod Physique Boites'!H466,"-")</f>
        <v>0</v>
      </c>
      <c r="G468" s="399">
        <f>IFERROR(E468*'01 Prod Physique Boites'!L466,"-")</f>
        <v>0</v>
      </c>
      <c r="H468" s="382"/>
      <c r="I468" s="417">
        <f>IFERROR(H468*(F468/E468),"-")</f>
        <v>0</v>
      </c>
      <c r="J468" s="418">
        <f t="shared" ref="J468:J470" si="256">IFERROR(H468*(G468/E468),"-")</f>
        <v>0</v>
      </c>
    </row>
    <row r="469" spans="1:10" ht="24" x14ac:dyDescent="0.25">
      <c r="A469" s="274" t="s">
        <v>102</v>
      </c>
      <c r="B469" s="843"/>
      <c r="C469" s="275" t="s">
        <v>343</v>
      </c>
      <c r="D469" s="269" t="s">
        <v>237</v>
      </c>
      <c r="E469" s="500">
        <v>37.248699999999999</v>
      </c>
      <c r="F469" s="398">
        <f>IFERROR(E469*'01 Prod Physique Boites'!H467,"-")</f>
        <v>0</v>
      </c>
      <c r="G469" s="399">
        <f>IFERROR(E469*'01 Prod Physique Boites'!L467,"-")</f>
        <v>1500973.6151999999</v>
      </c>
      <c r="H469" s="382">
        <v>71.44</v>
      </c>
      <c r="I469" s="417">
        <f>IFERROR(H469*(F469/E469),"-")</f>
        <v>0</v>
      </c>
      <c r="J469" s="418">
        <f t="shared" si="256"/>
        <v>2878746.2399999998</v>
      </c>
    </row>
    <row r="470" spans="1:10" ht="24.75" thickBot="1" x14ac:dyDescent="0.3">
      <c r="A470" s="274" t="s">
        <v>102</v>
      </c>
      <c r="B470" s="843"/>
      <c r="C470" s="275" t="s">
        <v>157</v>
      </c>
      <c r="D470" s="275"/>
      <c r="E470" s="501">
        <v>38.466099999999997</v>
      </c>
      <c r="F470" s="398">
        <f>IFERROR(E470*'01 Prod Physique Boites'!H468,"-")</f>
        <v>0</v>
      </c>
      <c r="G470" s="399">
        <f>IFERROR(E470*'01 Prod Physique Boites'!L468,"-")</f>
        <v>0</v>
      </c>
      <c r="H470" s="382"/>
      <c r="I470" s="417">
        <f>IFERROR(H470*(F470/E470),"-")</f>
        <v>0</v>
      </c>
      <c r="J470" s="418">
        <f t="shared" si="256"/>
        <v>0</v>
      </c>
    </row>
    <row r="471" spans="1:10" ht="23.25" thickBot="1" x14ac:dyDescent="0.3">
      <c r="A471" s="274" t="s">
        <v>102</v>
      </c>
      <c r="B471" s="845" t="s">
        <v>39</v>
      </c>
      <c r="C471" s="846"/>
      <c r="D471" s="847"/>
      <c r="E471" s="386"/>
      <c r="F471" s="402">
        <f>SUM(F467:F470)</f>
        <v>2351584.9284000001</v>
      </c>
      <c r="G471" s="403">
        <f>SUM(G467:G470)</f>
        <v>8199034.8492000001</v>
      </c>
      <c r="H471" s="387"/>
      <c r="I471" s="402">
        <f>SUM(I467:I470)</f>
        <v>4510150.08</v>
      </c>
      <c r="J471" s="402">
        <f>SUM(J467:J470)</f>
        <v>15725087.039999999</v>
      </c>
    </row>
    <row r="472" spans="1:10" ht="24" x14ac:dyDescent="0.25">
      <c r="A472" s="274" t="s">
        <v>102</v>
      </c>
      <c r="B472" s="842" t="s">
        <v>40</v>
      </c>
      <c r="C472" s="269" t="s">
        <v>186</v>
      </c>
      <c r="D472" s="269" t="s">
        <v>183</v>
      </c>
      <c r="E472" s="500">
        <v>30.7499</v>
      </c>
      <c r="F472" s="398">
        <f>IFERROR(E472*'01 Prod Physique Boites'!H471,"-")</f>
        <v>0</v>
      </c>
      <c r="G472" s="399">
        <f>IFERROR(E472*'01 Prod Physique Boites'!L471,"-")</f>
        <v>0</v>
      </c>
      <c r="H472" s="379"/>
      <c r="I472" s="415">
        <f>IFERROR(H472*(F472/E472),"-")</f>
        <v>0</v>
      </c>
      <c r="J472" s="416">
        <f>IFERROR(H472*(G472/E472),"-")</f>
        <v>0</v>
      </c>
    </row>
    <row r="473" spans="1:10" ht="24" x14ac:dyDescent="0.25">
      <c r="A473" s="274" t="s">
        <v>102</v>
      </c>
      <c r="B473" s="843"/>
      <c r="C473" s="275" t="s">
        <v>159</v>
      </c>
      <c r="D473" s="275"/>
      <c r="E473" s="645">
        <v>25.139099999999999</v>
      </c>
      <c r="F473" s="398">
        <f>IFERROR(E473*'01 Prod Physique Boites'!H472,"-")</f>
        <v>0</v>
      </c>
      <c r="G473" s="399">
        <f>IFERROR(E473*'01 Prod Physique Boites'!L471,"-")</f>
        <v>0</v>
      </c>
      <c r="H473" s="382">
        <v>59.96</v>
      </c>
      <c r="I473" s="417">
        <f>IFERROR(H473*(F473/E473),"-")</f>
        <v>0</v>
      </c>
      <c r="J473" s="418">
        <f t="shared" ref="J473:J474" si="257">IFERROR(H473*(G473/E473),"-")</f>
        <v>0</v>
      </c>
    </row>
    <row r="474" spans="1:10" ht="24.75" thickBot="1" x14ac:dyDescent="0.3">
      <c r="A474" s="274" t="s">
        <v>102</v>
      </c>
      <c r="B474" s="844"/>
      <c r="C474" s="279" t="s">
        <v>186</v>
      </c>
      <c r="D474" s="279" t="s">
        <v>185</v>
      </c>
      <c r="E474" s="497">
        <v>30.073599999999999</v>
      </c>
      <c r="F474" s="398">
        <f>IFERROR(E474*'01 Prod Physique Boites'!H473,"-")</f>
        <v>0</v>
      </c>
      <c r="G474" s="399">
        <f>IFERROR(E474*'01 Prod Physique Boites'!L472,"-")</f>
        <v>0</v>
      </c>
      <c r="H474" s="384"/>
      <c r="I474" s="419">
        <f>IFERROR(H474*(F474/E474),"-")</f>
        <v>0</v>
      </c>
      <c r="J474" s="420">
        <f t="shared" si="257"/>
        <v>0</v>
      </c>
    </row>
    <row r="475" spans="1:10" ht="23.25" thickBot="1" x14ac:dyDescent="0.3">
      <c r="A475" s="274" t="s">
        <v>102</v>
      </c>
      <c r="B475" s="862" t="s">
        <v>41</v>
      </c>
      <c r="C475" s="863"/>
      <c r="D475" s="864"/>
      <c r="E475" s="386"/>
      <c r="F475" s="402">
        <f t="shared" ref="F475:G475" si="258">SUM(F472:F474)</f>
        <v>0</v>
      </c>
      <c r="G475" s="403">
        <f t="shared" si="258"/>
        <v>0</v>
      </c>
      <c r="H475" s="387"/>
      <c r="I475" s="402">
        <f t="shared" ref="I475:J475" si="259">SUM(I472:I474)</f>
        <v>0</v>
      </c>
      <c r="J475" s="421">
        <f t="shared" si="259"/>
        <v>0</v>
      </c>
    </row>
    <row r="476" spans="1:10" ht="24" x14ac:dyDescent="0.25">
      <c r="A476" s="274" t="s">
        <v>102</v>
      </c>
      <c r="B476" s="842" t="s">
        <v>42</v>
      </c>
      <c r="C476" s="269" t="s">
        <v>160</v>
      </c>
      <c r="D476" s="269"/>
      <c r="E476" s="500">
        <v>36.684899999999999</v>
      </c>
      <c r="F476" s="398">
        <f>IFERROR(E476*'01 Prod Physique Boites'!H475,"-")</f>
        <v>0</v>
      </c>
      <c r="G476" s="399">
        <f>IFERROR(E476*'01 Prod Physique Boites'!L475,"-")</f>
        <v>657393.40799999994</v>
      </c>
      <c r="H476" s="379">
        <v>42</v>
      </c>
      <c r="I476" s="415">
        <f t="shared" ref="I476:I477" si="260">IFERROR(H476*(F476/E476),"-")</f>
        <v>0</v>
      </c>
      <c r="J476" s="380">
        <f t="shared" ref="J476:J477" si="261">IFERROR(H476*(G476/E476),"-")</f>
        <v>752640</v>
      </c>
    </row>
    <row r="477" spans="1:10" ht="24.75" thickBot="1" x14ac:dyDescent="0.3">
      <c r="A477" s="274" t="s">
        <v>102</v>
      </c>
      <c r="B477" s="844"/>
      <c r="C477" s="279" t="s">
        <v>161</v>
      </c>
      <c r="D477" s="279"/>
      <c r="E477" s="497">
        <v>37.002800000000001</v>
      </c>
      <c r="F477" s="398">
        <f>IFERROR(E477*'01 Prod Physique Boites'!H476,"-")</f>
        <v>0</v>
      </c>
      <c r="G477" s="399">
        <f>IFERROR(E477*'01 Prod Physique Boites'!L476,"-")</f>
        <v>0</v>
      </c>
      <c r="H477" s="384">
        <v>45.5</v>
      </c>
      <c r="I477" s="415">
        <f t="shared" si="260"/>
        <v>0</v>
      </c>
      <c r="J477" s="385">
        <f t="shared" si="261"/>
        <v>0</v>
      </c>
    </row>
    <row r="478" spans="1:10" ht="23.25" thickBot="1" x14ac:dyDescent="0.3">
      <c r="A478" s="274" t="s">
        <v>102</v>
      </c>
      <c r="B478" s="862" t="s">
        <v>43</v>
      </c>
      <c r="C478" s="863"/>
      <c r="D478" s="864"/>
      <c r="E478" s="386"/>
      <c r="F478" s="398">
        <f>SUM(F476:F477)</f>
        <v>0</v>
      </c>
      <c r="G478" s="398">
        <f>SUM(G476:G477)</f>
        <v>657393.40799999994</v>
      </c>
      <c r="H478" s="387"/>
      <c r="I478" s="402">
        <f t="shared" ref="I478:J478" si="262">SUM(I476:I477)</f>
        <v>0</v>
      </c>
      <c r="J478" s="421">
        <f t="shared" si="262"/>
        <v>752640</v>
      </c>
    </row>
    <row r="479" spans="1:10" ht="23.25" thickBot="1" x14ac:dyDescent="0.3">
      <c r="A479" s="274" t="s">
        <v>102</v>
      </c>
      <c r="B479" s="856" t="s">
        <v>25</v>
      </c>
      <c r="C479" s="857"/>
      <c r="D479" s="858"/>
      <c r="E479" s="389"/>
      <c r="F479" s="406">
        <f>+F458+F463+F466+F471+F475+F478</f>
        <v>2351584.9284000001</v>
      </c>
      <c r="G479" s="407">
        <f>+G458+G463+G466+G471+G475+G478</f>
        <v>8856428.2572000008</v>
      </c>
      <c r="H479" s="390"/>
      <c r="I479" s="406">
        <f>+I458+I463+I466+I471+I475+I478</f>
        <v>4510150.08</v>
      </c>
      <c r="J479" s="424">
        <f>+J458+J463+J466+J471+J475+J478</f>
        <v>16477727.039999999</v>
      </c>
    </row>
    <row r="480" spans="1:10" ht="23.25" thickBot="1" x14ac:dyDescent="0.3">
      <c r="A480" s="317" t="s">
        <v>102</v>
      </c>
      <c r="B480" s="840" t="s">
        <v>173</v>
      </c>
      <c r="C480" s="840"/>
      <c r="D480" s="841"/>
      <c r="E480" s="391"/>
      <c r="F480" s="408">
        <f t="shared" ref="F480:G480" si="263">+F479</f>
        <v>2351584.9284000001</v>
      </c>
      <c r="G480" s="409">
        <f t="shared" si="263"/>
        <v>8856428.2572000008</v>
      </c>
      <c r="H480" s="392"/>
      <c r="I480" s="408">
        <f t="shared" ref="I480" si="264">+I479</f>
        <v>4510150.08</v>
      </c>
      <c r="J480" s="425">
        <f>+J479</f>
        <v>16477727.039999999</v>
      </c>
    </row>
    <row r="481" spans="1:15" ht="26.25" thickBot="1" x14ac:dyDescent="0.3">
      <c r="A481" s="318"/>
      <c r="B481" s="859" t="s">
        <v>174</v>
      </c>
      <c r="C481" s="860"/>
      <c r="D481" s="861"/>
      <c r="E481" s="397"/>
      <c r="F481" s="414">
        <f>+F419+F454+F480</f>
        <v>7570181.4553999994</v>
      </c>
      <c r="G481" s="414">
        <f>+G419+G454+G480</f>
        <v>27408791.755400002</v>
      </c>
      <c r="H481" s="397"/>
      <c r="I481" s="414">
        <f>+I419+I454+I480</f>
        <v>11338265.18</v>
      </c>
      <c r="J481" s="428">
        <f>+J419+J454+J480</f>
        <v>41594263.079999998</v>
      </c>
    </row>
    <row r="482" spans="1:15" ht="24.6" customHeight="1" thickBot="1" x14ac:dyDescent="0.3">
      <c r="A482" s="230"/>
      <c r="B482" s="230"/>
      <c r="C482" s="230"/>
      <c r="D482" s="230"/>
      <c r="E482" s="376"/>
      <c r="F482" s="376"/>
      <c r="G482" s="376"/>
      <c r="H482" s="376"/>
      <c r="I482" s="376"/>
      <c r="J482" s="376"/>
    </row>
    <row r="483" spans="1:15" ht="22.5" x14ac:dyDescent="0.25">
      <c r="A483" s="881" t="s">
        <v>1</v>
      </c>
      <c r="B483" s="884" t="s">
        <v>2</v>
      </c>
      <c r="C483" s="887" t="s">
        <v>394</v>
      </c>
      <c r="D483" s="887" t="s">
        <v>395</v>
      </c>
      <c r="E483" s="909" t="s">
        <v>403</v>
      </c>
      <c r="F483" s="910"/>
      <c r="G483" s="910"/>
      <c r="H483" s="438"/>
      <c r="I483" s="438"/>
      <c r="J483" s="439"/>
    </row>
    <row r="484" spans="1:15" ht="22.5" x14ac:dyDescent="0.25">
      <c r="A484" s="882"/>
      <c r="B484" s="885"/>
      <c r="C484" s="888"/>
      <c r="D484" s="888"/>
      <c r="E484" s="911" t="s">
        <v>406</v>
      </c>
      <c r="F484" s="912"/>
      <c r="G484" s="913"/>
      <c r="H484" s="911" t="s">
        <v>168</v>
      </c>
      <c r="I484" s="912"/>
      <c r="J484" s="913"/>
    </row>
    <row r="485" spans="1:15" ht="45" x14ac:dyDescent="0.25">
      <c r="A485" s="883"/>
      <c r="B485" s="907"/>
      <c r="C485" s="908"/>
      <c r="D485" s="908"/>
      <c r="E485" s="377" t="s">
        <v>170</v>
      </c>
      <c r="F485" s="824" t="s">
        <v>405</v>
      </c>
      <c r="G485" s="825" t="s">
        <v>404</v>
      </c>
      <c r="H485" s="914" t="s">
        <v>170</v>
      </c>
      <c r="I485" s="916" t="s">
        <v>137</v>
      </c>
      <c r="J485" s="918" t="s">
        <v>404</v>
      </c>
    </row>
    <row r="486" spans="1:15" ht="23.25" thickBot="1" x14ac:dyDescent="0.3">
      <c r="A486" s="883"/>
      <c r="B486" s="886"/>
      <c r="C486" s="889"/>
      <c r="D486" s="889"/>
      <c r="E486" s="920" t="s">
        <v>523</v>
      </c>
      <c r="F486" s="921"/>
      <c r="G486" s="922"/>
      <c r="H486" s="915"/>
      <c r="I486" s="917"/>
      <c r="J486" s="919"/>
    </row>
    <row r="487" spans="1:15" ht="24" x14ac:dyDescent="0.25">
      <c r="A487" s="268" t="s">
        <v>103</v>
      </c>
      <c r="B487" s="867" t="s">
        <v>16</v>
      </c>
      <c r="C487" s="269" t="s">
        <v>366</v>
      </c>
      <c r="D487" s="269" t="s">
        <v>367</v>
      </c>
      <c r="E487" s="665">
        <v>81.360699999999994</v>
      </c>
      <c r="F487" s="398">
        <f>IFERROR(E487*'01 Prod Physique Boites'!H485,"-")</f>
        <v>0</v>
      </c>
      <c r="G487" s="398">
        <f>IFERROR(E487*'01 Prod Physique Boites'!L485,"-")</f>
        <v>0</v>
      </c>
      <c r="H487" s="666">
        <v>143.28</v>
      </c>
      <c r="I487" s="415">
        <f>IFERROR(H487*(F487/E487),"-")</f>
        <v>0</v>
      </c>
      <c r="J487" s="416">
        <f t="shared" ref="J487:J489" si="265">IFERROR(H487*(G487/E487),"-")</f>
        <v>0</v>
      </c>
    </row>
    <row r="488" spans="1:15" ht="24" x14ac:dyDescent="0.25">
      <c r="A488" s="673"/>
      <c r="B488" s="868"/>
      <c r="C488" s="275" t="s">
        <v>464</v>
      </c>
      <c r="D488" s="275" t="s">
        <v>373</v>
      </c>
      <c r="E488" s="501">
        <v>81.360699999999994</v>
      </c>
      <c r="F488" s="398">
        <f>IFERROR(E488*'01 Prod Physique Boites'!H486,"-")</f>
        <v>0</v>
      </c>
      <c r="G488" s="398">
        <f>IFERROR(E488*'01 Prod Physique Boites'!L486,"-")</f>
        <v>0</v>
      </c>
      <c r="H488" s="668">
        <v>143.28</v>
      </c>
      <c r="I488" s="415">
        <f>IFERROR(H488*(F488/E488),"-")</f>
        <v>0</v>
      </c>
      <c r="J488" s="416">
        <f t="shared" si="265"/>
        <v>0</v>
      </c>
    </row>
    <row r="489" spans="1:15" ht="24" x14ac:dyDescent="0.25">
      <c r="A489" s="274" t="s">
        <v>103</v>
      </c>
      <c r="B489" s="868"/>
      <c r="C489" s="275" t="s">
        <v>427</v>
      </c>
      <c r="D489" s="275" t="s">
        <v>382</v>
      </c>
      <c r="E489" s="645">
        <v>77.170400000000001</v>
      </c>
      <c r="F489" s="398">
        <f>IFERROR(E489*'01 Prod Physique Boites'!H487,"-")</f>
        <v>1061864.7039999999</v>
      </c>
      <c r="G489" s="646">
        <f>IFERROR(E489*'01 Prod Physique Boites'!L487,"-")</f>
        <v>1926173.1840000001</v>
      </c>
      <c r="H489" s="382">
        <v>0</v>
      </c>
      <c r="I489" s="415">
        <f>IFERROR(H489*(F489/E489),"-")</f>
        <v>0</v>
      </c>
      <c r="J489" s="416">
        <f t="shared" si="265"/>
        <v>0</v>
      </c>
    </row>
    <row r="490" spans="1:15" ht="24.75" thickBot="1" x14ac:dyDescent="0.3">
      <c r="A490" s="274" t="s">
        <v>103</v>
      </c>
      <c r="B490" s="869"/>
      <c r="C490" s="279" t="s">
        <v>261</v>
      </c>
      <c r="D490" s="279" t="s">
        <v>230</v>
      </c>
      <c r="E490" s="497">
        <v>60.703499999999998</v>
      </c>
      <c r="F490" s="398">
        <f>IFERROR(E490*'01 Prod Physique Boites'!H488,"-")</f>
        <v>0</v>
      </c>
      <c r="G490" s="398">
        <f>IFERROR(E490*'01 Prod Physique Boites'!L488,"-")</f>
        <v>0</v>
      </c>
      <c r="H490" s="384">
        <v>111.09</v>
      </c>
      <c r="I490" s="415">
        <f>IFERROR(H490*(F490/E490),"-")</f>
        <v>0</v>
      </c>
      <c r="J490" s="416">
        <f>IFERROR(H490*(G490/E490),"-")</f>
        <v>0</v>
      </c>
    </row>
    <row r="491" spans="1:15" ht="23.25" thickBot="1" x14ac:dyDescent="0.3">
      <c r="A491" s="274" t="s">
        <v>103</v>
      </c>
      <c r="B491" s="845" t="s">
        <v>44</v>
      </c>
      <c r="C491" s="846"/>
      <c r="D491" s="847"/>
      <c r="E491" s="386"/>
      <c r="F491" s="402">
        <f t="shared" ref="F491" si="266">SUM(F487:F490)</f>
        <v>1061864.7039999999</v>
      </c>
      <c r="G491" s="403">
        <f>SUM(G487:G490)</f>
        <v>1926173.1840000001</v>
      </c>
      <c r="H491" s="387"/>
      <c r="I491" s="402">
        <f t="shared" ref="I491:J491" si="267">SUM(I487:I490)</f>
        <v>0</v>
      </c>
      <c r="J491" s="421">
        <f t="shared" si="267"/>
        <v>0</v>
      </c>
      <c r="K491" s="664"/>
      <c r="L491" s="664"/>
      <c r="M491" s="664"/>
      <c r="N491" s="664"/>
      <c r="O491" s="664"/>
    </row>
    <row r="492" spans="1:15" ht="24" x14ac:dyDescent="0.25">
      <c r="A492" s="274" t="s">
        <v>103</v>
      </c>
      <c r="B492" s="867" t="s">
        <v>17</v>
      </c>
      <c r="C492" s="269" t="s">
        <v>293</v>
      </c>
      <c r="D492" s="269"/>
      <c r="E492" s="500">
        <v>12.5275</v>
      </c>
      <c r="F492" s="398">
        <f>IFERROR(E492*'01 Prod Physique Boites'!H490,"-")</f>
        <v>0</v>
      </c>
      <c r="G492" s="398">
        <f>IFERROR(E492*'01 Prod Physique Boites'!L490,"-")</f>
        <v>0</v>
      </c>
      <c r="H492" s="642">
        <v>18.836400000000001</v>
      </c>
      <c r="I492" s="415">
        <f t="shared" ref="I492:I498" si="268">IFERROR(H492*(F492/E492),"-")</f>
        <v>0</v>
      </c>
      <c r="J492" s="416">
        <f t="shared" ref="J492:J497" si="269">IFERROR(H492*(G492/E492),"-")</f>
        <v>0</v>
      </c>
    </row>
    <row r="493" spans="1:15" ht="24" x14ac:dyDescent="0.25">
      <c r="A493" s="274" t="s">
        <v>103</v>
      </c>
      <c r="B493" s="868"/>
      <c r="C493" s="275" t="s">
        <v>342</v>
      </c>
      <c r="D493" s="275" t="s">
        <v>231</v>
      </c>
      <c r="E493" s="638">
        <v>13.002700000000001</v>
      </c>
      <c r="F493" s="398">
        <f>IFERROR(E493*'01 Prod Physique Boites'!H491,"-")</f>
        <v>0</v>
      </c>
      <c r="G493" s="398">
        <f>IFERROR(E493*'01 Prod Physique Boites'!L491,"-")</f>
        <v>0</v>
      </c>
      <c r="H493" s="382">
        <v>21.18</v>
      </c>
      <c r="I493" s="417">
        <f t="shared" si="268"/>
        <v>0</v>
      </c>
      <c r="J493" s="418">
        <f t="shared" si="269"/>
        <v>0</v>
      </c>
    </row>
    <row r="494" spans="1:15" ht="24" x14ac:dyDescent="0.25">
      <c r="A494" s="274" t="s">
        <v>103</v>
      </c>
      <c r="B494" s="868"/>
      <c r="C494" s="275" t="s">
        <v>349</v>
      </c>
      <c r="D494" s="275" t="s">
        <v>187</v>
      </c>
      <c r="E494" s="638">
        <v>12.9049</v>
      </c>
      <c r="F494" s="398">
        <f>IFERROR(E494*'01 Prod Physique Boites'!H492,"-")</f>
        <v>0</v>
      </c>
      <c r="G494" s="398">
        <f>IFERROR(E494*'01 Prod Physique Boites'!L492,"-")</f>
        <v>1184669.82</v>
      </c>
      <c r="H494" s="382">
        <v>20.5</v>
      </c>
      <c r="I494" s="417">
        <f t="shared" si="268"/>
        <v>0</v>
      </c>
      <c r="J494" s="418">
        <f t="shared" si="269"/>
        <v>1881900.0000000002</v>
      </c>
    </row>
    <row r="495" spans="1:15" ht="24" x14ac:dyDescent="0.25">
      <c r="A495" s="274" t="s">
        <v>103</v>
      </c>
      <c r="B495" s="868"/>
      <c r="C495" s="275" t="s">
        <v>292</v>
      </c>
      <c r="D495" s="275" t="s">
        <v>188</v>
      </c>
      <c r="E495" s="501">
        <v>13.078200000000001</v>
      </c>
      <c r="F495" s="398">
        <f>IFERROR(E495*'01 Prod Physique Boites'!H493,"-")</f>
        <v>0</v>
      </c>
      <c r="G495" s="398">
        <f>IFERROR(E495*'01 Prod Physique Boites'!L493,"-")</f>
        <v>0</v>
      </c>
      <c r="H495" s="382">
        <v>20.6</v>
      </c>
      <c r="I495" s="417">
        <f t="shared" si="268"/>
        <v>0</v>
      </c>
      <c r="J495" s="418">
        <f t="shared" si="269"/>
        <v>0</v>
      </c>
    </row>
    <row r="496" spans="1:15" ht="24" x14ac:dyDescent="0.25">
      <c r="A496" s="274" t="s">
        <v>103</v>
      </c>
      <c r="B496" s="868"/>
      <c r="C496" s="275" t="s">
        <v>321</v>
      </c>
      <c r="D496" s="275" t="s">
        <v>316</v>
      </c>
      <c r="E496" s="501">
        <v>13.1958</v>
      </c>
      <c r="F496" s="398">
        <f>IFERROR(E496*'01 Prod Physique Boites'!H494,"-")</f>
        <v>0</v>
      </c>
      <c r="G496" s="398">
        <f>IFERROR(E496*'01 Prod Physique Boites'!L494,"-")</f>
        <v>0</v>
      </c>
      <c r="H496" s="382">
        <v>21.28</v>
      </c>
      <c r="I496" s="417">
        <f t="shared" si="268"/>
        <v>0</v>
      </c>
      <c r="J496" s="418">
        <f t="shared" si="269"/>
        <v>0</v>
      </c>
    </row>
    <row r="497" spans="1:15" ht="24" x14ac:dyDescent="0.25">
      <c r="A497" s="274">
        <v>1</v>
      </c>
      <c r="B497" s="868"/>
      <c r="C497" s="275" t="s">
        <v>350</v>
      </c>
      <c r="D497" s="275" t="s">
        <v>189</v>
      </c>
      <c r="E497" s="638">
        <v>12.9049</v>
      </c>
      <c r="F497" s="398">
        <f>IFERROR(E497*'01 Prod Physique Boites'!H495,"-")</f>
        <v>0</v>
      </c>
      <c r="G497" s="398">
        <f>IFERROR(E497*'01 Prod Physique Boites'!L495,"-")</f>
        <v>0</v>
      </c>
      <c r="H497" s="629">
        <v>20.5</v>
      </c>
      <c r="I497" s="417">
        <f t="shared" si="268"/>
        <v>0</v>
      </c>
      <c r="J497" s="418">
        <f t="shared" si="269"/>
        <v>0</v>
      </c>
    </row>
    <row r="498" spans="1:15" ht="24.75" thickBot="1" x14ac:dyDescent="0.3">
      <c r="A498" s="274" t="s">
        <v>103</v>
      </c>
      <c r="B498" s="869"/>
      <c r="C498" s="279" t="s">
        <v>339</v>
      </c>
      <c r="D498" s="279" t="s">
        <v>175</v>
      </c>
      <c r="E498" s="497">
        <v>13.6509</v>
      </c>
      <c r="F498" s="398">
        <f>IFERROR(E498*'01 Prod Physique Boites'!H496,"-")</f>
        <v>0</v>
      </c>
      <c r="G498" s="398">
        <f>IFERROR(E498*'01 Prod Physique Boites'!L496,"-")</f>
        <v>0</v>
      </c>
      <c r="H498" s="384">
        <v>21.18</v>
      </c>
      <c r="I498" s="419">
        <f t="shared" si="268"/>
        <v>0</v>
      </c>
      <c r="J498" s="420">
        <f>IFERROR(H498*(G498/E498),"-")</f>
        <v>0</v>
      </c>
    </row>
    <row r="499" spans="1:15" ht="23.25" thickBot="1" x14ac:dyDescent="0.3">
      <c r="A499" s="274" t="s">
        <v>103</v>
      </c>
      <c r="B499" s="845" t="s">
        <v>45</v>
      </c>
      <c r="C499" s="846"/>
      <c r="D499" s="847"/>
      <c r="E499" s="386"/>
      <c r="F499" s="402">
        <f t="shared" ref="F499" si="270">SUM(F492:F498)</f>
        <v>0</v>
      </c>
      <c r="G499" s="403">
        <f>SUM(G492:G498)</f>
        <v>1184669.82</v>
      </c>
      <c r="H499" s="387"/>
      <c r="I499" s="402">
        <f t="shared" ref="I499" si="271">SUM(I492:I498)</f>
        <v>0</v>
      </c>
      <c r="J499" s="421">
        <f>SUM(J492:J498)</f>
        <v>1881900.0000000002</v>
      </c>
      <c r="K499" s="664"/>
      <c r="L499" s="664"/>
      <c r="M499" s="664"/>
      <c r="N499" s="664"/>
      <c r="O499" s="664"/>
    </row>
    <row r="500" spans="1:15" ht="24" x14ac:dyDescent="0.25">
      <c r="A500" s="274" t="s">
        <v>103</v>
      </c>
      <c r="B500" s="867" t="s">
        <v>18</v>
      </c>
      <c r="C500" s="269" t="s">
        <v>311</v>
      </c>
      <c r="D500" s="269" t="s">
        <v>92</v>
      </c>
      <c r="E500" s="500">
        <v>17.8202</v>
      </c>
      <c r="F500" s="398">
        <f>IFERROR(E500*'01 Prod Physique Boites'!H498,"-")</f>
        <v>0</v>
      </c>
      <c r="G500" s="399">
        <f>IFERROR(E500*'01 Prod Physique Boites'!L498,"-")</f>
        <v>0</v>
      </c>
      <c r="H500" s="379">
        <v>24.93</v>
      </c>
      <c r="I500" s="415">
        <f t="shared" ref="I500:I506" si="272">IFERROR(H500*(F500/E500),"-")</f>
        <v>0</v>
      </c>
      <c r="J500" s="416">
        <f t="shared" ref="J500:J502" si="273">IFERROR(H500*(G500/E500),"-")</f>
        <v>0</v>
      </c>
    </row>
    <row r="501" spans="1:15" ht="24" x14ac:dyDescent="0.25">
      <c r="A501" s="274" t="s">
        <v>103</v>
      </c>
      <c r="B501" s="868"/>
      <c r="C501" s="275" t="s">
        <v>130</v>
      </c>
      <c r="D501" s="275"/>
      <c r="E501" s="501">
        <v>17.8202</v>
      </c>
      <c r="F501" s="398">
        <f>IFERROR(E501*'01 Prod Physique Boites'!H499,"-")</f>
        <v>0</v>
      </c>
      <c r="G501" s="399">
        <f>IFERROR(E501*'01 Prod Physique Boites'!L499,"-")</f>
        <v>0</v>
      </c>
      <c r="H501" s="382">
        <v>0</v>
      </c>
      <c r="I501" s="417">
        <f t="shared" si="272"/>
        <v>0</v>
      </c>
      <c r="J501" s="418">
        <f t="shared" si="273"/>
        <v>0</v>
      </c>
    </row>
    <row r="502" spans="1:15" ht="24" x14ac:dyDescent="0.25">
      <c r="A502" s="274" t="s">
        <v>103</v>
      </c>
      <c r="B502" s="868"/>
      <c r="C502" s="275" t="s">
        <v>115</v>
      </c>
      <c r="D502" s="275"/>
      <c r="E502" s="501">
        <v>16.4071</v>
      </c>
      <c r="F502" s="398">
        <f>IFERROR(E502*'01 Prod Physique Boites'!H500,"-")</f>
        <v>0</v>
      </c>
      <c r="G502" s="399">
        <f>IFERROR(E502*'01 Prod Physique Boites'!L500,"-")</f>
        <v>0</v>
      </c>
      <c r="H502" s="382">
        <v>0</v>
      </c>
      <c r="I502" s="417">
        <f t="shared" si="272"/>
        <v>0</v>
      </c>
      <c r="J502" s="418">
        <f t="shared" si="273"/>
        <v>0</v>
      </c>
    </row>
    <row r="503" spans="1:15" ht="24" x14ac:dyDescent="0.25">
      <c r="A503" s="274" t="s">
        <v>103</v>
      </c>
      <c r="B503" s="868"/>
      <c r="C503" s="275" t="s">
        <v>122</v>
      </c>
      <c r="D503" s="275"/>
      <c r="E503" s="501">
        <v>17.8202</v>
      </c>
      <c r="F503" s="398">
        <f>IFERROR(E503*'01 Prod Physique Boites'!H501,"-")</f>
        <v>0</v>
      </c>
      <c r="G503" s="399">
        <f>IFERROR(E503*'01 Prod Physique Boites'!L501,"-")</f>
        <v>0</v>
      </c>
      <c r="H503" s="382">
        <v>0</v>
      </c>
      <c r="I503" s="417">
        <f t="shared" si="272"/>
        <v>0</v>
      </c>
      <c r="J503" s="418">
        <f>IFERROR(H503*(G503/E503),"-")</f>
        <v>0</v>
      </c>
    </row>
    <row r="504" spans="1:15" ht="24" x14ac:dyDescent="0.25">
      <c r="A504" s="274" t="s">
        <v>103</v>
      </c>
      <c r="B504" s="868"/>
      <c r="C504" s="275" t="s">
        <v>176</v>
      </c>
      <c r="D504" s="275" t="s">
        <v>177</v>
      </c>
      <c r="E504" s="501">
        <v>17.8202</v>
      </c>
      <c r="F504" s="398">
        <f>IFERROR(E504*'01 Prod Physique Boites'!H502,"-")</f>
        <v>0</v>
      </c>
      <c r="G504" s="399">
        <f>IFERROR(E504*'01 Prod Physique Boites'!L502,"-")</f>
        <v>0</v>
      </c>
      <c r="H504" s="382">
        <v>0</v>
      </c>
      <c r="I504" s="417">
        <f t="shared" si="272"/>
        <v>0</v>
      </c>
      <c r="J504" s="418">
        <f t="shared" ref="J504:J506" si="274">IFERROR(H504*(G504/E504),"-")</f>
        <v>0</v>
      </c>
    </row>
    <row r="505" spans="1:15" ht="24" x14ac:dyDescent="0.25">
      <c r="A505" s="274" t="s">
        <v>103</v>
      </c>
      <c r="B505" s="868"/>
      <c r="C505" s="275" t="s">
        <v>179</v>
      </c>
      <c r="D505" s="275" t="s">
        <v>178</v>
      </c>
      <c r="E505" s="501">
        <v>16.7288</v>
      </c>
      <c r="F505" s="398">
        <f>IFERROR(E505*'01 Prod Physique Boites'!H503,"-")</f>
        <v>0</v>
      </c>
      <c r="G505" s="399">
        <f>IFERROR(E505*'01 Prod Physique Boites'!L503,"-")</f>
        <v>0</v>
      </c>
      <c r="H505" s="382">
        <v>0</v>
      </c>
      <c r="I505" s="417">
        <f t="shared" si="272"/>
        <v>0</v>
      </c>
      <c r="J505" s="418">
        <f t="shared" si="274"/>
        <v>0</v>
      </c>
    </row>
    <row r="506" spans="1:15" ht="24.75" thickBot="1" x14ac:dyDescent="0.3">
      <c r="A506" s="274" t="s">
        <v>103</v>
      </c>
      <c r="B506" s="869"/>
      <c r="C506" s="285" t="s">
        <v>180</v>
      </c>
      <c r="D506" s="285" t="s">
        <v>107</v>
      </c>
      <c r="E506" s="497">
        <v>17.8202</v>
      </c>
      <c r="F506" s="398">
        <f>IFERROR(E506*'01 Prod Physique Boites'!H504,"-")</f>
        <v>0</v>
      </c>
      <c r="G506" s="399">
        <f>IFERROR(E506*'01 Prod Physique Boites'!L504,"-")</f>
        <v>0</v>
      </c>
      <c r="H506" s="382">
        <v>0</v>
      </c>
      <c r="I506" s="419">
        <f t="shared" si="272"/>
        <v>0</v>
      </c>
      <c r="J506" s="420">
        <f t="shared" si="274"/>
        <v>0</v>
      </c>
    </row>
    <row r="507" spans="1:15" ht="23.25" thickBot="1" x14ac:dyDescent="0.3">
      <c r="A507" s="274" t="s">
        <v>103</v>
      </c>
      <c r="B507" s="845" t="s">
        <v>29</v>
      </c>
      <c r="C507" s="870"/>
      <c r="D507" s="871"/>
      <c r="E507" s="763"/>
      <c r="F507" s="768">
        <f t="shared" ref="F507:G507" si="275">SUM(F500:F506)</f>
        <v>0</v>
      </c>
      <c r="G507" s="411">
        <f t="shared" si="275"/>
        <v>0</v>
      </c>
      <c r="H507" s="394"/>
      <c r="I507" s="410">
        <f t="shared" ref="I507:J507" si="276">SUM(I500:I506)</f>
        <v>0</v>
      </c>
      <c r="J507" s="426">
        <f t="shared" si="276"/>
        <v>0</v>
      </c>
    </row>
    <row r="508" spans="1:15" ht="24" x14ac:dyDescent="0.25">
      <c r="A508" s="274"/>
      <c r="B508" s="872" t="s">
        <v>19</v>
      </c>
      <c r="C508" s="634" t="s">
        <v>234</v>
      </c>
      <c r="D508" s="734" t="s">
        <v>177</v>
      </c>
      <c r="E508" s="765">
        <v>12.2659</v>
      </c>
      <c r="F508" s="769">
        <f>IFERROR(E508*'01 Prod Physique Boites'!H506,"-")</f>
        <v>0</v>
      </c>
      <c r="G508" s="772">
        <f>IFERROR(E508*'01 Prod Physique Boites'!L506,"-")</f>
        <v>932600.90879999998</v>
      </c>
      <c r="H508" s="775">
        <v>14.79</v>
      </c>
      <c r="I508" s="769">
        <f t="shared" ref="I508:I514" si="277">IFERROR(H508*(F508/E508),"-")</f>
        <v>0</v>
      </c>
      <c r="J508" s="628">
        <f>IFERROR(H508*(G508/E508),"-")</f>
        <v>1124513.28</v>
      </c>
    </row>
    <row r="509" spans="1:15" ht="24" x14ac:dyDescent="0.25">
      <c r="A509" s="274"/>
      <c r="B509" s="873"/>
      <c r="C509" s="727" t="s">
        <v>375</v>
      </c>
      <c r="D509" s="733" t="s">
        <v>421</v>
      </c>
      <c r="E509" s="766">
        <v>12.2659</v>
      </c>
      <c r="F509" s="770">
        <f>IFERROR(E509*'01 Prod Physique Boites'!H507,"-")</f>
        <v>0</v>
      </c>
      <c r="G509" s="773">
        <f>IFERROR(E509*'01 Prod Physique Boites'!L507,"-")</f>
        <v>0</v>
      </c>
      <c r="H509" s="776">
        <v>14.55</v>
      </c>
      <c r="I509" s="770">
        <f t="shared" si="277"/>
        <v>0</v>
      </c>
      <c r="J509" s="622">
        <f t="shared" ref="J509:J514" si="278">IFERROR(H509*(G509/E509),"-")</f>
        <v>0</v>
      </c>
    </row>
    <row r="510" spans="1:15" ht="24" x14ac:dyDescent="0.25">
      <c r="A510" s="274"/>
      <c r="B510" s="873"/>
      <c r="C510" s="727" t="s">
        <v>234</v>
      </c>
      <c r="D510" s="733" t="s">
        <v>476</v>
      </c>
      <c r="E510" s="766">
        <v>12.2659</v>
      </c>
      <c r="F510" s="770">
        <f>IFERROR(E510*'01 Prod Physique Boites'!H508,"-")</f>
        <v>0</v>
      </c>
      <c r="G510" s="773">
        <f>IFERROR(E510*'01 Prod Physique Boites'!L508,"-")</f>
        <v>0</v>
      </c>
      <c r="H510" s="776">
        <v>16.41</v>
      </c>
      <c r="I510" s="770">
        <f t="shared" si="277"/>
        <v>0</v>
      </c>
      <c r="J510" s="622">
        <f t="shared" si="278"/>
        <v>0</v>
      </c>
    </row>
    <row r="511" spans="1:15" ht="24" x14ac:dyDescent="0.25">
      <c r="A511" s="274"/>
      <c r="B511" s="873"/>
      <c r="C511" s="727" t="s">
        <v>375</v>
      </c>
      <c r="D511" s="733" t="s">
        <v>476</v>
      </c>
      <c r="E511" s="766">
        <v>12.2659</v>
      </c>
      <c r="F511" s="770">
        <f>IFERROR(E511*'01 Prod Physique Boites'!H509,"-")</f>
        <v>0</v>
      </c>
      <c r="G511" s="773">
        <f>IFERROR(E511*'01 Prod Physique Boites'!L509,"-")</f>
        <v>0</v>
      </c>
      <c r="H511" s="776">
        <v>16.41</v>
      </c>
      <c r="I511" s="770">
        <f t="shared" si="277"/>
        <v>0</v>
      </c>
      <c r="J511" s="622">
        <f t="shared" si="278"/>
        <v>0</v>
      </c>
    </row>
    <row r="512" spans="1:15" ht="24" x14ac:dyDescent="0.25">
      <c r="A512" s="274"/>
      <c r="B512" s="873"/>
      <c r="C512" s="727" t="s">
        <v>484</v>
      </c>
      <c r="D512" s="733" t="s">
        <v>476</v>
      </c>
      <c r="E512" s="766">
        <v>12.2659</v>
      </c>
      <c r="F512" s="770">
        <f>IFERROR(E512*'01 Prod Physique Boites'!H510,"-")</f>
        <v>207244.6464</v>
      </c>
      <c r="G512" s="773">
        <f>IFERROR(E512*'01 Prod Physique Boites'!L510,"-")</f>
        <v>414489.2928</v>
      </c>
      <c r="H512" s="776">
        <v>16.41</v>
      </c>
      <c r="I512" s="770">
        <f t="shared" si="277"/>
        <v>277263.35999999999</v>
      </c>
      <c r="J512" s="622">
        <f t="shared" si="278"/>
        <v>554526.71999999997</v>
      </c>
    </row>
    <row r="513" spans="1:10" ht="24" x14ac:dyDescent="0.25">
      <c r="A513" s="274"/>
      <c r="B513" s="873"/>
      <c r="C513" s="733"/>
      <c r="D513" s="761"/>
      <c r="E513" s="766">
        <v>12.2659</v>
      </c>
      <c r="F513" s="770">
        <f>IFERROR(E513*'01 Prod Physique Boites'!H511,"-")</f>
        <v>0</v>
      </c>
      <c r="G513" s="773">
        <f>IFERROR(E513*'01 Prod Physique Boites'!L511,"-")</f>
        <v>0</v>
      </c>
      <c r="H513" s="776">
        <v>14.55</v>
      </c>
      <c r="I513" s="770">
        <f t="shared" si="277"/>
        <v>0</v>
      </c>
      <c r="J513" s="622">
        <f t="shared" si="278"/>
        <v>0</v>
      </c>
    </row>
    <row r="514" spans="1:10" ht="24.75" thickBot="1" x14ac:dyDescent="0.3">
      <c r="A514" s="826" t="s">
        <v>103</v>
      </c>
      <c r="B514" s="874"/>
      <c r="C514" s="735" t="s">
        <v>340</v>
      </c>
      <c r="D514" s="762"/>
      <c r="E514" s="767">
        <v>0</v>
      </c>
      <c r="F514" s="771">
        <f>IFERROR(E514*'01 Prod Physique Boites'!H512,"-")</f>
        <v>0</v>
      </c>
      <c r="G514" s="774">
        <f>IFERROR(E514*'01 Prod Physique Boites'!L512,"-")</f>
        <v>0</v>
      </c>
      <c r="H514" s="777">
        <v>0</v>
      </c>
      <c r="I514" s="779" t="str">
        <f t="shared" si="277"/>
        <v>-</v>
      </c>
      <c r="J514" s="780" t="str">
        <f t="shared" si="278"/>
        <v>-</v>
      </c>
    </row>
    <row r="515" spans="1:10" ht="23.25" thickBot="1" x14ac:dyDescent="0.3">
      <c r="A515" s="274" t="s">
        <v>103</v>
      </c>
      <c r="B515" s="845" t="s">
        <v>46</v>
      </c>
      <c r="C515" s="876"/>
      <c r="D515" s="877"/>
      <c r="E515" s="764"/>
      <c r="F515" s="519">
        <f>SUM(F508:F514)</f>
        <v>207244.6464</v>
      </c>
      <c r="G515" s="519">
        <f>SUM(G508:G514)</f>
        <v>1347090.2016</v>
      </c>
      <c r="H515" s="518"/>
      <c r="I515" s="519">
        <f>SUM(I508:I514)</f>
        <v>277263.35999999999</v>
      </c>
      <c r="J515" s="778">
        <f>SUM(J508:J514)</f>
        <v>1679040</v>
      </c>
    </row>
    <row r="516" spans="1:10" ht="24" x14ac:dyDescent="0.25">
      <c r="A516" s="274" t="s">
        <v>103</v>
      </c>
      <c r="B516" s="867" t="s">
        <v>20</v>
      </c>
      <c r="C516" s="290" t="s">
        <v>486</v>
      </c>
      <c r="D516" s="757" t="s">
        <v>288</v>
      </c>
      <c r="E516" s="795">
        <v>27.106400000000001</v>
      </c>
      <c r="F516" s="398">
        <f>IFERROR(E516*'01 Prod Physique Boites'!H514,"-")</f>
        <v>0</v>
      </c>
      <c r="G516" s="399">
        <f>IFERROR(E516*'01 Prod Physique Boites'!L514,"-")</f>
        <v>608918.16960000002</v>
      </c>
      <c r="H516" s="642">
        <v>0</v>
      </c>
      <c r="I516" s="415">
        <f>IFERROR(H516*(F516/E516),"-")</f>
        <v>0</v>
      </c>
      <c r="J516" s="416">
        <f t="shared" ref="J516:J518" si="279">IFERROR(H516*(G516/E516),"-")</f>
        <v>0</v>
      </c>
    </row>
    <row r="517" spans="1:10" ht="24" x14ac:dyDescent="0.25">
      <c r="A517" s="274" t="s">
        <v>103</v>
      </c>
      <c r="B517" s="868"/>
      <c r="C517" s="291" t="s">
        <v>114</v>
      </c>
      <c r="D517" s="291"/>
      <c r="E517" s="381">
        <v>24.2607</v>
      </c>
      <c r="F517" s="398">
        <f>IFERROR(E517*'01 Prod Physique Boites'!H515,"-")</f>
        <v>0</v>
      </c>
      <c r="G517" s="399">
        <f>IFERROR(E517*'01 Prod Physique Boites'!L515,"-")</f>
        <v>0</v>
      </c>
      <c r="H517" s="382">
        <v>37.369999999999997</v>
      </c>
      <c r="I517" s="417">
        <f>IFERROR(H517*(F517/E517),"-")</f>
        <v>0</v>
      </c>
      <c r="J517" s="418">
        <f t="shared" si="279"/>
        <v>0</v>
      </c>
    </row>
    <row r="518" spans="1:10" ht="24.75" thickBot="1" x14ac:dyDescent="0.3">
      <c r="A518" s="274" t="s">
        <v>103</v>
      </c>
      <c r="B518" s="869"/>
      <c r="C518" s="292" t="s">
        <v>120</v>
      </c>
      <c r="D518" s="292"/>
      <c r="E518" s="383">
        <v>26.035799999999998</v>
      </c>
      <c r="F518" s="398">
        <f>IFERROR(E518*'01 Prod Physique Boites'!H516,"-")</f>
        <v>0</v>
      </c>
      <c r="G518" s="399">
        <f>IFERROR(E518*'01 Prod Physique Boites'!L516,"-")</f>
        <v>0</v>
      </c>
      <c r="H518" s="384">
        <v>37.11</v>
      </c>
      <c r="I518" s="419">
        <f>IFERROR(H518*(F518/E518),"-")</f>
        <v>0</v>
      </c>
      <c r="J518" s="420">
        <f t="shared" si="279"/>
        <v>0</v>
      </c>
    </row>
    <row r="519" spans="1:10" ht="23.25" thickBot="1" x14ac:dyDescent="0.3">
      <c r="A519" s="274" t="s">
        <v>103</v>
      </c>
      <c r="B519" s="846" t="s">
        <v>47</v>
      </c>
      <c r="C519" s="846"/>
      <c r="D519" s="878"/>
      <c r="E519" s="386"/>
      <c r="F519" s="402">
        <f t="shared" ref="F519:G519" si="280">SUM(F516:F518)</f>
        <v>0</v>
      </c>
      <c r="G519" s="403">
        <f t="shared" si="280"/>
        <v>608918.16960000002</v>
      </c>
      <c r="H519" s="387"/>
      <c r="I519" s="402">
        <f t="shared" ref="I519:J519" si="281">SUM(I516:I518)</f>
        <v>0</v>
      </c>
      <c r="J519" s="421">
        <f t="shared" si="281"/>
        <v>0</v>
      </c>
    </row>
    <row r="520" spans="1:10" ht="23.25" thickBot="1" x14ac:dyDescent="0.3">
      <c r="A520" s="274" t="s">
        <v>103</v>
      </c>
      <c r="B520" s="853" t="s">
        <v>21</v>
      </c>
      <c r="C520" s="854"/>
      <c r="D520" s="855"/>
      <c r="E520" s="389"/>
      <c r="F520" s="406">
        <f>+F491+F499+F507+F515+F519</f>
        <v>1269109.3503999999</v>
      </c>
      <c r="G520" s="407">
        <f>+G491+G499+G507+G515+G519</f>
        <v>5066851.3751999997</v>
      </c>
      <c r="H520" s="390"/>
      <c r="I520" s="406">
        <f>+I491+I499+I507+I515+I519</f>
        <v>277263.35999999999</v>
      </c>
      <c r="J520" s="424">
        <f>+J491+J499+J507+J515+J519</f>
        <v>3560940</v>
      </c>
    </row>
    <row r="521" spans="1:10" ht="24" x14ac:dyDescent="0.25">
      <c r="A521" s="274" t="s">
        <v>103</v>
      </c>
      <c r="B521" s="867" t="s">
        <v>398</v>
      </c>
      <c r="C521" s="269" t="s">
        <v>125</v>
      </c>
      <c r="D521" s="269"/>
      <c r="E521" s="378">
        <v>22.820599999999999</v>
      </c>
      <c r="F521" s="398">
        <f>IFERROR(E521*'01 Prod Physique Boites'!H519,"-")</f>
        <v>0</v>
      </c>
      <c r="G521" s="399">
        <f>IFERROR(E521*'01 Prod Physique Boites'!L519,"-")</f>
        <v>0</v>
      </c>
      <c r="H521" s="379">
        <v>27.5</v>
      </c>
      <c r="I521" s="415">
        <f>IFERROR(H521*(F521/E521),"-")</f>
        <v>0</v>
      </c>
      <c r="J521" s="416">
        <f t="shared" ref="J521:J524" si="282">IFERROR(H521*(G521/E521),"-")</f>
        <v>0</v>
      </c>
    </row>
    <row r="522" spans="1:10" ht="24" x14ac:dyDescent="0.25">
      <c r="A522" s="274" t="s">
        <v>103</v>
      </c>
      <c r="B522" s="868"/>
      <c r="C522" s="294" t="s">
        <v>262</v>
      </c>
      <c r="D522" s="294" t="s">
        <v>181</v>
      </c>
      <c r="E522" s="381">
        <v>23.570699999999999</v>
      </c>
      <c r="F522" s="398">
        <f>IFERROR(E522*'01 Prod Physique Boites'!H520,"-")</f>
        <v>0</v>
      </c>
      <c r="G522" s="399">
        <f>IFERROR(E522*'01 Prod Physique Boites'!L520,"-")</f>
        <v>0</v>
      </c>
      <c r="H522" s="382">
        <v>27.5</v>
      </c>
      <c r="I522" s="417">
        <f>IFERROR(H522*(F522/E522),"-")</f>
        <v>0</v>
      </c>
      <c r="J522" s="418">
        <f t="shared" si="282"/>
        <v>0</v>
      </c>
    </row>
    <row r="523" spans="1:10" ht="24" x14ac:dyDescent="0.25">
      <c r="A523" s="274" t="s">
        <v>103</v>
      </c>
      <c r="B523" s="868"/>
      <c r="C523" s="294" t="s">
        <v>360</v>
      </c>
      <c r="D523" s="294" t="s">
        <v>181</v>
      </c>
      <c r="E523" s="381">
        <v>22.820599999999999</v>
      </c>
      <c r="F523" s="398">
        <f>IFERROR(E523*'01 Prod Physique Boites'!H521,"-")</f>
        <v>0</v>
      </c>
      <c r="G523" s="399">
        <f>IFERROR(E523*'01 Prod Physique Boites'!L521,"-")</f>
        <v>0</v>
      </c>
      <c r="H523" s="382">
        <v>27.5</v>
      </c>
      <c r="I523" s="417">
        <f>IFERROR(H523*(F523/E523),"-")</f>
        <v>0</v>
      </c>
      <c r="J523" s="418">
        <f t="shared" si="282"/>
        <v>0</v>
      </c>
    </row>
    <row r="524" spans="1:10" ht="24.75" thickBot="1" x14ac:dyDescent="0.3">
      <c r="A524" s="274" t="s">
        <v>103</v>
      </c>
      <c r="B524" s="869"/>
      <c r="C524" s="279" t="s">
        <v>182</v>
      </c>
      <c r="D524" s="279" t="s">
        <v>93</v>
      </c>
      <c r="E524" s="796">
        <v>22.238499999999998</v>
      </c>
      <c r="F524" s="398">
        <f>IFERROR(E524*'01 Prod Physique Boites'!H522,"-")</f>
        <v>88064.459999999992</v>
      </c>
      <c r="G524" s="399">
        <f>IFERROR(E524*'01 Prod Physique Boites'!L522,"-")</f>
        <v>352257.83999999997</v>
      </c>
      <c r="H524" s="384">
        <v>27</v>
      </c>
      <c r="I524" s="419">
        <f>IFERROR(H524*(F524/E524),"-")</f>
        <v>106920</v>
      </c>
      <c r="J524" s="420">
        <f t="shared" si="282"/>
        <v>427680</v>
      </c>
    </row>
    <row r="525" spans="1:10" ht="23.25" thickBot="1" x14ac:dyDescent="0.3">
      <c r="A525" s="274" t="s">
        <v>103</v>
      </c>
      <c r="B525" s="845" t="s">
        <v>48</v>
      </c>
      <c r="C525" s="846"/>
      <c r="D525" s="847"/>
      <c r="E525" s="386"/>
      <c r="F525" s="402">
        <f t="shared" ref="F525:G525" si="283">SUM(F521:F524)</f>
        <v>88064.459999999992</v>
      </c>
      <c r="G525" s="403">
        <f t="shared" si="283"/>
        <v>352257.83999999997</v>
      </c>
      <c r="H525" s="387"/>
      <c r="I525" s="402">
        <f t="shared" ref="I525:J525" si="284">SUM(I521:I524)</f>
        <v>106920</v>
      </c>
      <c r="J525" s="421">
        <f t="shared" si="284"/>
        <v>427680</v>
      </c>
    </row>
    <row r="526" spans="1:10" ht="24" x14ac:dyDescent="0.25">
      <c r="A526" s="274" t="s">
        <v>103</v>
      </c>
      <c r="B526" s="867" t="s">
        <v>23</v>
      </c>
      <c r="C526" s="295" t="s">
        <v>307</v>
      </c>
      <c r="D526" s="295" t="s">
        <v>237</v>
      </c>
      <c r="E526" s="378">
        <v>101.4935</v>
      </c>
      <c r="F526" s="398">
        <f>IFERROR(E526*'01 Prod Physique Boites'!H524,"-")</f>
        <v>0</v>
      </c>
      <c r="G526" s="399">
        <f>IFERROR(E526*'01 Prod Physique Boites'!L524,"-")</f>
        <v>0</v>
      </c>
      <c r="H526" s="382">
        <v>160.44999999999999</v>
      </c>
      <c r="I526" s="415">
        <f t="shared" ref="I526:I534" si="285">IFERROR(H526*(F526/E526),"-")</f>
        <v>0</v>
      </c>
      <c r="J526" s="416">
        <f t="shared" ref="J526:J534" si="286">IFERROR(H526*(G526/E526),"-")</f>
        <v>0</v>
      </c>
    </row>
    <row r="527" spans="1:10" ht="24" x14ac:dyDescent="0.25">
      <c r="A527" s="274" t="s">
        <v>103</v>
      </c>
      <c r="B527" s="868"/>
      <c r="C527" s="275" t="s">
        <v>24</v>
      </c>
      <c r="D527" s="275" t="s">
        <v>237</v>
      </c>
      <c r="E527" s="381">
        <v>101.4935</v>
      </c>
      <c r="F527" s="398">
        <f>IFERROR(E527*'01 Prod Physique Boites'!H525,"-")</f>
        <v>1345093.3555000001</v>
      </c>
      <c r="G527" s="399">
        <f>IFERROR(E527*'01 Prod Physique Boites'!L525,"-")</f>
        <v>4009297.7305000001</v>
      </c>
      <c r="H527" s="382">
        <v>160.44999999999999</v>
      </c>
      <c r="I527" s="417">
        <f t="shared" si="285"/>
        <v>2126443.85</v>
      </c>
      <c r="J527" s="418">
        <f t="shared" si="286"/>
        <v>6338256.3499999996</v>
      </c>
    </row>
    <row r="528" spans="1:10" ht="24" x14ac:dyDescent="0.25">
      <c r="A528" s="274" t="s">
        <v>103</v>
      </c>
      <c r="B528" s="868"/>
      <c r="C528" s="275" t="s">
        <v>235</v>
      </c>
      <c r="D528" s="275" t="s">
        <v>237</v>
      </c>
      <c r="E528" s="381">
        <v>101.4935</v>
      </c>
      <c r="F528" s="398">
        <f>IFERROR(E528*'01 Prod Physique Boites'!H526,"-")</f>
        <v>0</v>
      </c>
      <c r="G528" s="399">
        <f>IFERROR(E528*'01 Prod Physique Boites'!L526,"-")</f>
        <v>0</v>
      </c>
      <c r="H528" s="382">
        <v>160.44999999999999</v>
      </c>
      <c r="I528" s="417">
        <f t="shared" si="285"/>
        <v>0</v>
      </c>
      <c r="J528" s="418">
        <f t="shared" si="286"/>
        <v>0</v>
      </c>
    </row>
    <row r="529" spans="1:10" ht="24" x14ac:dyDescent="0.25">
      <c r="A529" s="274" t="s">
        <v>103</v>
      </c>
      <c r="B529" s="868"/>
      <c r="C529" s="275" t="s">
        <v>236</v>
      </c>
      <c r="D529" s="275" t="s">
        <v>237</v>
      </c>
      <c r="E529" s="381">
        <v>101.4935</v>
      </c>
      <c r="F529" s="398">
        <f>IFERROR(E529*'01 Prod Physique Boites'!H527,"-")</f>
        <v>0</v>
      </c>
      <c r="G529" s="399">
        <f>IFERROR(E529*'01 Prod Physique Boites'!L527,"-")</f>
        <v>0</v>
      </c>
      <c r="H529" s="382">
        <v>160.44999999999999</v>
      </c>
      <c r="I529" s="417">
        <f t="shared" si="285"/>
        <v>0</v>
      </c>
      <c r="J529" s="418">
        <f t="shared" si="286"/>
        <v>0</v>
      </c>
    </row>
    <row r="530" spans="1:10" ht="24" x14ac:dyDescent="0.25">
      <c r="A530" s="274" t="s">
        <v>103</v>
      </c>
      <c r="B530" s="868"/>
      <c r="C530" s="294" t="s">
        <v>238</v>
      </c>
      <c r="D530" s="275" t="s">
        <v>237</v>
      </c>
      <c r="E530" s="381">
        <v>101.4935</v>
      </c>
      <c r="F530" s="398">
        <f>IFERROR(E530*'01 Prod Physique Boites'!H528,"-")</f>
        <v>0</v>
      </c>
      <c r="G530" s="399">
        <f>IFERROR(E530*'01 Prod Physique Boites'!L528,"-")</f>
        <v>0</v>
      </c>
      <c r="H530" s="382">
        <v>160.44999999999999</v>
      </c>
      <c r="I530" s="417">
        <f t="shared" si="285"/>
        <v>0</v>
      </c>
      <c r="J530" s="418">
        <f t="shared" si="286"/>
        <v>0</v>
      </c>
    </row>
    <row r="531" spans="1:10" ht="24" x14ac:dyDescent="0.25">
      <c r="A531" s="274" t="s">
        <v>103</v>
      </c>
      <c r="B531" s="868"/>
      <c r="C531" s="294" t="s">
        <v>239</v>
      </c>
      <c r="D531" s="275" t="s">
        <v>237</v>
      </c>
      <c r="E531" s="381">
        <v>101.4935</v>
      </c>
      <c r="F531" s="398">
        <f>IFERROR(E531*'01 Prod Physique Boites'!H529,"-")</f>
        <v>0</v>
      </c>
      <c r="G531" s="399">
        <f>IFERROR(E531*'01 Prod Physique Boites'!L529,"-")</f>
        <v>0</v>
      </c>
      <c r="H531" s="382">
        <v>160.44999999999999</v>
      </c>
      <c r="I531" s="417">
        <f t="shared" si="285"/>
        <v>0</v>
      </c>
      <c r="J531" s="418">
        <f t="shared" si="286"/>
        <v>0</v>
      </c>
    </row>
    <row r="532" spans="1:10" ht="24" x14ac:dyDescent="0.25">
      <c r="A532" s="274" t="s">
        <v>103</v>
      </c>
      <c r="B532" s="868"/>
      <c r="C532" s="294" t="s">
        <v>240</v>
      </c>
      <c r="D532" s="275" t="s">
        <v>242</v>
      </c>
      <c r="E532" s="381">
        <v>101.4935</v>
      </c>
      <c r="F532" s="398">
        <f>IFERROR(E532*'01 Prod Physique Boites'!H530,"-")</f>
        <v>0</v>
      </c>
      <c r="G532" s="399">
        <f>IFERROR(E532*'01 Prod Physique Boites'!L530,"-")</f>
        <v>0</v>
      </c>
      <c r="H532" s="382">
        <v>160.44999999999999</v>
      </c>
      <c r="I532" s="417">
        <f t="shared" si="285"/>
        <v>0</v>
      </c>
      <c r="J532" s="418">
        <f t="shared" si="286"/>
        <v>0</v>
      </c>
    </row>
    <row r="533" spans="1:10" ht="24" x14ac:dyDescent="0.25">
      <c r="A533" s="274"/>
      <c r="B533" s="869"/>
      <c r="C533" s="294" t="s">
        <v>451</v>
      </c>
      <c r="D533" s="275" t="s">
        <v>237</v>
      </c>
      <c r="E533" s="383">
        <v>101.49</v>
      </c>
      <c r="F533" s="398">
        <f>IFERROR(E533*'01 Prod Physique Boites'!H531,"-")</f>
        <v>0</v>
      </c>
      <c r="G533" s="399">
        <f>IFERROR(E533*'01 Prod Physique Boites'!L531,"-")</f>
        <v>0</v>
      </c>
      <c r="H533" s="382">
        <v>160.44999999999999</v>
      </c>
      <c r="I533" s="417">
        <f t="shared" si="285"/>
        <v>0</v>
      </c>
      <c r="J533" s="418">
        <f t="shared" si="286"/>
        <v>0</v>
      </c>
    </row>
    <row r="534" spans="1:10" ht="24.75" thickBot="1" x14ac:dyDescent="0.3">
      <c r="A534" s="274" t="s">
        <v>103</v>
      </c>
      <c r="B534" s="869"/>
      <c r="C534" s="294" t="s">
        <v>241</v>
      </c>
      <c r="D534" s="275" t="s">
        <v>237</v>
      </c>
      <c r="E534" s="383">
        <v>101.4935</v>
      </c>
      <c r="F534" s="398">
        <f>IFERROR(E534*'01 Prod Physique Boites'!H532,"-")</f>
        <v>0</v>
      </c>
      <c r="G534" s="399">
        <f>IFERROR(E534*'01 Prod Physique Boites'!L532,"-")</f>
        <v>0</v>
      </c>
      <c r="H534" s="382">
        <v>160.44999999999999</v>
      </c>
      <c r="I534" s="417">
        <f t="shared" si="285"/>
        <v>0</v>
      </c>
      <c r="J534" s="420">
        <f t="shared" si="286"/>
        <v>0</v>
      </c>
    </row>
    <row r="535" spans="1:10" ht="23.25" thickBot="1" x14ac:dyDescent="0.3">
      <c r="A535" s="274" t="s">
        <v>103</v>
      </c>
      <c r="B535" s="845" t="s">
        <v>49</v>
      </c>
      <c r="C535" s="846"/>
      <c r="D535" s="847"/>
      <c r="E535" s="386"/>
      <c r="F535" s="402">
        <f t="shared" ref="F535" si="287">SUM(F526:F534)</f>
        <v>1345093.3555000001</v>
      </c>
      <c r="G535" s="403">
        <f>SUM(G526:G534)</f>
        <v>4009297.7305000001</v>
      </c>
      <c r="H535" s="387"/>
      <c r="I535" s="402">
        <f t="shared" ref="I535" si="288">SUM(I526:I534)</f>
        <v>2126443.85</v>
      </c>
      <c r="J535" s="421">
        <f>SUM(J526:J534)</f>
        <v>6338256.3499999996</v>
      </c>
    </row>
    <row r="536" spans="1:10" ht="23.25" thickBot="1" x14ac:dyDescent="0.3">
      <c r="A536" s="274" t="s">
        <v>103</v>
      </c>
      <c r="B536" s="853" t="s">
        <v>25</v>
      </c>
      <c r="C536" s="854"/>
      <c r="D536" s="855"/>
      <c r="E536" s="389"/>
      <c r="F536" s="406">
        <f t="shared" ref="F536" si="289">+F525+F535</f>
        <v>1433157.8155</v>
      </c>
      <c r="G536" s="407">
        <f>+G525+G535</f>
        <v>4361555.5705000004</v>
      </c>
      <c r="H536" s="390"/>
      <c r="I536" s="406">
        <f t="shared" ref="I536:J536" si="290">+I525+I535</f>
        <v>2233363.85</v>
      </c>
      <c r="J536" s="424">
        <f t="shared" si="290"/>
        <v>6765936.3499999996</v>
      </c>
    </row>
    <row r="537" spans="1:10" ht="23.25" thickBot="1" x14ac:dyDescent="0.3">
      <c r="A537" s="274" t="s">
        <v>103</v>
      </c>
      <c r="B537" s="839" t="s">
        <v>172</v>
      </c>
      <c r="C537" s="840"/>
      <c r="D537" s="841"/>
      <c r="E537" s="391"/>
      <c r="F537" s="408">
        <f t="shared" ref="F537" si="291">+F520+F536</f>
        <v>2702267.1658999999</v>
      </c>
      <c r="G537" s="409">
        <f>+G520+G536</f>
        <v>9428406.945700001</v>
      </c>
      <c r="H537" s="392"/>
      <c r="I537" s="408">
        <f t="shared" ref="I537:J537" si="292">+I520+I536</f>
        <v>2510627.21</v>
      </c>
      <c r="J537" s="425">
        <f t="shared" si="292"/>
        <v>10326876.35</v>
      </c>
    </row>
    <row r="538" spans="1:10" ht="24" x14ac:dyDescent="0.25">
      <c r="A538" s="268" t="s">
        <v>101</v>
      </c>
      <c r="B538" s="849" t="s">
        <v>26</v>
      </c>
      <c r="C538" s="296" t="s">
        <v>296</v>
      </c>
      <c r="D538" s="298" t="s">
        <v>177</v>
      </c>
      <c r="E538" s="500">
        <v>13.1272</v>
      </c>
      <c r="F538" s="398">
        <f>IFERROR(E538*'01 Prod Physique Boites'!H536,"-")</f>
        <v>0</v>
      </c>
      <c r="G538" s="399">
        <f>IFERROR(E538*'01 Prod Physique Boites'!L536,"-")</f>
        <v>0</v>
      </c>
      <c r="H538" s="379">
        <v>20.76</v>
      </c>
      <c r="I538" s="415">
        <f t="shared" ref="I538:I547" si="293">IFERROR(H538*(F538/E538),"-")</f>
        <v>0</v>
      </c>
      <c r="J538" s="621">
        <f t="shared" ref="J538:J547" si="294">IFERROR(H538*(G538/E538),"-")</f>
        <v>0</v>
      </c>
    </row>
    <row r="539" spans="1:10" ht="24" x14ac:dyDescent="0.25">
      <c r="A539" s="274" t="s">
        <v>101</v>
      </c>
      <c r="B539" s="849"/>
      <c r="C539" s="297" t="s">
        <v>422</v>
      </c>
      <c r="D539" s="297" t="s">
        <v>421</v>
      </c>
      <c r="E539" s="501">
        <v>16.7288</v>
      </c>
      <c r="F539" s="398">
        <f>IFERROR(E539*'01 Prod Physique Boites'!H537,"-")</f>
        <v>0</v>
      </c>
      <c r="G539" s="399">
        <f>IFERROR(E539*'01 Prod Physique Boites'!L537,"-")</f>
        <v>0</v>
      </c>
      <c r="H539" s="382">
        <v>20.76</v>
      </c>
      <c r="I539" s="417">
        <f t="shared" si="293"/>
        <v>0</v>
      </c>
      <c r="J539" s="622">
        <f t="shared" si="294"/>
        <v>0</v>
      </c>
    </row>
    <row r="540" spans="1:10" ht="24" x14ac:dyDescent="0.25">
      <c r="A540" s="274" t="s">
        <v>101</v>
      </c>
      <c r="B540" s="849"/>
      <c r="C540" s="298" t="s">
        <v>27</v>
      </c>
      <c r="D540" s="298" t="s">
        <v>332</v>
      </c>
      <c r="E540" s="497">
        <v>17.8202</v>
      </c>
      <c r="F540" s="398">
        <f>IFERROR(E540*'01 Prod Physique Boites'!H538,"-")</f>
        <v>0</v>
      </c>
      <c r="G540" s="399">
        <f>IFERROR(E540*'01 Prod Physique Boites'!L538,"-")</f>
        <v>0</v>
      </c>
      <c r="H540" s="382">
        <v>21.22</v>
      </c>
      <c r="I540" s="625">
        <f t="shared" si="293"/>
        <v>0</v>
      </c>
      <c r="J540" s="622">
        <f t="shared" si="294"/>
        <v>0</v>
      </c>
    </row>
    <row r="541" spans="1:10" ht="24" x14ac:dyDescent="0.25">
      <c r="A541" s="274" t="s">
        <v>101</v>
      </c>
      <c r="B541" s="849"/>
      <c r="C541" s="298" t="s">
        <v>27</v>
      </c>
      <c r="D541" s="298" t="s">
        <v>233</v>
      </c>
      <c r="E541" s="497">
        <v>17.8202</v>
      </c>
      <c r="F541" s="398">
        <f>IFERROR(E541*'01 Prod Physique Boites'!H539,"-")</f>
        <v>0</v>
      </c>
      <c r="G541" s="399">
        <f>IFERROR(E541*'01 Prod Physique Boites'!L539,"-")</f>
        <v>0</v>
      </c>
      <c r="H541" s="382">
        <v>24.93</v>
      </c>
      <c r="I541" s="625">
        <f t="shared" si="293"/>
        <v>0</v>
      </c>
      <c r="J541" s="622">
        <f t="shared" si="294"/>
        <v>0</v>
      </c>
    </row>
    <row r="542" spans="1:10" ht="24" x14ac:dyDescent="0.25">
      <c r="A542" s="274" t="s">
        <v>101</v>
      </c>
      <c r="B542" s="849"/>
      <c r="C542" s="298" t="s">
        <v>27</v>
      </c>
      <c r="D542" s="298" t="s">
        <v>278</v>
      </c>
      <c r="E542" s="497">
        <v>17.8202</v>
      </c>
      <c r="F542" s="398">
        <f>IFERROR(E542*'01 Prod Physique Boites'!H540,"-")</f>
        <v>0</v>
      </c>
      <c r="G542" s="399">
        <f>IFERROR(E542*'01 Prod Physique Boites'!L540,"-")</f>
        <v>0</v>
      </c>
      <c r="H542" s="382">
        <v>24.93</v>
      </c>
      <c r="I542" s="625">
        <f t="shared" si="293"/>
        <v>0</v>
      </c>
      <c r="J542" s="622">
        <f t="shared" si="294"/>
        <v>0</v>
      </c>
    </row>
    <row r="543" spans="1:10" ht="24" x14ac:dyDescent="0.25">
      <c r="A543" s="274"/>
      <c r="B543" s="849"/>
      <c r="C543" s="721" t="s">
        <v>485</v>
      </c>
      <c r="D543" s="298" t="s">
        <v>502</v>
      </c>
      <c r="E543" s="497">
        <v>16.7288</v>
      </c>
      <c r="F543" s="398">
        <f>IFERROR(E543*'01 Prod Physique Boites'!H541,"-")</f>
        <v>0</v>
      </c>
      <c r="G543" s="399">
        <f>IFERROR(E543*'01 Prod Physique Boites'!L541,"-")</f>
        <v>598924.4976</v>
      </c>
      <c r="H543" s="384">
        <v>25</v>
      </c>
      <c r="I543" s="625">
        <f t="shared" si="293"/>
        <v>0</v>
      </c>
      <c r="J543" s="623">
        <f t="shared" si="294"/>
        <v>895050</v>
      </c>
    </row>
    <row r="544" spans="1:10" ht="24" x14ac:dyDescent="0.25">
      <c r="A544" s="274"/>
      <c r="B544" s="849"/>
      <c r="C544" s="298" t="s">
        <v>432</v>
      </c>
      <c r="D544" s="298" t="s">
        <v>502</v>
      </c>
      <c r="E544" s="497">
        <v>17.8202</v>
      </c>
      <c r="F544" s="398">
        <f>IFERROR(E544*'01 Prod Physique Boites'!H542,"-")</f>
        <v>708887.55599999998</v>
      </c>
      <c r="G544" s="399">
        <f>IFERROR(E544*'01 Prod Physique Boites'!L542,"-")</f>
        <v>3189994.0019999999</v>
      </c>
      <c r="H544" s="384">
        <v>25.43</v>
      </c>
      <c r="I544" s="689">
        <f t="shared" si="293"/>
        <v>1011605.4</v>
      </c>
      <c r="J544" s="623">
        <f t="shared" si="294"/>
        <v>4552224.3</v>
      </c>
    </row>
    <row r="545" spans="1:10" s="690" customFormat="1" ht="24" x14ac:dyDescent="0.25">
      <c r="A545" s="684"/>
      <c r="B545" s="849"/>
      <c r="C545" s="685" t="s">
        <v>381</v>
      </c>
      <c r="D545" s="685" t="s">
        <v>382</v>
      </c>
      <c r="E545" s="686">
        <v>16.345199999999998</v>
      </c>
      <c r="F545" s="398">
        <f>IFERROR(E545*'01 Prod Physique Boites'!H543,"-")</f>
        <v>0</v>
      </c>
      <c r="G545" s="399">
        <f>IFERROR(E545*'01 Prod Physique Boites'!L543,"-")</f>
        <v>0</v>
      </c>
      <c r="H545" s="688">
        <v>23.78</v>
      </c>
      <c r="I545" s="689">
        <f t="shared" si="293"/>
        <v>0</v>
      </c>
      <c r="J545" s="623">
        <f t="shared" si="294"/>
        <v>0</v>
      </c>
    </row>
    <row r="546" spans="1:10" s="690" customFormat="1" ht="24" x14ac:dyDescent="0.25">
      <c r="A546" s="684"/>
      <c r="B546" s="849"/>
      <c r="C546" s="298" t="s">
        <v>429</v>
      </c>
      <c r="D546" s="298" t="s">
        <v>178</v>
      </c>
      <c r="E546" s="686">
        <v>16.7288</v>
      </c>
      <c r="F546" s="398">
        <f>IFERROR(E546*'01 Prod Physique Boites'!H544,"-")</f>
        <v>0</v>
      </c>
      <c r="G546" s="399">
        <f>IFERROR(E546*'01 Prod Physique Boites'!L544,"-")</f>
        <v>0</v>
      </c>
      <c r="H546" s="688">
        <v>25.49</v>
      </c>
      <c r="I546" s="689">
        <f t="shared" si="293"/>
        <v>0</v>
      </c>
      <c r="J546" s="623">
        <f t="shared" si="294"/>
        <v>0</v>
      </c>
    </row>
    <row r="547" spans="1:10" ht="24.75" thickBot="1" x14ac:dyDescent="0.3">
      <c r="A547" s="274" t="s">
        <v>101</v>
      </c>
      <c r="B547" s="849"/>
      <c r="C547" s="299" t="s">
        <v>505</v>
      </c>
      <c r="D547" s="298" t="s">
        <v>288</v>
      </c>
      <c r="E547" s="686">
        <v>16.7288</v>
      </c>
      <c r="F547" s="398">
        <f>IFERROR(E547*'01 Prod Physique Boites'!H545,"-")</f>
        <v>66547.166400000002</v>
      </c>
      <c r="G547" s="399">
        <f>IFERROR(E547*'01 Prod Physique Boites'!L545,"-")</f>
        <v>1863320.6591999999</v>
      </c>
      <c r="H547" s="384">
        <v>25.49</v>
      </c>
      <c r="I547" s="689">
        <f t="shared" si="293"/>
        <v>101399.21999999999</v>
      </c>
      <c r="J547" s="623">
        <f t="shared" si="294"/>
        <v>2839178.1599999997</v>
      </c>
    </row>
    <row r="548" spans="1:10" ht="23.25" thickBot="1" x14ac:dyDescent="0.3">
      <c r="A548" s="274" t="s">
        <v>101</v>
      </c>
      <c r="B548" s="866"/>
      <c r="C548" s="300"/>
      <c r="D548" s="301" t="s">
        <v>52</v>
      </c>
      <c r="E548" s="386"/>
      <c r="F548" s="402">
        <f>SUM(F538:F547)</f>
        <v>775434.72239999997</v>
      </c>
      <c r="G548" s="403">
        <f>SUM(G538:G547)</f>
        <v>5652239.1587999994</v>
      </c>
      <c r="H548" s="387"/>
      <c r="I548" s="402">
        <f>SUM(I538:I547)</f>
        <v>1113004.6200000001</v>
      </c>
      <c r="J548" s="421">
        <f>SUM(J538:J547)</f>
        <v>8286452.459999999</v>
      </c>
    </row>
    <row r="549" spans="1:10" ht="24" x14ac:dyDescent="0.25">
      <c r="A549" s="274" t="s">
        <v>101</v>
      </c>
      <c r="B549" s="848" t="s">
        <v>28</v>
      </c>
      <c r="C549" s="298" t="s">
        <v>27</v>
      </c>
      <c r="D549" s="296" t="s">
        <v>278</v>
      </c>
      <c r="E549" s="500">
        <v>17.8202</v>
      </c>
      <c r="F549" s="398">
        <f>IFERROR(E549*'01 Prod Physique Boites'!H547,"-")</f>
        <v>0</v>
      </c>
      <c r="G549" s="399">
        <f>IFERROR(E549*'01 Prod Physique Boites'!L547,"-")</f>
        <v>0</v>
      </c>
      <c r="H549" s="379">
        <v>24.93</v>
      </c>
      <c r="I549" s="415">
        <f t="shared" ref="I549:I555" si="295">IFERROR(H549*(F549/E549),"-")</f>
        <v>0</v>
      </c>
      <c r="J549" s="621">
        <f t="shared" ref="J549:J550" si="296">IFERROR(H549*(G549/E549),"-")</f>
        <v>0</v>
      </c>
    </row>
    <row r="550" spans="1:10" ht="24" x14ac:dyDescent="0.25">
      <c r="A550" s="274" t="s">
        <v>101</v>
      </c>
      <c r="B550" s="849"/>
      <c r="C550" s="298" t="s">
        <v>384</v>
      </c>
      <c r="D550" s="298" t="s">
        <v>332</v>
      </c>
      <c r="E550" s="671">
        <v>16.7288</v>
      </c>
      <c r="F550" s="398">
        <f>IFERROR(E550*'01 Prod Physique Boites'!H548,"-")</f>
        <v>0</v>
      </c>
      <c r="G550" s="399">
        <f>IFERROR(E550*'01 Prod Physique Boites'!L548,"-")</f>
        <v>0</v>
      </c>
      <c r="H550" s="668">
        <v>20.76</v>
      </c>
      <c r="I550" s="417">
        <f t="shared" si="295"/>
        <v>0</v>
      </c>
      <c r="J550" s="622">
        <f t="shared" si="296"/>
        <v>0</v>
      </c>
    </row>
    <row r="551" spans="1:10" ht="24" x14ac:dyDescent="0.25">
      <c r="A551" s="274" t="s">
        <v>101</v>
      </c>
      <c r="B551" s="849"/>
      <c r="C551" s="298" t="s">
        <v>383</v>
      </c>
      <c r="D551" s="298" t="s">
        <v>332</v>
      </c>
      <c r="E551" s="497">
        <v>17.8202</v>
      </c>
      <c r="F551" s="398">
        <f>IFERROR(E551*'01 Prod Physique Boites'!H549,"-")</f>
        <v>0</v>
      </c>
      <c r="G551" s="399">
        <f>IFERROR(E551*'01 Prod Physique Boites'!L549,"-")</f>
        <v>0</v>
      </c>
      <c r="H551" s="382">
        <v>21.22</v>
      </c>
      <c r="I551" s="417">
        <f t="shared" si="295"/>
        <v>0</v>
      </c>
      <c r="J551" s="622">
        <f>IFERROR(H551*(G551/E551),"-")</f>
        <v>0</v>
      </c>
    </row>
    <row r="552" spans="1:10" ht="24" x14ac:dyDescent="0.25">
      <c r="A552" s="274"/>
      <c r="B552" s="849"/>
      <c r="C552" s="298" t="s">
        <v>454</v>
      </c>
      <c r="D552" s="298" t="s">
        <v>332</v>
      </c>
      <c r="E552" s="497">
        <v>14.608000000000001</v>
      </c>
      <c r="F552" s="398">
        <f>IFERROR(E552*'01 Prod Physique Boites'!H550,"-")</f>
        <v>0</v>
      </c>
      <c r="G552" s="399">
        <f>IFERROR(E552*'01 Prod Physique Boites'!L550,"-")</f>
        <v>0</v>
      </c>
      <c r="H552" s="382">
        <v>21.22</v>
      </c>
      <c r="I552" s="417">
        <f t="shared" si="295"/>
        <v>0</v>
      </c>
      <c r="J552" s="622">
        <f>IFERROR(H552*(G552/E552),"-")</f>
        <v>0</v>
      </c>
    </row>
    <row r="553" spans="1:10" ht="24" x14ac:dyDescent="0.25">
      <c r="A553" s="274"/>
      <c r="B553" s="849"/>
      <c r="C553" s="298" t="s">
        <v>503</v>
      </c>
      <c r="D553" s="742" t="s">
        <v>502</v>
      </c>
      <c r="E553" s="497">
        <v>16.7288</v>
      </c>
      <c r="F553" s="398">
        <f>IFERROR(E553*'01 Prod Physique Boites'!H551,"-")</f>
        <v>0</v>
      </c>
      <c r="G553" s="399">
        <f>IFERROR(E553*'01 Prod Physique Boites'!L551,"-")</f>
        <v>1330943.328</v>
      </c>
      <c r="H553" s="382">
        <v>25</v>
      </c>
      <c r="I553" s="419">
        <f t="shared" si="295"/>
        <v>0</v>
      </c>
      <c r="J553" s="623">
        <f t="shared" ref="J553:J555" si="297">IFERROR(H553*(G553/E553),"-")</f>
        <v>1989000</v>
      </c>
    </row>
    <row r="554" spans="1:10" ht="24" x14ac:dyDescent="0.25">
      <c r="A554" s="274"/>
      <c r="B554" s="849"/>
      <c r="C554" s="298" t="s">
        <v>452</v>
      </c>
      <c r="D554" s="742" t="s">
        <v>502</v>
      </c>
      <c r="E554" s="817">
        <v>17.8202</v>
      </c>
      <c r="F554" s="398">
        <f>IFERROR(E554*'01 Prod Physique Boites'!H552,"-")</f>
        <v>1772218.89</v>
      </c>
      <c r="G554" s="399">
        <f>IFERROR(E554*'01 Prod Physique Boites'!L552,"-")</f>
        <v>6096432.9815999996</v>
      </c>
      <c r="H554" s="382">
        <v>25.43</v>
      </c>
      <c r="I554" s="689">
        <f t="shared" si="295"/>
        <v>2529013.5</v>
      </c>
      <c r="J554" s="623">
        <f t="shared" si="297"/>
        <v>8699806.4399999995</v>
      </c>
    </row>
    <row r="555" spans="1:10" ht="24.75" thickBot="1" x14ac:dyDescent="0.3">
      <c r="A555" s="274" t="s">
        <v>101</v>
      </c>
      <c r="B555" s="849"/>
      <c r="C555" s="299" t="s">
        <v>505</v>
      </c>
      <c r="D555" s="298" t="s">
        <v>288</v>
      </c>
      <c r="E555" s="686">
        <v>16.7288</v>
      </c>
      <c r="F555" s="398">
        <f>IFERROR(E555*'01 Prod Physique Boites'!H553,"-")</f>
        <v>1264396.1616</v>
      </c>
      <c r="G555" s="399">
        <f>IFERROR(E555*'01 Prod Physique Boites'!L553,"-")</f>
        <v>2462245.1568</v>
      </c>
      <c r="H555" s="384">
        <v>25.49</v>
      </c>
      <c r="I555" s="419">
        <f t="shared" si="295"/>
        <v>1926585.18</v>
      </c>
      <c r="J555" s="623">
        <f t="shared" si="297"/>
        <v>3751771.1399999997</v>
      </c>
    </row>
    <row r="556" spans="1:10" ht="23.25" thickBot="1" x14ac:dyDescent="0.3">
      <c r="A556" s="274" t="s">
        <v>101</v>
      </c>
      <c r="B556" s="849"/>
      <c r="C556" s="303"/>
      <c r="D556" s="304" t="s">
        <v>52</v>
      </c>
      <c r="E556" s="393"/>
      <c r="F556" s="410">
        <f t="shared" ref="F556:G556" si="298">SUM(F549:F555)</f>
        <v>3036615.0515999999</v>
      </c>
      <c r="G556" s="411">
        <f t="shared" si="298"/>
        <v>9889621.4663999993</v>
      </c>
      <c r="H556" s="394"/>
      <c r="I556" s="410">
        <f t="shared" ref="I556:J556" si="299">SUM(I549:I555)</f>
        <v>4455598.68</v>
      </c>
      <c r="J556" s="426">
        <f t="shared" si="299"/>
        <v>14440577.579999998</v>
      </c>
    </row>
    <row r="557" spans="1:10" ht="23.25" thickBot="1" x14ac:dyDescent="0.3">
      <c r="A557" s="826" t="s">
        <v>101</v>
      </c>
      <c r="B557" s="850" t="s">
        <v>162</v>
      </c>
      <c r="C557" s="851"/>
      <c r="D557" s="852"/>
      <c r="E557" s="395"/>
      <c r="F557" s="412">
        <f t="shared" ref="F557:G557" si="300">+F548+F556</f>
        <v>3812049.7739999997</v>
      </c>
      <c r="G557" s="413">
        <f t="shared" si="300"/>
        <v>15541860.6252</v>
      </c>
      <c r="H557" s="396"/>
      <c r="I557" s="412">
        <f t="shared" ref="I557:J557" si="301">+I548+I556</f>
        <v>5568603.2999999998</v>
      </c>
      <c r="J557" s="427">
        <f t="shared" si="301"/>
        <v>22727030.039999999</v>
      </c>
    </row>
    <row r="558" spans="1:10" ht="24" x14ac:dyDescent="0.25">
      <c r="A558" s="274" t="s">
        <v>101</v>
      </c>
      <c r="B558" s="849" t="s">
        <v>30</v>
      </c>
      <c r="C558" s="302" t="s">
        <v>445</v>
      </c>
      <c r="D558" s="298" t="s">
        <v>332</v>
      </c>
      <c r="E558" s="695">
        <v>27.917000000000002</v>
      </c>
      <c r="F558" s="398">
        <f>IFERROR(E558*'01 Prod Physique Boites'!H556,"-")</f>
        <v>0</v>
      </c>
      <c r="G558" s="687">
        <f>IFERROR(E558*'01 Prod Physique Boites'!L556,"-")</f>
        <v>0</v>
      </c>
      <c r="H558" s="693">
        <v>33.299999999999997</v>
      </c>
      <c r="I558" s="415">
        <f>IFERROR(H558*(F558/E558),"-")</f>
        <v>0</v>
      </c>
      <c r="J558" s="416">
        <f t="shared" ref="J558:J560" si="302">IFERROR(H558*(G558/E558),"-")</f>
        <v>0</v>
      </c>
    </row>
    <row r="559" spans="1:10" ht="24" x14ac:dyDescent="0.25">
      <c r="A559" s="274" t="s">
        <v>101</v>
      </c>
      <c r="B559" s="849"/>
      <c r="C559" s="299" t="s">
        <v>443</v>
      </c>
      <c r="D559" s="302" t="s">
        <v>382</v>
      </c>
      <c r="E559" s="692">
        <v>28.526700000000002</v>
      </c>
      <c r="F559" s="398">
        <f>IFERROR(E559*'01 Prod Physique Boites'!H557,"-")</f>
        <v>0</v>
      </c>
      <c r="G559" s="687">
        <f>IFERROR(E559*'01 Prod Physique Boites'!L557,"-")</f>
        <v>0</v>
      </c>
      <c r="H559" s="694">
        <v>37.89</v>
      </c>
      <c r="I559" s="417">
        <f>IFERROR(H559*(F559/E559),"-")</f>
        <v>0</v>
      </c>
      <c r="J559" s="418">
        <f t="shared" si="302"/>
        <v>0</v>
      </c>
    </row>
    <row r="560" spans="1:10" ht="24.75" thickBot="1" x14ac:dyDescent="0.3">
      <c r="A560" s="274" t="s">
        <v>101</v>
      </c>
      <c r="B560" s="849"/>
      <c r="C560" s="299" t="s">
        <v>290</v>
      </c>
      <c r="D560" s="299" t="s">
        <v>382</v>
      </c>
      <c r="E560" s="497">
        <v>25.751300000000001</v>
      </c>
      <c r="F560" s="398">
        <f>IFERROR(E560*'01 Prod Physique Boites'!H558,"-")</f>
        <v>0</v>
      </c>
      <c r="G560" s="687">
        <f>IFERROR(E560*'01 Prod Physique Boites'!L558,"-")</f>
        <v>96412.867200000008</v>
      </c>
      <c r="H560" s="384">
        <v>37.89</v>
      </c>
      <c r="I560" s="419">
        <f>IFERROR(H560*(F560/E560),"-")</f>
        <v>0</v>
      </c>
      <c r="J560" s="420">
        <f t="shared" si="302"/>
        <v>141860.16000000003</v>
      </c>
    </row>
    <row r="561" spans="1:10" ht="23.25" thickBot="1" x14ac:dyDescent="0.3">
      <c r="A561" s="274" t="s">
        <v>101</v>
      </c>
      <c r="B561" s="849"/>
      <c r="C561" s="300"/>
      <c r="D561" s="301" t="s">
        <v>50</v>
      </c>
      <c r="E561" s="386"/>
      <c r="F561" s="402">
        <f t="shared" ref="F561:G561" si="303">SUM(F558:F560)</f>
        <v>0</v>
      </c>
      <c r="G561" s="403">
        <f t="shared" si="303"/>
        <v>96412.867200000008</v>
      </c>
      <c r="H561" s="387"/>
      <c r="I561" s="402">
        <f t="shared" ref="I561" si="304">SUM(I558:I560)</f>
        <v>0</v>
      </c>
      <c r="J561" s="421">
        <f>SUM(J558:J560)</f>
        <v>141860.16000000003</v>
      </c>
    </row>
    <row r="562" spans="1:10" ht="24" x14ac:dyDescent="0.25">
      <c r="A562" s="274" t="s">
        <v>101</v>
      </c>
      <c r="B562" s="849"/>
      <c r="C562" s="296" t="s">
        <v>434</v>
      </c>
      <c r="D562" s="296" t="s">
        <v>92</v>
      </c>
      <c r="E562" s="500">
        <v>24.2607</v>
      </c>
      <c r="F562" s="398">
        <f>IFERROR(E562*'01 Prod Physique Boites'!H560,"-")</f>
        <v>0</v>
      </c>
      <c r="G562" s="687">
        <f>IFERROR(E562*'01 Prod Physique Boites'!L560,"-")</f>
        <v>0</v>
      </c>
      <c r="H562" s="379">
        <v>28.31</v>
      </c>
      <c r="I562" s="624">
        <f>IFERROR(H562*(F562/E562),"-")</f>
        <v>0</v>
      </c>
      <c r="J562" s="416">
        <f t="shared" ref="J562:J567" si="305">IFERROR(H562*(G562/E562),"-")</f>
        <v>0</v>
      </c>
    </row>
    <row r="563" spans="1:10" ht="24" x14ac:dyDescent="0.25">
      <c r="A563" s="274"/>
      <c r="B563" s="849"/>
      <c r="C563" s="302" t="s">
        <v>444</v>
      </c>
      <c r="D563" s="298" t="s">
        <v>332</v>
      </c>
      <c r="E563" s="500">
        <v>24.2607</v>
      </c>
      <c r="F563" s="398">
        <f>IFERROR(E563*'01 Prod Physique Boites'!H561,"-")</f>
        <v>0</v>
      </c>
      <c r="G563" s="687">
        <f>IFERROR(E563*'01 Prod Physique Boites'!L561,"-")</f>
        <v>0</v>
      </c>
      <c r="H563" s="379">
        <v>28.88</v>
      </c>
      <c r="I563" s="624">
        <f t="shared" ref="I563:I567" si="306">IFERROR(H563*(F563/E563),"-")</f>
        <v>0</v>
      </c>
      <c r="J563" s="416">
        <f t="shared" si="305"/>
        <v>0</v>
      </c>
    </row>
    <row r="564" spans="1:10" ht="24" x14ac:dyDescent="0.25">
      <c r="A564" s="274"/>
      <c r="B564" s="849"/>
      <c r="C564" s="302" t="s">
        <v>447</v>
      </c>
      <c r="D564" s="298" t="s">
        <v>332</v>
      </c>
      <c r="E564" s="500">
        <v>25.4041</v>
      </c>
      <c r="F564" s="398">
        <f>IFERROR(E564*'01 Prod Physique Boites'!H562,"-")</f>
        <v>0</v>
      </c>
      <c r="G564" s="687">
        <f>IFERROR(E564*'01 Prod Physique Boites'!L562,"-")</f>
        <v>0</v>
      </c>
      <c r="H564" s="379">
        <v>28.21</v>
      </c>
      <c r="I564" s="624">
        <f t="shared" si="306"/>
        <v>0</v>
      </c>
      <c r="J564" s="416">
        <f t="shared" si="305"/>
        <v>0</v>
      </c>
    </row>
    <row r="565" spans="1:10" ht="24" x14ac:dyDescent="0.25">
      <c r="A565" s="274" t="s">
        <v>101</v>
      </c>
      <c r="B565" s="849"/>
      <c r="C565" s="302" t="s">
        <v>333</v>
      </c>
      <c r="D565" s="302" t="s">
        <v>233</v>
      </c>
      <c r="E565" s="501">
        <v>27.917000000000002</v>
      </c>
      <c r="F565" s="683">
        <f>IFERROR(E565*'01 Prod Physique Boites'!H563,"-")</f>
        <v>0</v>
      </c>
      <c r="G565" s="687">
        <f>IFERROR(E565*'01 Prod Physique Boites'!L563,"-")</f>
        <v>0</v>
      </c>
      <c r="H565" s="382">
        <v>39</v>
      </c>
      <c r="I565" s="624">
        <f t="shared" si="306"/>
        <v>0</v>
      </c>
      <c r="J565" s="416">
        <f t="shared" si="305"/>
        <v>0</v>
      </c>
    </row>
    <row r="566" spans="1:10" ht="24" x14ac:dyDescent="0.25">
      <c r="A566" s="274"/>
      <c r="B566" s="849"/>
      <c r="C566" s="299" t="s">
        <v>453</v>
      </c>
      <c r="D566" s="299" t="s">
        <v>364</v>
      </c>
      <c r="E566" s="497">
        <v>22.094999999999999</v>
      </c>
      <c r="F566" s="683">
        <f>IFERROR(E566*'01 Prod Physique Boites'!H564,"-")</f>
        <v>0</v>
      </c>
      <c r="G566" s="687">
        <f>IFERROR(E566*'01 Prod Physique Boites'!L564,"-")</f>
        <v>0</v>
      </c>
      <c r="H566" s="704">
        <v>37.11</v>
      </c>
      <c r="I566" s="624">
        <f t="shared" si="306"/>
        <v>0</v>
      </c>
      <c r="J566" s="416">
        <f t="shared" si="305"/>
        <v>0</v>
      </c>
    </row>
    <row r="567" spans="1:10" ht="24.75" thickBot="1" x14ac:dyDescent="0.3">
      <c r="A567" s="274" t="s">
        <v>101</v>
      </c>
      <c r="B567" s="849"/>
      <c r="C567" s="299" t="s">
        <v>433</v>
      </c>
      <c r="D567" s="299" t="s">
        <v>421</v>
      </c>
      <c r="E567" s="497">
        <v>23.697399999999998</v>
      </c>
      <c r="F567" s="398">
        <f>IFERROR(E567*'01 Prod Physique Boites'!H565,"-")</f>
        <v>0</v>
      </c>
      <c r="G567" s="399">
        <f>IFERROR(E567*'01 Prod Physique Boites'!L565,"-")</f>
        <v>0</v>
      </c>
      <c r="H567" s="384">
        <v>28.21</v>
      </c>
      <c r="I567" s="624">
        <f t="shared" si="306"/>
        <v>0</v>
      </c>
      <c r="J567" s="416">
        <f t="shared" si="305"/>
        <v>0</v>
      </c>
    </row>
    <row r="568" spans="1:10" ht="23.25" thickBot="1" x14ac:dyDescent="0.3">
      <c r="A568" s="274" t="s">
        <v>101</v>
      </c>
      <c r="B568" s="849"/>
      <c r="C568" s="303"/>
      <c r="D568" s="304" t="s">
        <v>51</v>
      </c>
      <c r="E568" s="393"/>
      <c r="F568" s="410">
        <f t="shared" ref="F568:G568" si="307">SUM(F562:F567)</f>
        <v>0</v>
      </c>
      <c r="G568" s="411">
        <f t="shared" si="307"/>
        <v>0</v>
      </c>
      <c r="H568" s="394"/>
      <c r="I568" s="410">
        <f t="shared" ref="I568" si="308">SUM(I562:I567)</f>
        <v>0</v>
      </c>
      <c r="J568" s="426">
        <f>SUM(J562:J567)</f>
        <v>0</v>
      </c>
    </row>
    <row r="569" spans="1:10" ht="23.25" thickBot="1" x14ac:dyDescent="0.3">
      <c r="A569" s="274" t="s">
        <v>101</v>
      </c>
      <c r="B569" s="850" t="s">
        <v>163</v>
      </c>
      <c r="C569" s="851"/>
      <c r="D569" s="852"/>
      <c r="E569" s="395"/>
      <c r="F569" s="412">
        <f t="shared" ref="F569:G569" si="309">+F561+F568</f>
        <v>0</v>
      </c>
      <c r="G569" s="413">
        <f t="shared" si="309"/>
        <v>96412.867200000008</v>
      </c>
      <c r="H569" s="396"/>
      <c r="I569" s="412">
        <f t="shared" ref="I569:J569" si="310">+I561+I568</f>
        <v>0</v>
      </c>
      <c r="J569" s="427">
        <f t="shared" si="310"/>
        <v>141860.16000000003</v>
      </c>
    </row>
    <row r="570" spans="1:10" ht="24.75" thickBot="1" x14ac:dyDescent="0.3">
      <c r="A570" s="274" t="s">
        <v>101</v>
      </c>
      <c r="B570" s="592" t="s">
        <v>32</v>
      </c>
      <c r="C570" s="821"/>
      <c r="D570" s="309"/>
      <c r="E570" s="502">
        <v>12.2659</v>
      </c>
      <c r="F570" s="404">
        <f>IFERROR(E570*'01 Prod Physique Boites'!H564,"-")</f>
        <v>0</v>
      </c>
      <c r="G570" s="405">
        <f>IFERROR(E570*'01 Prod Physique Boites'!L564,"-")</f>
        <v>0</v>
      </c>
      <c r="H570" s="388"/>
      <c r="I570" s="422">
        <f>IFERROR(H570*(F570/E570),"-")</f>
        <v>0</v>
      </c>
      <c r="J570" s="423">
        <f>IFERROR(H570*(G570/E570),"-")</f>
        <v>0</v>
      </c>
    </row>
    <row r="571" spans="1:10" ht="23.25" thickBot="1" x14ac:dyDescent="0.3">
      <c r="A571" s="274" t="s">
        <v>101</v>
      </c>
      <c r="B571" s="853" t="s">
        <v>21</v>
      </c>
      <c r="C571" s="854"/>
      <c r="D571" s="855"/>
      <c r="E571" s="389"/>
      <c r="F571" s="406">
        <f>+F557+F569+F570</f>
        <v>3812049.7739999997</v>
      </c>
      <c r="G571" s="407">
        <f>+G557+G569+G570</f>
        <v>15638273.4924</v>
      </c>
      <c r="H571" s="390"/>
      <c r="I571" s="406">
        <f t="shared" ref="I571:J571" si="311">+I557+I569+I570</f>
        <v>5568603.2999999998</v>
      </c>
      <c r="J571" s="424">
        <f t="shared" si="311"/>
        <v>22868890.199999999</v>
      </c>
    </row>
    <row r="572" spans="1:10" ht="23.25" thickBot="1" x14ac:dyDescent="0.3">
      <c r="A572" s="274" t="s">
        <v>101</v>
      </c>
      <c r="B572" s="839" t="s">
        <v>171</v>
      </c>
      <c r="C572" s="840"/>
      <c r="D572" s="841"/>
      <c r="E572" s="391"/>
      <c r="F572" s="408">
        <f t="shared" ref="F572:G572" si="312">+F571</f>
        <v>3812049.7739999997</v>
      </c>
      <c r="G572" s="409">
        <f t="shared" si="312"/>
        <v>15638273.4924</v>
      </c>
      <c r="H572" s="392"/>
      <c r="I572" s="408">
        <f t="shared" ref="I572:J572" si="313">+I571</f>
        <v>5568603.2999999998</v>
      </c>
      <c r="J572" s="425">
        <f t="shared" si="313"/>
        <v>22868890.199999999</v>
      </c>
    </row>
    <row r="573" spans="1:10" ht="24" x14ac:dyDescent="0.25">
      <c r="A573" s="268" t="s">
        <v>102</v>
      </c>
      <c r="B573" s="842" t="s">
        <v>399</v>
      </c>
      <c r="C573" s="310" t="s">
        <v>113</v>
      </c>
      <c r="D573" s="310"/>
      <c r="E573" s="669">
        <v>254.89750000000001</v>
      </c>
      <c r="F573" s="398">
        <f>IFERROR(E573*'01 Prod Physique Boites'!H571,"-")</f>
        <v>0</v>
      </c>
      <c r="G573" s="399">
        <f>IFERROR(E573*'01 Prod Physique Boites'!L571,"-")</f>
        <v>0</v>
      </c>
      <c r="H573" s="379">
        <v>445.38</v>
      </c>
      <c r="I573" s="415">
        <f>IFERROR(H573*(F573/E573),"-")</f>
        <v>0</v>
      </c>
      <c r="J573" s="416">
        <f t="shared" ref="J573:J575" si="314">IFERROR(H573*(G573/E573),"-")</f>
        <v>0</v>
      </c>
    </row>
    <row r="574" spans="1:10" ht="24" x14ac:dyDescent="0.25">
      <c r="A574" s="274" t="s">
        <v>102</v>
      </c>
      <c r="B574" s="843"/>
      <c r="C574" s="311" t="s">
        <v>246</v>
      </c>
      <c r="D574" s="311"/>
      <c r="E574" s="499">
        <v>246.51390000000001</v>
      </c>
      <c r="F574" s="398">
        <f>IFERROR(E574*'01 Prod Physique Boites'!H572,"-")</f>
        <v>0</v>
      </c>
      <c r="G574" s="399">
        <f>IFERROR(E574*'01 Prod Physique Boites'!L572,"-")</f>
        <v>0</v>
      </c>
      <c r="H574" s="382">
        <v>430.02</v>
      </c>
      <c r="I574" s="417">
        <f>IFERROR(H574*(F574/E574),"-")</f>
        <v>0</v>
      </c>
      <c r="J574" s="418">
        <f t="shared" si="314"/>
        <v>0</v>
      </c>
    </row>
    <row r="575" spans="1:10" ht="24.75" thickBot="1" x14ac:dyDescent="0.3">
      <c r="A575" s="274" t="s">
        <v>102</v>
      </c>
      <c r="B575" s="844"/>
      <c r="C575" s="312" t="s">
        <v>33</v>
      </c>
      <c r="D575" s="312"/>
      <c r="E575" s="496">
        <v>225.7713</v>
      </c>
      <c r="F575" s="398">
        <f>IFERROR(E575*'01 Prod Physique Boites'!H573,"-")</f>
        <v>0</v>
      </c>
      <c r="G575" s="399">
        <f>IFERROR(E575*'01 Prod Physique Boites'!L573,"-")</f>
        <v>0</v>
      </c>
      <c r="H575" s="384"/>
      <c r="I575" s="419">
        <f>IFERROR(H575*(F575/E575),"-")</f>
        <v>0</v>
      </c>
      <c r="J575" s="420">
        <f t="shared" si="314"/>
        <v>0</v>
      </c>
    </row>
    <row r="576" spans="1:10" ht="23.25" thickBot="1" x14ac:dyDescent="0.3">
      <c r="A576" s="274" t="s">
        <v>102</v>
      </c>
      <c r="B576" s="845" t="s">
        <v>34</v>
      </c>
      <c r="C576" s="846"/>
      <c r="D576" s="847"/>
      <c r="E576" s="386"/>
      <c r="F576" s="402">
        <f t="shared" ref="F576:G576" si="315">SUM(F573:F575)</f>
        <v>0</v>
      </c>
      <c r="G576" s="403">
        <f t="shared" si="315"/>
        <v>0</v>
      </c>
      <c r="H576" s="387"/>
      <c r="I576" s="402">
        <f t="shared" ref="I576:J576" si="316">SUM(I573:I575)</f>
        <v>0</v>
      </c>
      <c r="J576" s="421">
        <f t="shared" si="316"/>
        <v>0</v>
      </c>
    </row>
    <row r="577" spans="1:10" ht="24" x14ac:dyDescent="0.25">
      <c r="A577" s="274" t="s">
        <v>102</v>
      </c>
      <c r="B577" s="842" t="s">
        <v>35</v>
      </c>
      <c r="C577" s="310" t="s">
        <v>113</v>
      </c>
      <c r="D577" s="310"/>
      <c r="E577" s="498">
        <v>254.89750000000001</v>
      </c>
      <c r="F577" s="398">
        <f>IFERROR(E577*'01 Prod Physique Boites'!H575,"-")</f>
        <v>0</v>
      </c>
      <c r="G577" s="399">
        <f>IFERROR(E577*'01 Prod Physique Boites'!L575,"-")</f>
        <v>0</v>
      </c>
      <c r="H577" s="379">
        <v>445.38</v>
      </c>
      <c r="I577" s="415">
        <f>IFERROR(H577*(F577/E577),"-")</f>
        <v>0</v>
      </c>
      <c r="J577" s="416">
        <f t="shared" ref="J577:J580" si="317">IFERROR(H577*(G577/E577),"-")</f>
        <v>0</v>
      </c>
    </row>
    <row r="578" spans="1:10" ht="24" x14ac:dyDescent="0.25">
      <c r="A578" s="274" t="s">
        <v>102</v>
      </c>
      <c r="B578" s="843"/>
      <c r="C578" s="311" t="s">
        <v>246</v>
      </c>
      <c r="D578" s="311"/>
      <c r="E578" s="499">
        <v>246.51390000000001</v>
      </c>
      <c r="F578" s="398">
        <f>IFERROR(E578*'01 Prod Physique Boites'!H576,"-")</f>
        <v>0</v>
      </c>
      <c r="G578" s="399">
        <f>IFERROR(E578*'01 Prod Physique Boites'!L576,"-")</f>
        <v>0</v>
      </c>
      <c r="H578" s="382">
        <v>430.02</v>
      </c>
      <c r="I578" s="417">
        <f>IFERROR(H578*(F578/E578),"-")</f>
        <v>0</v>
      </c>
      <c r="J578" s="418">
        <f t="shared" si="317"/>
        <v>0</v>
      </c>
    </row>
    <row r="579" spans="1:10" ht="24" x14ac:dyDescent="0.25">
      <c r="A579" s="274" t="s">
        <v>102</v>
      </c>
      <c r="B579" s="843"/>
      <c r="C579" s="311" t="s">
        <v>184</v>
      </c>
      <c r="D579" s="311" t="s">
        <v>183</v>
      </c>
      <c r="E579" s="499">
        <v>254.89750000000001</v>
      </c>
      <c r="F579" s="398">
        <f>IFERROR(E579*'01 Prod Physique Boites'!H577,"-")</f>
        <v>0</v>
      </c>
      <c r="G579" s="399">
        <f>IFERROR(E579*'01 Prod Physique Boites'!L577,"-")</f>
        <v>0</v>
      </c>
      <c r="H579" s="382"/>
      <c r="I579" s="417">
        <f>IFERROR(H579*(F579/E579),"-")</f>
        <v>0</v>
      </c>
      <c r="J579" s="418">
        <f t="shared" si="317"/>
        <v>0</v>
      </c>
    </row>
    <row r="580" spans="1:10" ht="24.75" thickBot="1" x14ac:dyDescent="0.3">
      <c r="A580" s="274" t="s">
        <v>102</v>
      </c>
      <c r="B580" s="844"/>
      <c r="C580" s="312" t="s">
        <v>36</v>
      </c>
      <c r="D580" s="312"/>
      <c r="E580" s="496">
        <v>229.99359999999999</v>
      </c>
      <c r="F580" s="398">
        <f>IFERROR(E580*'01 Prod Physique Boites'!H578,"-")</f>
        <v>0</v>
      </c>
      <c r="G580" s="399">
        <f>IFERROR(E580*'01 Prod Physique Boites'!L578,"-")</f>
        <v>0</v>
      </c>
      <c r="H580" s="384"/>
      <c r="I580" s="419">
        <f>IFERROR(H580*(F580/E580),"-")</f>
        <v>0</v>
      </c>
      <c r="J580" s="420">
        <f t="shared" si="317"/>
        <v>0</v>
      </c>
    </row>
    <row r="581" spans="1:10" ht="23.25" thickBot="1" x14ac:dyDescent="0.3">
      <c r="A581" s="274" t="s">
        <v>102</v>
      </c>
      <c r="B581" s="845" t="s">
        <v>37</v>
      </c>
      <c r="C581" s="846"/>
      <c r="D581" s="847"/>
      <c r="E581" s="386"/>
      <c r="F581" s="402">
        <f t="shared" ref="F581:G581" si="318">SUM(F577:F580)</f>
        <v>0</v>
      </c>
      <c r="G581" s="403">
        <f t="shared" si="318"/>
        <v>0</v>
      </c>
      <c r="H581" s="387"/>
      <c r="I581" s="402">
        <f>SUM(I577:I580)</f>
        <v>0</v>
      </c>
      <c r="J581" s="421">
        <f>SUM(J577:J580)</f>
        <v>0</v>
      </c>
    </row>
    <row r="582" spans="1:10" ht="24" x14ac:dyDescent="0.25">
      <c r="A582" s="274" t="s">
        <v>102</v>
      </c>
      <c r="B582" s="842" t="s">
        <v>400</v>
      </c>
      <c r="C582" s="313" t="s">
        <v>116</v>
      </c>
      <c r="D582" s="313"/>
      <c r="E582" s="498">
        <v>195.2808</v>
      </c>
      <c r="F582" s="398">
        <f>IFERROR(E582*'01 Prod Physique Boites'!H580,"-")</f>
        <v>0</v>
      </c>
      <c r="G582" s="399">
        <f>IFERROR(E582*'01 Prod Physique Boites'!L580,"-")</f>
        <v>0</v>
      </c>
      <c r="H582" s="642">
        <v>256.7</v>
      </c>
      <c r="I582" s="415">
        <f>IFERROR(H582*(F582/E582),"-")</f>
        <v>0</v>
      </c>
      <c r="J582" s="416">
        <f t="shared" ref="J582:J583" si="319">IFERROR(H582*(G582/E582),"-")</f>
        <v>0</v>
      </c>
    </row>
    <row r="583" spans="1:10" ht="24.75" thickBot="1" x14ac:dyDescent="0.3">
      <c r="A583" s="274" t="s">
        <v>102</v>
      </c>
      <c r="B583" s="844"/>
      <c r="C583" s="285" t="s">
        <v>132</v>
      </c>
      <c r="D583" s="285"/>
      <c r="E583" s="496">
        <v>189.91890000000001</v>
      </c>
      <c r="F583" s="398">
        <f>IFERROR(E583*'01 Prod Physique Boites'!H581,"-")</f>
        <v>0</v>
      </c>
      <c r="G583" s="399">
        <f>IFERROR(E583*'01 Prod Physique Boites'!L581,"-")</f>
        <v>0</v>
      </c>
      <c r="H583" s="384">
        <v>320.35000000000002</v>
      </c>
      <c r="I583" s="419">
        <f>IFERROR(H583*(F583/E583),"-")</f>
        <v>0</v>
      </c>
      <c r="J583" s="420">
        <f t="shared" si="319"/>
        <v>0</v>
      </c>
    </row>
    <row r="584" spans="1:10" ht="23.25" thickBot="1" x14ac:dyDescent="0.3">
      <c r="A584" s="826" t="s">
        <v>102</v>
      </c>
      <c r="B584" s="845" t="s">
        <v>38</v>
      </c>
      <c r="C584" s="846"/>
      <c r="D584" s="847"/>
      <c r="E584" s="386"/>
      <c r="F584" s="402">
        <f>SUM(F582:F583)</f>
        <v>0</v>
      </c>
      <c r="G584" s="403">
        <f t="shared" ref="G584" si="320">SUM(G582:G583)</f>
        <v>0</v>
      </c>
      <c r="H584" s="387"/>
      <c r="I584" s="402">
        <f t="shared" ref="I584:J584" si="321">SUM(I582:I583)</f>
        <v>0</v>
      </c>
      <c r="J584" s="421">
        <f t="shared" si="321"/>
        <v>0</v>
      </c>
    </row>
    <row r="585" spans="1:10" ht="24" x14ac:dyDescent="0.25">
      <c r="A585" s="274" t="s">
        <v>102</v>
      </c>
      <c r="B585" s="842" t="s">
        <v>401</v>
      </c>
      <c r="C585" s="269" t="s">
        <v>305</v>
      </c>
      <c r="D585" s="269" t="s">
        <v>237</v>
      </c>
      <c r="E585" s="500">
        <v>37.248699999999999</v>
      </c>
      <c r="F585" s="398">
        <f>IFERROR(E585*'01 Prod Physique Boites'!H583,"-")</f>
        <v>2002490.112</v>
      </c>
      <c r="G585" s="399">
        <f>IFERROR(E585*'01 Prod Physique Boites'!L583,"-")</f>
        <v>8700551.345999999</v>
      </c>
      <c r="H585" s="379">
        <v>71.44</v>
      </c>
      <c r="I585" s="415">
        <f>IFERROR(H585*(F585/E585),"-")</f>
        <v>3840614.3999999999</v>
      </c>
      <c r="J585" s="416">
        <f>IFERROR(H585*(G585/E585),"-")</f>
        <v>16686955.199999997</v>
      </c>
    </row>
    <row r="586" spans="1:10" ht="24" x14ac:dyDescent="0.25">
      <c r="A586" s="274" t="s">
        <v>102</v>
      </c>
      <c r="B586" s="843"/>
      <c r="C586" s="269" t="s">
        <v>156</v>
      </c>
      <c r="D586" s="275"/>
      <c r="E586" s="500">
        <v>37.248699999999999</v>
      </c>
      <c r="F586" s="398">
        <f>IFERROR(E586*'01 Prod Physique Boites'!H584,"-")</f>
        <v>0</v>
      </c>
      <c r="G586" s="399">
        <f>IFERROR(E586*'01 Prod Physique Boites'!L584,"-")</f>
        <v>0</v>
      </c>
      <c r="H586" s="382"/>
      <c r="I586" s="417">
        <f>IFERROR(H586*(F586/E586),"-")</f>
        <v>0</v>
      </c>
      <c r="J586" s="418">
        <f t="shared" ref="J586:J588" si="322">IFERROR(H586*(G586/E586),"-")</f>
        <v>0</v>
      </c>
    </row>
    <row r="587" spans="1:10" ht="24" x14ac:dyDescent="0.25">
      <c r="A587" s="274" t="s">
        <v>102</v>
      </c>
      <c r="B587" s="843"/>
      <c r="C587" s="275" t="s">
        <v>343</v>
      </c>
      <c r="D587" s="269" t="s">
        <v>237</v>
      </c>
      <c r="E587" s="500">
        <v>37.248699999999999</v>
      </c>
      <c r="F587" s="398">
        <f>IFERROR(E587*'01 Prod Physique Boites'!H585,"-")</f>
        <v>0</v>
      </c>
      <c r="G587" s="399">
        <f>IFERROR(E587*'01 Prod Physique Boites'!L585,"-")</f>
        <v>1500973.6151999999</v>
      </c>
      <c r="H587" s="382">
        <v>71.44</v>
      </c>
      <c r="I587" s="417">
        <f>IFERROR(H587*(F587/E587),"-")</f>
        <v>0</v>
      </c>
      <c r="J587" s="418">
        <f t="shared" si="322"/>
        <v>2878746.2399999998</v>
      </c>
    </row>
    <row r="588" spans="1:10" ht="24.75" thickBot="1" x14ac:dyDescent="0.3">
      <c r="A588" s="274" t="s">
        <v>102</v>
      </c>
      <c r="B588" s="843"/>
      <c r="C588" s="275" t="s">
        <v>157</v>
      </c>
      <c r="D588" s="275"/>
      <c r="E588" s="501">
        <v>38.466099999999997</v>
      </c>
      <c r="F588" s="398">
        <f>IFERROR(E588*'01 Prod Physique Boites'!H586,"-")</f>
        <v>0</v>
      </c>
      <c r="G588" s="399">
        <f>IFERROR(E588*'01 Prod Physique Boites'!L586,"-")</f>
        <v>0</v>
      </c>
      <c r="H588" s="382"/>
      <c r="I588" s="417">
        <f>IFERROR(H588*(F588/E588),"-")</f>
        <v>0</v>
      </c>
      <c r="J588" s="418">
        <f t="shared" si="322"/>
        <v>0</v>
      </c>
    </row>
    <row r="589" spans="1:10" ht="23.25" thickBot="1" x14ac:dyDescent="0.3">
      <c r="A589" s="274" t="s">
        <v>102</v>
      </c>
      <c r="B589" s="845" t="s">
        <v>39</v>
      </c>
      <c r="C589" s="846"/>
      <c r="D589" s="847"/>
      <c r="E589" s="386"/>
      <c r="F589" s="402">
        <f>SUM(F585:F588)</f>
        <v>2002490.112</v>
      </c>
      <c r="G589" s="403">
        <f>SUM(G585:G588)</f>
        <v>10201524.961199999</v>
      </c>
      <c r="H589" s="387"/>
      <c r="I589" s="402">
        <f>SUM(I585:I588)</f>
        <v>3840614.3999999999</v>
      </c>
      <c r="J589" s="402">
        <f>SUM(J585:J588)</f>
        <v>19565701.439999998</v>
      </c>
    </row>
    <row r="590" spans="1:10" ht="24" x14ac:dyDescent="0.25">
      <c r="A590" s="274" t="s">
        <v>102</v>
      </c>
      <c r="B590" s="842" t="s">
        <v>40</v>
      </c>
      <c r="C590" s="269" t="s">
        <v>186</v>
      </c>
      <c r="D590" s="269" t="s">
        <v>183</v>
      </c>
      <c r="E590" s="500">
        <v>30.7499</v>
      </c>
      <c r="F590" s="398">
        <f>IFERROR(E590*'01 Prod Physique Boites'!H589,"-")</f>
        <v>0</v>
      </c>
      <c r="G590" s="399">
        <f>IFERROR(E590*'01 Prod Physique Boites'!L589,"-")</f>
        <v>0</v>
      </c>
      <c r="H590" s="379"/>
      <c r="I590" s="415">
        <f>IFERROR(H590*(F590/E590),"-")</f>
        <v>0</v>
      </c>
      <c r="J590" s="416">
        <f>IFERROR(H590*(G590/E590),"-")</f>
        <v>0</v>
      </c>
    </row>
    <row r="591" spans="1:10" ht="24" x14ac:dyDescent="0.25">
      <c r="A591" s="274" t="s">
        <v>102</v>
      </c>
      <c r="B591" s="843"/>
      <c r="C591" s="275" t="s">
        <v>159</v>
      </c>
      <c r="D591" s="275"/>
      <c r="E591" s="645">
        <v>25.139099999999999</v>
      </c>
      <c r="F591" s="398">
        <f>IFERROR(E591*'01 Prod Physique Boites'!H590,"-")</f>
        <v>0</v>
      </c>
      <c r="G591" s="399">
        <f>IFERROR(E591*'01 Prod Physique Boites'!L589,"-")</f>
        <v>0</v>
      </c>
      <c r="H591" s="382">
        <v>59.96</v>
      </c>
      <c r="I591" s="417">
        <f>IFERROR(H591*(F591/E591),"-")</f>
        <v>0</v>
      </c>
      <c r="J591" s="418">
        <f t="shared" ref="J591:J592" si="323">IFERROR(H591*(G591/E591),"-")</f>
        <v>0</v>
      </c>
    </row>
    <row r="592" spans="1:10" ht="24.75" thickBot="1" x14ac:dyDescent="0.3">
      <c r="A592" s="274" t="s">
        <v>102</v>
      </c>
      <c r="B592" s="844"/>
      <c r="C592" s="279" t="s">
        <v>186</v>
      </c>
      <c r="D592" s="279" t="s">
        <v>185</v>
      </c>
      <c r="E592" s="497">
        <v>30.073599999999999</v>
      </c>
      <c r="F592" s="398">
        <f>IFERROR(E592*'01 Prod Physique Boites'!H591,"-")</f>
        <v>0</v>
      </c>
      <c r="G592" s="399">
        <f>IFERROR(E592*'01 Prod Physique Boites'!L590,"-")</f>
        <v>0</v>
      </c>
      <c r="H592" s="384"/>
      <c r="I592" s="419">
        <f>IFERROR(H592*(F592/E592),"-")</f>
        <v>0</v>
      </c>
      <c r="J592" s="420">
        <f t="shared" si="323"/>
        <v>0</v>
      </c>
    </row>
    <row r="593" spans="1:10" ht="23.25" thickBot="1" x14ac:dyDescent="0.3">
      <c r="A593" s="274" t="s">
        <v>102</v>
      </c>
      <c r="B593" s="862" t="s">
        <v>41</v>
      </c>
      <c r="C593" s="863"/>
      <c r="D593" s="864"/>
      <c r="E593" s="386"/>
      <c r="F593" s="402">
        <f t="shared" ref="F593:G593" si="324">SUM(F590:F592)</f>
        <v>0</v>
      </c>
      <c r="G593" s="403">
        <f t="shared" si="324"/>
        <v>0</v>
      </c>
      <c r="H593" s="387"/>
      <c r="I593" s="402">
        <f t="shared" ref="I593:J593" si="325">SUM(I590:I592)</f>
        <v>0</v>
      </c>
      <c r="J593" s="421">
        <f t="shared" si="325"/>
        <v>0</v>
      </c>
    </row>
    <row r="594" spans="1:10" ht="24" x14ac:dyDescent="0.25">
      <c r="A594" s="274" t="s">
        <v>102</v>
      </c>
      <c r="B594" s="842" t="s">
        <v>42</v>
      </c>
      <c r="C594" s="269" t="s">
        <v>160</v>
      </c>
      <c r="D594" s="269"/>
      <c r="E594" s="500">
        <v>36.684899999999999</v>
      </c>
      <c r="F594" s="398">
        <f>IFERROR(E594*'01 Prod Physique Boites'!H593,"-")</f>
        <v>0</v>
      </c>
      <c r="G594" s="399">
        <f>IFERROR(E594*'01 Prod Physique Boites'!L593,"-")</f>
        <v>657393.40799999994</v>
      </c>
      <c r="H594" s="379">
        <v>42</v>
      </c>
      <c r="I594" s="415">
        <f t="shared" ref="I594:I595" si="326">IFERROR(H594*(F594/E594),"-")</f>
        <v>0</v>
      </c>
      <c r="J594" s="380">
        <f t="shared" ref="J594:J595" si="327">IFERROR(H594*(G594/E594),"-")</f>
        <v>752640</v>
      </c>
    </row>
    <row r="595" spans="1:10" ht="24.75" thickBot="1" x14ac:dyDescent="0.3">
      <c r="A595" s="274" t="s">
        <v>102</v>
      </c>
      <c r="B595" s="844"/>
      <c r="C595" s="279" t="s">
        <v>161</v>
      </c>
      <c r="D595" s="279"/>
      <c r="E595" s="497">
        <v>37.002800000000001</v>
      </c>
      <c r="F595" s="398">
        <f>IFERROR(E595*'01 Prod Physique Boites'!H594,"-")</f>
        <v>0</v>
      </c>
      <c r="G595" s="399">
        <f>IFERROR(E595*'01 Prod Physique Boites'!L594,"-")</f>
        <v>0</v>
      </c>
      <c r="H595" s="384">
        <v>45.5</v>
      </c>
      <c r="I595" s="415">
        <f t="shared" si="326"/>
        <v>0</v>
      </c>
      <c r="J595" s="385">
        <f t="shared" si="327"/>
        <v>0</v>
      </c>
    </row>
    <row r="596" spans="1:10" ht="23.25" thickBot="1" x14ac:dyDescent="0.3">
      <c r="A596" s="274" t="s">
        <v>102</v>
      </c>
      <c r="B596" s="862" t="s">
        <v>43</v>
      </c>
      <c r="C596" s="863"/>
      <c r="D596" s="864"/>
      <c r="E596" s="386"/>
      <c r="F596" s="398">
        <f>SUM(F594:F595)</f>
        <v>0</v>
      </c>
      <c r="G596" s="398">
        <f>SUM(G594:G595)</f>
        <v>657393.40799999994</v>
      </c>
      <c r="H596" s="387"/>
      <c r="I596" s="402">
        <f t="shared" ref="I596:J596" si="328">SUM(I594:I595)</f>
        <v>0</v>
      </c>
      <c r="J596" s="421">
        <f t="shared" si="328"/>
        <v>752640</v>
      </c>
    </row>
    <row r="597" spans="1:10" ht="23.25" thickBot="1" x14ac:dyDescent="0.3">
      <c r="A597" s="274" t="s">
        <v>102</v>
      </c>
      <c r="B597" s="856" t="s">
        <v>25</v>
      </c>
      <c r="C597" s="857"/>
      <c r="D597" s="858"/>
      <c r="E597" s="389"/>
      <c r="F597" s="406">
        <f>+F576+F581+F584+F589+F593+F596</f>
        <v>2002490.112</v>
      </c>
      <c r="G597" s="407">
        <f>+G576+G581+G584+G589+G593+G596</f>
        <v>10858918.369199999</v>
      </c>
      <c r="H597" s="390"/>
      <c r="I597" s="406">
        <f>+I576+I581+I584+I589+I593+I596</f>
        <v>3840614.3999999999</v>
      </c>
      <c r="J597" s="424">
        <f>+J576+J581+J584+J589+J593+J596</f>
        <v>20318341.439999998</v>
      </c>
    </row>
    <row r="598" spans="1:10" ht="23.25" thickBot="1" x14ac:dyDescent="0.3">
      <c r="A598" s="317" t="s">
        <v>102</v>
      </c>
      <c r="B598" s="840" t="s">
        <v>173</v>
      </c>
      <c r="C598" s="840"/>
      <c r="D598" s="841"/>
      <c r="E598" s="391"/>
      <c r="F598" s="408">
        <f t="shared" ref="F598:G598" si="329">+F597</f>
        <v>2002490.112</v>
      </c>
      <c r="G598" s="409">
        <f t="shared" si="329"/>
        <v>10858918.369199999</v>
      </c>
      <c r="H598" s="392"/>
      <c r="I598" s="408">
        <f t="shared" ref="I598" si="330">+I597</f>
        <v>3840614.3999999999</v>
      </c>
      <c r="J598" s="425">
        <f>+J597</f>
        <v>20318341.439999998</v>
      </c>
    </row>
    <row r="599" spans="1:10" ht="26.25" thickBot="1" x14ac:dyDescent="0.3">
      <c r="A599" s="318"/>
      <c r="B599" s="859" t="s">
        <v>174</v>
      </c>
      <c r="C599" s="860"/>
      <c r="D599" s="861"/>
      <c r="E599" s="397"/>
      <c r="F599" s="414">
        <f>+F537+F572+F598</f>
        <v>8516807.0518999994</v>
      </c>
      <c r="G599" s="414">
        <f>+G537+G572+G598</f>
        <v>35925598.807300001</v>
      </c>
      <c r="H599" s="397"/>
      <c r="I599" s="414">
        <f>+I537+I572+I598</f>
        <v>11919844.91</v>
      </c>
      <c r="J599" s="428">
        <f>+J537+J572+J598</f>
        <v>53514107.989999995</v>
      </c>
    </row>
    <row r="600" spans="1:10" ht="24.6" customHeight="1" thickBot="1" x14ac:dyDescent="0.3">
      <c r="A600" s="230"/>
      <c r="B600" s="230"/>
      <c r="C600" s="230"/>
      <c r="D600" s="230"/>
      <c r="E600" s="376"/>
      <c r="F600" s="376"/>
      <c r="G600" s="376"/>
      <c r="H600" s="376"/>
      <c r="I600" s="376"/>
      <c r="J600" s="376"/>
    </row>
    <row r="601" spans="1:10" ht="22.5" x14ac:dyDescent="0.25">
      <c r="A601" s="881" t="s">
        <v>1</v>
      </c>
      <c r="B601" s="884" t="s">
        <v>2</v>
      </c>
      <c r="C601" s="887" t="s">
        <v>394</v>
      </c>
      <c r="D601" s="887" t="s">
        <v>395</v>
      </c>
      <c r="E601" s="909" t="s">
        <v>403</v>
      </c>
      <c r="F601" s="910"/>
      <c r="G601" s="910"/>
      <c r="H601" s="438"/>
      <c r="I601" s="438"/>
      <c r="J601" s="439"/>
    </row>
    <row r="602" spans="1:10" ht="22.5" x14ac:dyDescent="0.25">
      <c r="A602" s="882"/>
      <c r="B602" s="885"/>
      <c r="C602" s="888"/>
      <c r="D602" s="888"/>
      <c r="E602" s="911" t="s">
        <v>406</v>
      </c>
      <c r="F602" s="912"/>
      <c r="G602" s="913"/>
      <c r="H602" s="911" t="s">
        <v>168</v>
      </c>
      <c r="I602" s="912"/>
      <c r="J602" s="913"/>
    </row>
    <row r="603" spans="1:10" ht="45" x14ac:dyDescent="0.25">
      <c r="A603" s="883"/>
      <c r="B603" s="907"/>
      <c r="C603" s="908"/>
      <c r="D603" s="908"/>
      <c r="E603" s="377" t="s">
        <v>170</v>
      </c>
      <c r="F603" s="833" t="s">
        <v>405</v>
      </c>
      <c r="G603" s="834" t="s">
        <v>404</v>
      </c>
      <c r="H603" s="914" t="s">
        <v>170</v>
      </c>
      <c r="I603" s="916" t="s">
        <v>137</v>
      </c>
      <c r="J603" s="918" t="s">
        <v>404</v>
      </c>
    </row>
    <row r="604" spans="1:10" ht="23.25" thickBot="1" x14ac:dyDescent="0.3">
      <c r="A604" s="883"/>
      <c r="B604" s="886"/>
      <c r="C604" s="889"/>
      <c r="D604" s="889"/>
      <c r="E604" s="920" t="s">
        <v>528</v>
      </c>
      <c r="F604" s="921"/>
      <c r="G604" s="922"/>
      <c r="H604" s="915"/>
      <c r="I604" s="917"/>
      <c r="J604" s="919"/>
    </row>
    <row r="605" spans="1:10" ht="24" x14ac:dyDescent="0.25">
      <c r="A605" s="268" t="s">
        <v>103</v>
      </c>
      <c r="B605" s="867" t="s">
        <v>16</v>
      </c>
      <c r="C605" s="269" t="s">
        <v>366</v>
      </c>
      <c r="D605" s="269" t="s">
        <v>367</v>
      </c>
      <c r="E605" s="665">
        <v>81.360699999999994</v>
      </c>
      <c r="F605" s="398">
        <f>IFERROR(E605*'01 Prod Physique Boites'!H603,"-")</f>
        <v>0</v>
      </c>
      <c r="G605" s="398">
        <f>IFERROR(E605*'01 Prod Physique Boites'!L603,"-")</f>
        <v>0</v>
      </c>
      <c r="H605" s="666">
        <v>143.28</v>
      </c>
      <c r="I605" s="415">
        <f>IFERROR(H605*(F605/E605),"-")</f>
        <v>0</v>
      </c>
      <c r="J605" s="416">
        <f t="shared" ref="J605:J607" si="331">IFERROR(H605*(G605/E605),"-")</f>
        <v>0</v>
      </c>
    </row>
    <row r="606" spans="1:10" ht="24" x14ac:dyDescent="0.25">
      <c r="A606" s="673"/>
      <c r="B606" s="868"/>
      <c r="C606" s="275" t="s">
        <v>533</v>
      </c>
      <c r="D606" s="275" t="s">
        <v>534</v>
      </c>
      <c r="E606" s="501">
        <v>81.360699999999994</v>
      </c>
      <c r="F606" s="398">
        <f>IFERROR(E606*'01 Prod Physique Boites'!H604,"-")</f>
        <v>1041416.96</v>
      </c>
      <c r="G606" s="398">
        <f>IFERROR(E606*'01 Prod Physique Boites'!L604,"-")</f>
        <v>1041416.96</v>
      </c>
      <c r="H606" s="668">
        <v>143.28</v>
      </c>
      <c r="I606" s="415">
        <f>IFERROR(H606*(F606/E606),"-")</f>
        <v>1833984</v>
      </c>
      <c r="J606" s="416">
        <f t="shared" si="331"/>
        <v>1833984</v>
      </c>
    </row>
    <row r="607" spans="1:10" ht="24" x14ac:dyDescent="0.25">
      <c r="A607" s="274" t="s">
        <v>103</v>
      </c>
      <c r="B607" s="868"/>
      <c r="C607" s="275" t="s">
        <v>427</v>
      </c>
      <c r="D607" s="275" t="s">
        <v>382</v>
      </c>
      <c r="E607" s="645">
        <v>77.170400000000001</v>
      </c>
      <c r="F607" s="398">
        <f>IFERROR(E607*'01 Prod Physique Boites'!H605,"-")</f>
        <v>0</v>
      </c>
      <c r="G607" s="646">
        <f>IFERROR(E607*'01 Prod Physique Boites'!L605,"-")</f>
        <v>1926173.1840000001</v>
      </c>
      <c r="H607" s="382">
        <v>0</v>
      </c>
      <c r="I607" s="415">
        <f>IFERROR(H607*(F607/E607),"-")</f>
        <v>0</v>
      </c>
      <c r="J607" s="416">
        <f t="shared" si="331"/>
        <v>0</v>
      </c>
    </row>
    <row r="608" spans="1:10" ht="24.75" thickBot="1" x14ac:dyDescent="0.3">
      <c r="A608" s="274" t="s">
        <v>103</v>
      </c>
      <c r="B608" s="869"/>
      <c r="C608" s="279" t="s">
        <v>261</v>
      </c>
      <c r="D608" s="279" t="s">
        <v>230</v>
      </c>
      <c r="E608" s="497">
        <v>60.703499999999998</v>
      </c>
      <c r="F608" s="398">
        <f>IFERROR(E608*'01 Prod Physique Boites'!H606,"-")</f>
        <v>0</v>
      </c>
      <c r="G608" s="398">
        <f>IFERROR(E608*'01 Prod Physique Boites'!L606,"-")</f>
        <v>0</v>
      </c>
      <c r="H608" s="384">
        <v>111.09</v>
      </c>
      <c r="I608" s="415">
        <f>IFERROR(H608*(F608/E608),"-")</f>
        <v>0</v>
      </c>
      <c r="J608" s="416">
        <f>IFERROR(H608*(G608/E608),"-")</f>
        <v>0</v>
      </c>
    </row>
    <row r="609" spans="1:15" ht="23.25" thickBot="1" x14ac:dyDescent="0.3">
      <c r="A609" s="274" t="s">
        <v>103</v>
      </c>
      <c r="B609" s="845" t="s">
        <v>44</v>
      </c>
      <c r="C609" s="846"/>
      <c r="D609" s="847"/>
      <c r="E609" s="386"/>
      <c r="F609" s="402">
        <f t="shared" ref="F609" si="332">SUM(F605:F608)</f>
        <v>1041416.96</v>
      </c>
      <c r="G609" s="403">
        <f>SUM(G605:G608)</f>
        <v>2967590.1440000003</v>
      </c>
      <c r="H609" s="387"/>
      <c r="I609" s="402">
        <f t="shared" ref="I609:J609" si="333">SUM(I605:I608)</f>
        <v>1833984</v>
      </c>
      <c r="J609" s="421">
        <f t="shared" si="333"/>
        <v>1833984</v>
      </c>
      <c r="K609" s="664"/>
      <c r="L609" s="664"/>
      <c r="M609" s="664"/>
      <c r="N609" s="664"/>
      <c r="O609" s="664"/>
    </row>
    <row r="610" spans="1:15" ht="24" x14ac:dyDescent="0.25">
      <c r="A610" s="274" t="s">
        <v>103</v>
      </c>
      <c r="B610" s="867" t="s">
        <v>17</v>
      </c>
      <c r="C610" s="269" t="s">
        <v>293</v>
      </c>
      <c r="D610" s="269"/>
      <c r="E610" s="500">
        <v>12.5275</v>
      </c>
      <c r="F610" s="398">
        <f>IFERROR(E610*'01 Prod Physique Boites'!H608,"-")</f>
        <v>0</v>
      </c>
      <c r="G610" s="398">
        <f>IFERROR(E610*'01 Prod Physique Boites'!L608,"-")</f>
        <v>0</v>
      </c>
      <c r="H610" s="642">
        <v>18.836400000000001</v>
      </c>
      <c r="I610" s="415">
        <f t="shared" ref="I610:I616" si="334">IFERROR(H610*(F610/E610),"-")</f>
        <v>0</v>
      </c>
      <c r="J610" s="416">
        <f t="shared" ref="J610:J615" si="335">IFERROR(H610*(G610/E610),"-")</f>
        <v>0</v>
      </c>
    </row>
    <row r="611" spans="1:15" ht="24" x14ac:dyDescent="0.25">
      <c r="A611" s="274" t="s">
        <v>103</v>
      </c>
      <c r="B611" s="868"/>
      <c r="C611" s="275" t="s">
        <v>342</v>
      </c>
      <c r="D611" s="275" t="s">
        <v>231</v>
      </c>
      <c r="E611" s="638">
        <v>13.002700000000001</v>
      </c>
      <c r="F611" s="398">
        <f>IFERROR(E611*'01 Prod Physique Boites'!H609,"-")</f>
        <v>0</v>
      </c>
      <c r="G611" s="398">
        <f>IFERROR(E611*'01 Prod Physique Boites'!L609,"-")</f>
        <v>0</v>
      </c>
      <c r="H611" s="382">
        <v>21.18</v>
      </c>
      <c r="I611" s="417">
        <f t="shared" si="334"/>
        <v>0</v>
      </c>
      <c r="J611" s="418">
        <f t="shared" si="335"/>
        <v>0</v>
      </c>
    </row>
    <row r="612" spans="1:15" ht="24" x14ac:dyDescent="0.25">
      <c r="A612" s="274" t="s">
        <v>103</v>
      </c>
      <c r="B612" s="868"/>
      <c r="C612" s="275" t="s">
        <v>349</v>
      </c>
      <c r="D612" s="275" t="s">
        <v>187</v>
      </c>
      <c r="E612" s="638">
        <v>12.9049</v>
      </c>
      <c r="F612" s="398">
        <f>IFERROR(E612*'01 Prod Physique Boites'!H610,"-")</f>
        <v>0</v>
      </c>
      <c r="G612" s="398">
        <f>IFERROR(E612*'01 Prod Physique Boites'!L610,"-")</f>
        <v>1184669.82</v>
      </c>
      <c r="H612" s="382">
        <v>20.5</v>
      </c>
      <c r="I612" s="417">
        <f t="shared" si="334"/>
        <v>0</v>
      </c>
      <c r="J612" s="418">
        <f t="shared" si="335"/>
        <v>1881900.0000000002</v>
      </c>
    </row>
    <row r="613" spans="1:15" ht="24" x14ac:dyDescent="0.25">
      <c r="A613" s="274" t="s">
        <v>103</v>
      </c>
      <c r="B613" s="868"/>
      <c r="C613" s="275" t="s">
        <v>292</v>
      </c>
      <c r="D613" s="275" t="s">
        <v>188</v>
      </c>
      <c r="E613" s="501">
        <v>13.078200000000001</v>
      </c>
      <c r="F613" s="398">
        <f>IFERROR(E613*'01 Prod Physique Boites'!H611,"-")</f>
        <v>0</v>
      </c>
      <c r="G613" s="398">
        <f>IFERROR(E613*'01 Prod Physique Boites'!L611,"-")</f>
        <v>0</v>
      </c>
      <c r="H613" s="382">
        <v>20.6</v>
      </c>
      <c r="I613" s="417">
        <f t="shared" si="334"/>
        <v>0</v>
      </c>
      <c r="J613" s="418">
        <f t="shared" si="335"/>
        <v>0</v>
      </c>
    </row>
    <row r="614" spans="1:15" ht="24" x14ac:dyDescent="0.25">
      <c r="A614" s="274" t="s">
        <v>103</v>
      </c>
      <c r="B614" s="868"/>
      <c r="C614" s="275" t="s">
        <v>321</v>
      </c>
      <c r="D614" s="275" t="s">
        <v>316</v>
      </c>
      <c r="E614" s="501">
        <v>13.1958</v>
      </c>
      <c r="F614" s="398">
        <f>IFERROR(E614*'01 Prod Physique Boites'!H612,"-")</f>
        <v>0</v>
      </c>
      <c r="G614" s="398">
        <f>IFERROR(E614*'01 Prod Physique Boites'!L612,"-")</f>
        <v>0</v>
      </c>
      <c r="H614" s="382">
        <v>21.28</v>
      </c>
      <c r="I614" s="417">
        <f t="shared" si="334"/>
        <v>0</v>
      </c>
      <c r="J614" s="418">
        <f t="shared" si="335"/>
        <v>0</v>
      </c>
    </row>
    <row r="615" spans="1:15" ht="24" x14ac:dyDescent="0.25">
      <c r="A615" s="274">
        <v>1</v>
      </c>
      <c r="B615" s="868"/>
      <c r="C615" s="275" t="s">
        <v>350</v>
      </c>
      <c r="D615" s="275" t="s">
        <v>189</v>
      </c>
      <c r="E615" s="638">
        <v>12.9049</v>
      </c>
      <c r="F615" s="398">
        <f>IFERROR(E615*'01 Prod Physique Boites'!H613,"-")</f>
        <v>0</v>
      </c>
      <c r="G615" s="398">
        <f>IFERROR(E615*'01 Prod Physique Boites'!L613,"-")</f>
        <v>0</v>
      </c>
      <c r="H615" s="629">
        <v>20.5</v>
      </c>
      <c r="I615" s="417">
        <f t="shared" si="334"/>
        <v>0</v>
      </c>
      <c r="J615" s="418">
        <f t="shared" si="335"/>
        <v>0</v>
      </c>
    </row>
    <row r="616" spans="1:15" ht="24.75" thickBot="1" x14ac:dyDescent="0.3">
      <c r="A616" s="274" t="s">
        <v>103</v>
      </c>
      <c r="B616" s="869"/>
      <c r="C616" s="279" t="s">
        <v>339</v>
      </c>
      <c r="D616" s="279" t="s">
        <v>175</v>
      </c>
      <c r="E616" s="497">
        <v>13.6509</v>
      </c>
      <c r="F616" s="398">
        <f>IFERROR(E616*'01 Prod Physique Boites'!H614,"-")</f>
        <v>0</v>
      </c>
      <c r="G616" s="398">
        <f>IFERROR(E616*'01 Prod Physique Boites'!L614,"-")</f>
        <v>0</v>
      </c>
      <c r="H616" s="384">
        <v>21.18</v>
      </c>
      <c r="I616" s="419">
        <f t="shared" si="334"/>
        <v>0</v>
      </c>
      <c r="J616" s="420">
        <f>IFERROR(H616*(G616/E616),"-")</f>
        <v>0</v>
      </c>
    </row>
    <row r="617" spans="1:15" ht="23.25" thickBot="1" x14ac:dyDescent="0.3">
      <c r="A617" s="274" t="s">
        <v>103</v>
      </c>
      <c r="B617" s="845" t="s">
        <v>45</v>
      </c>
      <c r="C617" s="846"/>
      <c r="D617" s="847"/>
      <c r="E617" s="386"/>
      <c r="F617" s="402">
        <f t="shared" ref="F617" si="336">SUM(F610:F616)</f>
        <v>0</v>
      </c>
      <c r="G617" s="403">
        <f>SUM(G610:G616)</f>
        <v>1184669.82</v>
      </c>
      <c r="H617" s="387"/>
      <c r="I617" s="402">
        <f t="shared" ref="I617" si="337">SUM(I610:I616)</f>
        <v>0</v>
      </c>
      <c r="J617" s="421">
        <f>SUM(J610:J616)</f>
        <v>1881900.0000000002</v>
      </c>
      <c r="K617" s="664"/>
      <c r="L617" s="664"/>
      <c r="M617" s="664"/>
      <c r="N617" s="664"/>
      <c r="O617" s="664"/>
    </row>
    <row r="618" spans="1:15" ht="24" x14ac:dyDescent="0.25">
      <c r="A618" s="274" t="s">
        <v>103</v>
      </c>
      <c r="B618" s="867" t="s">
        <v>18</v>
      </c>
      <c r="C618" s="269" t="s">
        <v>311</v>
      </c>
      <c r="D618" s="269" t="s">
        <v>92</v>
      </c>
      <c r="E618" s="500">
        <v>17.8202</v>
      </c>
      <c r="F618" s="398">
        <f>IFERROR(E618*'01 Prod Physique Boites'!H616,"-")</f>
        <v>0</v>
      </c>
      <c r="G618" s="399">
        <f>IFERROR(E618*'01 Prod Physique Boites'!L616,"-")</f>
        <v>0</v>
      </c>
      <c r="H618" s="379">
        <v>24.93</v>
      </c>
      <c r="I618" s="415">
        <f t="shared" ref="I618:I624" si="338">IFERROR(H618*(F618/E618),"-")</f>
        <v>0</v>
      </c>
      <c r="J618" s="416">
        <f t="shared" ref="J618:J620" si="339">IFERROR(H618*(G618/E618),"-")</f>
        <v>0</v>
      </c>
    </row>
    <row r="619" spans="1:15" ht="24" x14ac:dyDescent="0.25">
      <c r="A619" s="274" t="s">
        <v>103</v>
      </c>
      <c r="B619" s="868"/>
      <c r="C619" s="275" t="s">
        <v>130</v>
      </c>
      <c r="D619" s="275"/>
      <c r="E619" s="501">
        <v>17.8202</v>
      </c>
      <c r="F619" s="398">
        <f>IFERROR(E619*'01 Prod Physique Boites'!H617,"-")</f>
        <v>0</v>
      </c>
      <c r="G619" s="399">
        <f>IFERROR(E619*'01 Prod Physique Boites'!L617,"-")</f>
        <v>0</v>
      </c>
      <c r="H619" s="382">
        <v>0</v>
      </c>
      <c r="I619" s="417">
        <f t="shared" si="338"/>
        <v>0</v>
      </c>
      <c r="J619" s="418">
        <f t="shared" si="339"/>
        <v>0</v>
      </c>
    </row>
    <row r="620" spans="1:15" ht="24" x14ac:dyDescent="0.25">
      <c r="A620" s="274" t="s">
        <v>103</v>
      </c>
      <c r="B620" s="868"/>
      <c r="C620" s="275" t="s">
        <v>115</v>
      </c>
      <c r="D620" s="275"/>
      <c r="E620" s="501">
        <v>16.4071</v>
      </c>
      <c r="F620" s="398">
        <f>IFERROR(E620*'01 Prod Physique Boites'!H618,"-")</f>
        <v>0</v>
      </c>
      <c r="G620" s="399">
        <f>IFERROR(E620*'01 Prod Physique Boites'!L618,"-")</f>
        <v>0</v>
      </c>
      <c r="H620" s="382">
        <v>0</v>
      </c>
      <c r="I620" s="417">
        <f t="shared" si="338"/>
        <v>0</v>
      </c>
      <c r="J620" s="418">
        <f t="shared" si="339"/>
        <v>0</v>
      </c>
    </row>
    <row r="621" spans="1:15" ht="24" x14ac:dyDescent="0.25">
      <c r="A621" s="274" t="s">
        <v>103</v>
      </c>
      <c r="B621" s="868"/>
      <c r="C621" s="275" t="s">
        <v>122</v>
      </c>
      <c r="D621" s="275"/>
      <c r="E621" s="501">
        <v>17.8202</v>
      </c>
      <c r="F621" s="398">
        <f>IFERROR(E621*'01 Prod Physique Boites'!H619,"-")</f>
        <v>0</v>
      </c>
      <c r="G621" s="399">
        <f>IFERROR(E621*'01 Prod Physique Boites'!L619,"-")</f>
        <v>0</v>
      </c>
      <c r="H621" s="382">
        <v>0</v>
      </c>
      <c r="I621" s="417">
        <f t="shared" si="338"/>
        <v>0</v>
      </c>
      <c r="J621" s="418">
        <f>IFERROR(H621*(G621/E621),"-")</f>
        <v>0</v>
      </c>
    </row>
    <row r="622" spans="1:15" ht="24" x14ac:dyDescent="0.25">
      <c r="A622" s="274" t="s">
        <v>103</v>
      </c>
      <c r="B622" s="868"/>
      <c r="C622" s="275" t="s">
        <v>176</v>
      </c>
      <c r="D622" s="275" t="s">
        <v>177</v>
      </c>
      <c r="E622" s="501">
        <v>17.8202</v>
      </c>
      <c r="F622" s="398">
        <f>IFERROR(E622*'01 Prod Physique Boites'!H620,"-")</f>
        <v>0</v>
      </c>
      <c r="G622" s="399">
        <f>IFERROR(E622*'01 Prod Physique Boites'!L620,"-")</f>
        <v>0</v>
      </c>
      <c r="H622" s="382">
        <v>0</v>
      </c>
      <c r="I622" s="417">
        <f t="shared" si="338"/>
        <v>0</v>
      </c>
      <c r="J622" s="418">
        <f t="shared" ref="J622:J624" si="340">IFERROR(H622*(G622/E622),"-")</f>
        <v>0</v>
      </c>
    </row>
    <row r="623" spans="1:15" ht="24" x14ac:dyDescent="0.25">
      <c r="A623" s="274" t="s">
        <v>103</v>
      </c>
      <c r="B623" s="868"/>
      <c r="C623" s="275" t="s">
        <v>179</v>
      </c>
      <c r="D623" s="275" t="s">
        <v>178</v>
      </c>
      <c r="E623" s="501">
        <v>16.7288</v>
      </c>
      <c r="F623" s="398">
        <f>IFERROR(E623*'01 Prod Physique Boites'!H621,"-")</f>
        <v>0</v>
      </c>
      <c r="G623" s="399">
        <f>IFERROR(E623*'01 Prod Physique Boites'!L621,"-")</f>
        <v>0</v>
      </c>
      <c r="H623" s="382">
        <v>0</v>
      </c>
      <c r="I623" s="417">
        <f t="shared" si="338"/>
        <v>0</v>
      </c>
      <c r="J623" s="418">
        <f t="shared" si="340"/>
        <v>0</v>
      </c>
    </row>
    <row r="624" spans="1:15" ht="24.75" thickBot="1" x14ac:dyDescent="0.3">
      <c r="A624" s="274" t="s">
        <v>103</v>
      </c>
      <c r="B624" s="869"/>
      <c r="C624" s="285" t="s">
        <v>180</v>
      </c>
      <c r="D624" s="285" t="s">
        <v>107</v>
      </c>
      <c r="E624" s="497">
        <v>17.21</v>
      </c>
      <c r="F624" s="398">
        <f>IFERROR(E624*'01 Prod Physique Boites'!H622,"-")</f>
        <v>68461.38</v>
      </c>
      <c r="G624" s="399">
        <f>IFERROR(E624*'01 Prod Physique Boites'!L622,"-")</f>
        <v>68461.38</v>
      </c>
      <c r="H624" s="382">
        <v>0</v>
      </c>
      <c r="I624" s="419">
        <f t="shared" si="338"/>
        <v>0</v>
      </c>
      <c r="J624" s="420">
        <f t="shared" si="340"/>
        <v>0</v>
      </c>
    </row>
    <row r="625" spans="1:10" ht="23.25" thickBot="1" x14ac:dyDescent="0.3">
      <c r="A625" s="274" t="s">
        <v>103</v>
      </c>
      <c r="B625" s="845" t="s">
        <v>29</v>
      </c>
      <c r="C625" s="870"/>
      <c r="D625" s="871"/>
      <c r="E625" s="763"/>
      <c r="F625" s="768">
        <f t="shared" ref="F625:G625" si="341">SUM(F618:F624)</f>
        <v>68461.38</v>
      </c>
      <c r="G625" s="411">
        <f t="shared" si="341"/>
        <v>68461.38</v>
      </c>
      <c r="H625" s="394"/>
      <c r="I625" s="410">
        <f t="shared" ref="I625:J625" si="342">SUM(I618:I624)</f>
        <v>0</v>
      </c>
      <c r="J625" s="426">
        <f t="shared" si="342"/>
        <v>0</v>
      </c>
    </row>
    <row r="626" spans="1:10" ht="24" x14ac:dyDescent="0.25">
      <c r="A626" s="274"/>
      <c r="B626" s="872" t="s">
        <v>19</v>
      </c>
      <c r="C626" s="634" t="s">
        <v>234</v>
      </c>
      <c r="D626" s="734" t="s">
        <v>177</v>
      </c>
      <c r="E626" s="765">
        <v>12.2659</v>
      </c>
      <c r="F626" s="769">
        <f>IFERROR(E626*'01 Prod Physique Boites'!H624,"-")</f>
        <v>0</v>
      </c>
      <c r="G626" s="772">
        <f>IFERROR(E626*'01 Prod Physique Boites'!L624,"-")</f>
        <v>932600.90879999998</v>
      </c>
      <c r="H626" s="775">
        <v>14.79</v>
      </c>
      <c r="I626" s="769">
        <f t="shared" ref="I626:I632" si="343">IFERROR(H626*(F626/E626),"-")</f>
        <v>0</v>
      </c>
      <c r="J626" s="628">
        <f>IFERROR(H626*(G626/E626),"-")</f>
        <v>1124513.28</v>
      </c>
    </row>
    <row r="627" spans="1:10" ht="24" x14ac:dyDescent="0.25">
      <c r="A627" s="274"/>
      <c r="B627" s="873"/>
      <c r="C627" s="727" t="s">
        <v>375</v>
      </c>
      <c r="D627" s="733" t="s">
        <v>421</v>
      </c>
      <c r="E627" s="766">
        <v>12.2659</v>
      </c>
      <c r="F627" s="770">
        <f>IFERROR(E627*'01 Prod Physique Boites'!H625,"-")</f>
        <v>0</v>
      </c>
      <c r="G627" s="773">
        <f>IFERROR(E627*'01 Prod Physique Boites'!L625,"-")</f>
        <v>0</v>
      </c>
      <c r="H627" s="776">
        <v>14.55</v>
      </c>
      <c r="I627" s="770">
        <f t="shared" si="343"/>
        <v>0</v>
      </c>
      <c r="J627" s="622">
        <f t="shared" ref="J627:J632" si="344">IFERROR(H627*(G627/E627),"-")</f>
        <v>0</v>
      </c>
    </row>
    <row r="628" spans="1:10" ht="24" x14ac:dyDescent="0.25">
      <c r="A628" s="274"/>
      <c r="B628" s="873"/>
      <c r="C628" s="727" t="s">
        <v>234</v>
      </c>
      <c r="D628" s="733" t="s">
        <v>476</v>
      </c>
      <c r="E628" s="766">
        <v>12.2659</v>
      </c>
      <c r="F628" s="770">
        <f>IFERROR(E628*'01 Prod Physique Boites'!H626,"-")</f>
        <v>518111.61600000004</v>
      </c>
      <c r="G628" s="773">
        <f>IFERROR(E628*'01 Prod Physique Boites'!L626,"-")</f>
        <v>518111.61600000004</v>
      </c>
      <c r="H628" s="776">
        <v>16.41</v>
      </c>
      <c r="I628" s="770">
        <f t="shared" si="343"/>
        <v>693158.40000000002</v>
      </c>
      <c r="J628" s="622">
        <f t="shared" si="344"/>
        <v>693158.40000000002</v>
      </c>
    </row>
    <row r="629" spans="1:10" ht="24" x14ac:dyDescent="0.25">
      <c r="A629" s="274"/>
      <c r="B629" s="873"/>
      <c r="C629" s="727" t="s">
        <v>375</v>
      </c>
      <c r="D629" s="733" t="s">
        <v>476</v>
      </c>
      <c r="E629" s="766">
        <v>12.2659</v>
      </c>
      <c r="F629" s="770">
        <f>IFERROR(E629*'01 Prod Physique Boites'!H627,"-")</f>
        <v>0</v>
      </c>
      <c r="G629" s="773">
        <f>IFERROR(E629*'01 Prod Physique Boites'!L627,"-")</f>
        <v>0</v>
      </c>
      <c r="H629" s="776">
        <v>16.41</v>
      </c>
      <c r="I629" s="770">
        <f t="shared" si="343"/>
        <v>0</v>
      </c>
      <c r="J629" s="622">
        <f t="shared" si="344"/>
        <v>0</v>
      </c>
    </row>
    <row r="630" spans="1:10" ht="24" x14ac:dyDescent="0.25">
      <c r="A630" s="274"/>
      <c r="B630" s="873"/>
      <c r="C630" s="727" t="s">
        <v>484</v>
      </c>
      <c r="D630" s="733" t="s">
        <v>476</v>
      </c>
      <c r="E630" s="766">
        <v>12.2659</v>
      </c>
      <c r="F630" s="770">
        <f>IFERROR(E630*'01 Prod Physique Boites'!H628,"-")</f>
        <v>164976.35500000001</v>
      </c>
      <c r="G630" s="773">
        <f>IFERROR(E630*'01 Prod Physique Boites'!L628,"-")</f>
        <v>579465.64780000004</v>
      </c>
      <c r="H630" s="776">
        <v>16.41</v>
      </c>
      <c r="I630" s="770">
        <f t="shared" si="343"/>
        <v>220714.5</v>
      </c>
      <c r="J630" s="622">
        <f t="shared" si="344"/>
        <v>775241.22</v>
      </c>
    </row>
    <row r="631" spans="1:10" ht="24" x14ac:dyDescent="0.25">
      <c r="A631" s="274"/>
      <c r="B631" s="873"/>
      <c r="C631" s="733"/>
      <c r="D631" s="761"/>
      <c r="E631" s="766">
        <v>12.2659</v>
      </c>
      <c r="F631" s="770">
        <f>IFERROR(E631*'01 Prod Physique Boites'!H629,"-")</f>
        <v>0</v>
      </c>
      <c r="G631" s="773">
        <f>IFERROR(E631*'01 Prod Physique Boites'!L629,"-")</f>
        <v>0</v>
      </c>
      <c r="H631" s="776">
        <v>14.55</v>
      </c>
      <c r="I631" s="770">
        <f t="shared" si="343"/>
        <v>0</v>
      </c>
      <c r="J631" s="622">
        <f t="shared" si="344"/>
        <v>0</v>
      </c>
    </row>
    <row r="632" spans="1:10" ht="24.75" thickBot="1" x14ac:dyDescent="0.3">
      <c r="A632" s="835" t="s">
        <v>103</v>
      </c>
      <c r="B632" s="874"/>
      <c r="C632" s="735" t="s">
        <v>340</v>
      </c>
      <c r="D632" s="762"/>
      <c r="E632" s="767">
        <v>0</v>
      </c>
      <c r="F632" s="771">
        <f>IFERROR(E632*'01 Prod Physique Boites'!H630,"-")</f>
        <v>0</v>
      </c>
      <c r="G632" s="774">
        <f>IFERROR(E632*'01 Prod Physique Boites'!L630,"-")</f>
        <v>0</v>
      </c>
      <c r="H632" s="777">
        <v>0</v>
      </c>
      <c r="I632" s="779" t="str">
        <f t="shared" si="343"/>
        <v>-</v>
      </c>
      <c r="J632" s="780" t="str">
        <f t="shared" si="344"/>
        <v>-</v>
      </c>
    </row>
    <row r="633" spans="1:10" ht="23.25" thickBot="1" x14ac:dyDescent="0.3">
      <c r="A633" s="274" t="s">
        <v>103</v>
      </c>
      <c r="B633" s="845" t="s">
        <v>46</v>
      </c>
      <c r="C633" s="876"/>
      <c r="D633" s="877"/>
      <c r="E633" s="764"/>
      <c r="F633" s="519">
        <f>SUM(F626:F632)</f>
        <v>683087.97100000002</v>
      </c>
      <c r="G633" s="519">
        <f>SUM(G626:G632)</f>
        <v>2030178.1726000002</v>
      </c>
      <c r="H633" s="518"/>
      <c r="I633" s="519">
        <f>SUM(I626:I632)</f>
        <v>913872.9</v>
      </c>
      <c r="J633" s="778">
        <f>SUM(J626:J632)</f>
        <v>2592912.9000000004</v>
      </c>
    </row>
    <row r="634" spans="1:10" ht="24" x14ac:dyDescent="0.25">
      <c r="A634" s="274" t="s">
        <v>103</v>
      </c>
      <c r="B634" s="867" t="s">
        <v>20</v>
      </c>
      <c r="C634" s="290" t="s">
        <v>486</v>
      </c>
      <c r="D634" s="757" t="s">
        <v>288</v>
      </c>
      <c r="E634" s="795">
        <v>27.106400000000001</v>
      </c>
      <c r="F634" s="398">
        <f>IFERROR(E634*'01 Prod Physique Boites'!H632,"-")</f>
        <v>0</v>
      </c>
      <c r="G634" s="399">
        <f>IFERROR(E634*'01 Prod Physique Boites'!L632,"-")</f>
        <v>608918.16960000002</v>
      </c>
      <c r="H634" s="642">
        <v>0</v>
      </c>
      <c r="I634" s="415">
        <f>IFERROR(H634*(F634/E634),"-")</f>
        <v>0</v>
      </c>
      <c r="J634" s="416">
        <f t="shared" ref="J634:J636" si="345">IFERROR(H634*(G634/E634),"-")</f>
        <v>0</v>
      </c>
    </row>
    <row r="635" spans="1:10" ht="24" x14ac:dyDescent="0.25">
      <c r="A635" s="274" t="s">
        <v>103</v>
      </c>
      <c r="B635" s="868"/>
      <c r="C635" s="291" t="s">
        <v>114</v>
      </c>
      <c r="D635" s="291"/>
      <c r="E635" s="381">
        <v>24.2607</v>
      </c>
      <c r="F635" s="398">
        <f>IFERROR(E635*'01 Prod Physique Boites'!H633,"-")</f>
        <v>0</v>
      </c>
      <c r="G635" s="399">
        <f>IFERROR(E635*'01 Prod Physique Boites'!L633,"-")</f>
        <v>0</v>
      </c>
      <c r="H635" s="382">
        <v>37.369999999999997</v>
      </c>
      <c r="I635" s="417">
        <f>IFERROR(H635*(F635/E635),"-")</f>
        <v>0</v>
      </c>
      <c r="J635" s="418">
        <f t="shared" si="345"/>
        <v>0</v>
      </c>
    </row>
    <row r="636" spans="1:10" ht="24.75" thickBot="1" x14ac:dyDescent="0.3">
      <c r="A636" s="274" t="s">
        <v>103</v>
      </c>
      <c r="B636" s="869"/>
      <c r="C636" s="292" t="s">
        <v>120</v>
      </c>
      <c r="D636" s="292"/>
      <c r="E636" s="383">
        <v>26.035799999999998</v>
      </c>
      <c r="F636" s="398">
        <f>IFERROR(E636*'01 Prod Physique Boites'!H634,"-")</f>
        <v>0</v>
      </c>
      <c r="G636" s="399">
        <f>IFERROR(E636*'01 Prod Physique Boites'!L634,"-")</f>
        <v>0</v>
      </c>
      <c r="H636" s="384">
        <v>37.11</v>
      </c>
      <c r="I636" s="419">
        <f>IFERROR(H636*(F636/E636),"-")</f>
        <v>0</v>
      </c>
      <c r="J636" s="420">
        <f t="shared" si="345"/>
        <v>0</v>
      </c>
    </row>
    <row r="637" spans="1:10" ht="23.25" thickBot="1" x14ac:dyDescent="0.3">
      <c r="A637" s="274" t="s">
        <v>103</v>
      </c>
      <c r="B637" s="846" t="s">
        <v>47</v>
      </c>
      <c r="C637" s="846"/>
      <c r="D637" s="878"/>
      <c r="E637" s="386"/>
      <c r="F637" s="402">
        <f t="shared" ref="F637:G637" si="346">SUM(F634:F636)</f>
        <v>0</v>
      </c>
      <c r="G637" s="403">
        <f t="shared" si="346"/>
        <v>608918.16960000002</v>
      </c>
      <c r="H637" s="387"/>
      <c r="I637" s="402">
        <f t="shared" ref="I637:J637" si="347">SUM(I634:I636)</f>
        <v>0</v>
      </c>
      <c r="J637" s="421">
        <f t="shared" si="347"/>
        <v>0</v>
      </c>
    </row>
    <row r="638" spans="1:10" ht="23.25" thickBot="1" x14ac:dyDescent="0.3">
      <c r="A638" s="274" t="s">
        <v>103</v>
      </c>
      <c r="B638" s="853" t="s">
        <v>21</v>
      </c>
      <c r="C638" s="854"/>
      <c r="D638" s="855"/>
      <c r="E638" s="389"/>
      <c r="F638" s="406">
        <f>+F609+F617+F625+F633+F637</f>
        <v>1792966.3109999998</v>
      </c>
      <c r="G638" s="407">
        <f>+G609+G617+G625+G633+G637</f>
        <v>6859817.6862000003</v>
      </c>
      <c r="H638" s="390"/>
      <c r="I638" s="406">
        <f>+I609+I617+I625+I633+I637</f>
        <v>2747856.9</v>
      </c>
      <c r="J638" s="424">
        <f>+J609+J617+J625+J633+J637</f>
        <v>6308796.9000000004</v>
      </c>
    </row>
    <row r="639" spans="1:10" ht="24" x14ac:dyDescent="0.25">
      <c r="A639" s="274" t="s">
        <v>103</v>
      </c>
      <c r="B639" s="867" t="s">
        <v>398</v>
      </c>
      <c r="C639" s="269" t="s">
        <v>125</v>
      </c>
      <c r="D639" s="269"/>
      <c r="E639" s="378">
        <v>22.820599999999999</v>
      </c>
      <c r="F639" s="398">
        <f>IFERROR(E639*'01 Prod Physique Boites'!H637,"-")</f>
        <v>0</v>
      </c>
      <c r="G639" s="399">
        <f>IFERROR(E639*'01 Prod Physique Boites'!L637,"-")</f>
        <v>0</v>
      </c>
      <c r="H639" s="379">
        <v>27.5</v>
      </c>
      <c r="I639" s="415">
        <f>IFERROR(H639*(F639/E639),"-")</f>
        <v>0</v>
      </c>
      <c r="J639" s="416">
        <f t="shared" ref="J639:J642" si="348">IFERROR(H639*(G639/E639),"-")</f>
        <v>0</v>
      </c>
    </row>
    <row r="640" spans="1:10" ht="24" x14ac:dyDescent="0.25">
      <c r="A640" s="274" t="s">
        <v>103</v>
      </c>
      <c r="B640" s="868"/>
      <c r="C640" s="294" t="s">
        <v>262</v>
      </c>
      <c r="D640" s="294" t="s">
        <v>181</v>
      </c>
      <c r="E640" s="381">
        <v>23.570699999999999</v>
      </c>
      <c r="F640" s="398">
        <f>IFERROR(E640*'01 Prod Physique Boites'!H638,"-")</f>
        <v>0</v>
      </c>
      <c r="G640" s="399">
        <f>IFERROR(E640*'01 Prod Physique Boites'!L638,"-")</f>
        <v>0</v>
      </c>
      <c r="H640" s="382">
        <v>27.5</v>
      </c>
      <c r="I640" s="417">
        <f>IFERROR(H640*(F640/E640),"-")</f>
        <v>0</v>
      </c>
      <c r="J640" s="418">
        <f t="shared" si="348"/>
        <v>0</v>
      </c>
    </row>
    <row r="641" spans="1:10" ht="24" x14ac:dyDescent="0.25">
      <c r="A641" s="274" t="s">
        <v>103</v>
      </c>
      <c r="B641" s="868"/>
      <c r="C641" s="294" t="s">
        <v>360</v>
      </c>
      <c r="D641" s="294" t="s">
        <v>181</v>
      </c>
      <c r="E641" s="381">
        <v>22.820599999999999</v>
      </c>
      <c r="F641" s="398">
        <f>IFERROR(E641*'01 Prod Physique Boites'!H639,"-")</f>
        <v>0</v>
      </c>
      <c r="G641" s="399">
        <f>IFERROR(E641*'01 Prod Physique Boites'!L639,"-")</f>
        <v>0</v>
      </c>
      <c r="H641" s="382">
        <v>27.5</v>
      </c>
      <c r="I641" s="417">
        <f>IFERROR(H641*(F641/E641),"-")</f>
        <v>0</v>
      </c>
      <c r="J641" s="418">
        <f t="shared" si="348"/>
        <v>0</v>
      </c>
    </row>
    <row r="642" spans="1:10" ht="24.75" thickBot="1" x14ac:dyDescent="0.3">
      <c r="A642" s="274" t="s">
        <v>103</v>
      </c>
      <c r="B642" s="869"/>
      <c r="C642" s="279" t="s">
        <v>182</v>
      </c>
      <c r="D642" s="279" t="s">
        <v>93</v>
      </c>
      <c r="E642" s="796">
        <v>22.238499999999998</v>
      </c>
      <c r="F642" s="398">
        <f>IFERROR(E642*'01 Prod Physique Boites'!H640,"-")</f>
        <v>48035.159999999996</v>
      </c>
      <c r="G642" s="399">
        <f>IFERROR(E642*'01 Prod Physique Boites'!L640,"-")</f>
        <v>400292.99999999994</v>
      </c>
      <c r="H642" s="384">
        <v>27</v>
      </c>
      <c r="I642" s="419">
        <f>IFERROR(H642*(F642/E642),"-")</f>
        <v>58320</v>
      </c>
      <c r="J642" s="420">
        <f t="shared" si="348"/>
        <v>486000</v>
      </c>
    </row>
    <row r="643" spans="1:10" ht="23.25" thickBot="1" x14ac:dyDescent="0.3">
      <c r="A643" s="274" t="s">
        <v>103</v>
      </c>
      <c r="B643" s="845" t="s">
        <v>48</v>
      </c>
      <c r="C643" s="846"/>
      <c r="D643" s="847"/>
      <c r="E643" s="386"/>
      <c r="F643" s="402">
        <f t="shared" ref="F643:G643" si="349">SUM(F639:F642)</f>
        <v>48035.159999999996</v>
      </c>
      <c r="G643" s="403">
        <f t="shared" si="349"/>
        <v>400292.99999999994</v>
      </c>
      <c r="H643" s="387"/>
      <c r="I643" s="402">
        <f t="shared" ref="I643:J643" si="350">SUM(I639:I642)</f>
        <v>58320</v>
      </c>
      <c r="J643" s="421">
        <f t="shared" si="350"/>
        <v>486000</v>
      </c>
    </row>
    <row r="644" spans="1:10" ht="24" x14ac:dyDescent="0.25">
      <c r="A644" s="274" t="s">
        <v>103</v>
      </c>
      <c r="B644" s="867" t="s">
        <v>23</v>
      </c>
      <c r="C644" s="295" t="s">
        <v>307</v>
      </c>
      <c r="D644" s="295" t="s">
        <v>237</v>
      </c>
      <c r="E644" s="378">
        <v>101.4935</v>
      </c>
      <c r="F644" s="398">
        <f>IFERROR(E644*'01 Prod Physique Boites'!H642,"-")</f>
        <v>0</v>
      </c>
      <c r="G644" s="399">
        <f>IFERROR(E644*'01 Prod Physique Boites'!L642,"-")</f>
        <v>0</v>
      </c>
      <c r="H644" s="382">
        <v>160.44999999999999</v>
      </c>
      <c r="I644" s="415">
        <f t="shared" ref="I644:I652" si="351">IFERROR(H644*(F644/E644),"-")</f>
        <v>0</v>
      </c>
      <c r="J644" s="416">
        <f t="shared" ref="J644:J652" si="352">IFERROR(H644*(G644/E644),"-")</f>
        <v>0</v>
      </c>
    </row>
    <row r="645" spans="1:10" ht="24" x14ac:dyDescent="0.25">
      <c r="A645" s="274" t="s">
        <v>103</v>
      </c>
      <c r="B645" s="868"/>
      <c r="C645" s="275" t="s">
        <v>24</v>
      </c>
      <c r="D645" s="275" t="s">
        <v>237</v>
      </c>
      <c r="E645" s="381">
        <v>101.4935</v>
      </c>
      <c r="F645" s="398">
        <f>IFERROR(E645*'01 Prod Physique Boites'!H643,"-")</f>
        <v>1509715.8125</v>
      </c>
      <c r="G645" s="399">
        <f>IFERROR(E645*'01 Prod Physique Boites'!L643,"-")</f>
        <v>5519013.5429999996</v>
      </c>
      <c r="H645" s="382">
        <v>160.44999999999999</v>
      </c>
      <c r="I645" s="417">
        <f t="shared" si="351"/>
        <v>2386693.75</v>
      </c>
      <c r="J645" s="418">
        <f t="shared" si="352"/>
        <v>8724950.0999999996</v>
      </c>
    </row>
    <row r="646" spans="1:10" ht="24" x14ac:dyDescent="0.25">
      <c r="A646" s="274" t="s">
        <v>103</v>
      </c>
      <c r="B646" s="868"/>
      <c r="C646" s="275" t="s">
        <v>235</v>
      </c>
      <c r="D646" s="275" t="s">
        <v>237</v>
      </c>
      <c r="E646" s="381">
        <v>101.4935</v>
      </c>
      <c r="F646" s="398">
        <f>IFERROR(E646*'01 Prod Physique Boites'!H644,"-")</f>
        <v>0</v>
      </c>
      <c r="G646" s="399">
        <f>IFERROR(E646*'01 Prod Physique Boites'!L644,"-")</f>
        <v>0</v>
      </c>
      <c r="H646" s="382">
        <v>160.44999999999999</v>
      </c>
      <c r="I646" s="417">
        <f t="shared" si="351"/>
        <v>0</v>
      </c>
      <c r="J646" s="418">
        <f t="shared" si="352"/>
        <v>0</v>
      </c>
    </row>
    <row r="647" spans="1:10" ht="24" x14ac:dyDescent="0.25">
      <c r="A647" s="274" t="s">
        <v>103</v>
      </c>
      <c r="B647" s="868"/>
      <c r="C647" s="275" t="s">
        <v>236</v>
      </c>
      <c r="D647" s="275" t="s">
        <v>237</v>
      </c>
      <c r="E647" s="381">
        <v>101.4935</v>
      </c>
      <c r="F647" s="398">
        <f>IFERROR(E647*'01 Prod Physique Boites'!H645,"-")</f>
        <v>0</v>
      </c>
      <c r="G647" s="399">
        <f>IFERROR(E647*'01 Prod Physique Boites'!L645,"-")</f>
        <v>0</v>
      </c>
      <c r="H647" s="382">
        <v>160.44999999999999</v>
      </c>
      <c r="I647" s="417">
        <f t="shared" si="351"/>
        <v>0</v>
      </c>
      <c r="J647" s="418">
        <f t="shared" si="352"/>
        <v>0</v>
      </c>
    </row>
    <row r="648" spans="1:10" ht="24" x14ac:dyDescent="0.25">
      <c r="A648" s="274" t="s">
        <v>103</v>
      </c>
      <c r="B648" s="868"/>
      <c r="C648" s="294" t="s">
        <v>238</v>
      </c>
      <c r="D648" s="275" t="s">
        <v>237</v>
      </c>
      <c r="E648" s="381">
        <v>101.4935</v>
      </c>
      <c r="F648" s="398">
        <f>IFERROR(E648*'01 Prod Physique Boites'!H646,"-")</f>
        <v>0</v>
      </c>
      <c r="G648" s="399">
        <f>IFERROR(E648*'01 Prod Physique Boites'!L646,"-")</f>
        <v>0</v>
      </c>
      <c r="H648" s="382">
        <v>160.44999999999999</v>
      </c>
      <c r="I648" s="417">
        <f t="shared" si="351"/>
        <v>0</v>
      </c>
      <c r="J648" s="418">
        <f t="shared" si="352"/>
        <v>0</v>
      </c>
    </row>
    <row r="649" spans="1:10" ht="24" x14ac:dyDescent="0.25">
      <c r="A649" s="274" t="s">
        <v>103</v>
      </c>
      <c r="B649" s="868"/>
      <c r="C649" s="294" t="s">
        <v>239</v>
      </c>
      <c r="D649" s="275" t="s">
        <v>237</v>
      </c>
      <c r="E649" s="381">
        <v>101.4935</v>
      </c>
      <c r="F649" s="398">
        <f>IFERROR(E649*'01 Prod Physique Boites'!H647,"-")</f>
        <v>0</v>
      </c>
      <c r="G649" s="399">
        <f>IFERROR(E649*'01 Prod Physique Boites'!L647,"-")</f>
        <v>0</v>
      </c>
      <c r="H649" s="382">
        <v>160.44999999999999</v>
      </c>
      <c r="I649" s="417">
        <f t="shared" si="351"/>
        <v>0</v>
      </c>
      <c r="J649" s="418">
        <f t="shared" si="352"/>
        <v>0</v>
      </c>
    </row>
    <row r="650" spans="1:10" ht="24" x14ac:dyDescent="0.25">
      <c r="A650" s="274" t="s">
        <v>103</v>
      </c>
      <c r="B650" s="868"/>
      <c r="C650" s="294" t="s">
        <v>240</v>
      </c>
      <c r="D650" s="275" t="s">
        <v>242</v>
      </c>
      <c r="E650" s="381">
        <v>101.4935</v>
      </c>
      <c r="F650" s="398">
        <f>IFERROR(E650*'01 Prod Physique Boites'!H648,"-")</f>
        <v>0</v>
      </c>
      <c r="G650" s="399">
        <f>IFERROR(E650*'01 Prod Physique Boites'!L648,"-")</f>
        <v>0</v>
      </c>
      <c r="H650" s="382">
        <v>160.44999999999999</v>
      </c>
      <c r="I650" s="417">
        <f t="shared" si="351"/>
        <v>0</v>
      </c>
      <c r="J650" s="418">
        <f t="shared" si="352"/>
        <v>0</v>
      </c>
    </row>
    <row r="651" spans="1:10" ht="24" x14ac:dyDescent="0.25">
      <c r="A651" s="274"/>
      <c r="B651" s="869"/>
      <c r="C651" s="294" t="s">
        <v>451</v>
      </c>
      <c r="D651" s="275" t="s">
        <v>237</v>
      </c>
      <c r="E651" s="383">
        <v>101.49</v>
      </c>
      <c r="F651" s="398">
        <f>IFERROR(E651*'01 Prod Physique Boites'!H649,"-")</f>
        <v>0</v>
      </c>
      <c r="G651" s="399">
        <f>IFERROR(E651*'01 Prod Physique Boites'!L649,"-")</f>
        <v>0</v>
      </c>
      <c r="H651" s="382">
        <v>160.44999999999999</v>
      </c>
      <c r="I651" s="417">
        <f t="shared" si="351"/>
        <v>0</v>
      </c>
      <c r="J651" s="418">
        <f t="shared" si="352"/>
        <v>0</v>
      </c>
    </row>
    <row r="652" spans="1:10" ht="24.75" thickBot="1" x14ac:dyDescent="0.3">
      <c r="A652" s="274" t="s">
        <v>103</v>
      </c>
      <c r="B652" s="869"/>
      <c r="C652" s="294" t="s">
        <v>241</v>
      </c>
      <c r="D652" s="275" t="s">
        <v>237</v>
      </c>
      <c r="E652" s="383">
        <v>101.4935</v>
      </c>
      <c r="F652" s="398">
        <f>IFERROR(E652*'01 Prod Physique Boites'!H650,"-")</f>
        <v>0</v>
      </c>
      <c r="G652" s="399">
        <f>IFERROR(E652*'01 Prod Physique Boites'!L650,"-")</f>
        <v>0</v>
      </c>
      <c r="H652" s="382">
        <v>160.44999999999999</v>
      </c>
      <c r="I652" s="417">
        <f t="shared" si="351"/>
        <v>0</v>
      </c>
      <c r="J652" s="420">
        <f t="shared" si="352"/>
        <v>0</v>
      </c>
    </row>
    <row r="653" spans="1:10" ht="23.25" thickBot="1" x14ac:dyDescent="0.3">
      <c r="A653" s="274" t="s">
        <v>103</v>
      </c>
      <c r="B653" s="845" t="s">
        <v>49</v>
      </c>
      <c r="C653" s="846"/>
      <c r="D653" s="847"/>
      <c r="E653" s="386"/>
      <c r="F653" s="402">
        <f t="shared" ref="F653" si="353">SUM(F644:F652)</f>
        <v>1509715.8125</v>
      </c>
      <c r="G653" s="403">
        <f>SUM(G644:G652)</f>
        <v>5519013.5429999996</v>
      </c>
      <c r="H653" s="387"/>
      <c r="I653" s="402">
        <f t="shared" ref="I653" si="354">SUM(I644:I652)</f>
        <v>2386693.75</v>
      </c>
      <c r="J653" s="421">
        <f>SUM(J644:J652)</f>
        <v>8724950.0999999996</v>
      </c>
    </row>
    <row r="654" spans="1:10" ht="23.25" thickBot="1" x14ac:dyDescent="0.3">
      <c r="A654" s="274" t="s">
        <v>103</v>
      </c>
      <c r="B654" s="853" t="s">
        <v>25</v>
      </c>
      <c r="C654" s="854"/>
      <c r="D654" s="855"/>
      <c r="E654" s="389"/>
      <c r="F654" s="406">
        <f t="shared" ref="F654" si="355">+F643+F653</f>
        <v>1557750.9724999999</v>
      </c>
      <c r="G654" s="407">
        <f>+G643+G653</f>
        <v>5919306.5429999996</v>
      </c>
      <c r="H654" s="390"/>
      <c r="I654" s="406">
        <f t="shared" ref="I654:J654" si="356">+I643+I653</f>
        <v>2445013.75</v>
      </c>
      <c r="J654" s="424">
        <f t="shared" si="356"/>
        <v>9210950.0999999996</v>
      </c>
    </row>
    <row r="655" spans="1:10" ht="23.25" thickBot="1" x14ac:dyDescent="0.3">
      <c r="A655" s="274" t="s">
        <v>103</v>
      </c>
      <c r="B655" s="839" t="s">
        <v>172</v>
      </c>
      <c r="C655" s="840"/>
      <c r="D655" s="841"/>
      <c r="E655" s="391"/>
      <c r="F655" s="408">
        <f t="shared" ref="F655" si="357">+F638+F654</f>
        <v>3350717.2834999999</v>
      </c>
      <c r="G655" s="409">
        <f>+G638+G654</f>
        <v>12779124.2292</v>
      </c>
      <c r="H655" s="392"/>
      <c r="I655" s="408">
        <f t="shared" ref="I655:J655" si="358">+I638+I654</f>
        <v>5192870.6500000004</v>
      </c>
      <c r="J655" s="425">
        <f t="shared" si="358"/>
        <v>15519747</v>
      </c>
    </row>
    <row r="656" spans="1:10" ht="24" x14ac:dyDescent="0.25">
      <c r="A656" s="268" t="s">
        <v>101</v>
      </c>
      <c r="B656" s="849" t="s">
        <v>26</v>
      </c>
      <c r="C656" s="296" t="s">
        <v>296</v>
      </c>
      <c r="D656" s="298" t="s">
        <v>177</v>
      </c>
      <c r="E656" s="500">
        <v>13.1272</v>
      </c>
      <c r="F656" s="398">
        <f>IFERROR(E656*'01 Prod Physique Boites'!H654,"-")</f>
        <v>0</v>
      </c>
      <c r="G656" s="399">
        <f>IFERROR(E656*'01 Prod Physique Boites'!L654,"-")</f>
        <v>0</v>
      </c>
      <c r="H656" s="379">
        <v>20.76</v>
      </c>
      <c r="I656" s="415">
        <f t="shared" ref="I656:I665" si="359">IFERROR(H656*(F656/E656),"-")</f>
        <v>0</v>
      </c>
      <c r="J656" s="621">
        <f t="shared" ref="J656:J665" si="360">IFERROR(H656*(G656/E656),"-")</f>
        <v>0</v>
      </c>
    </row>
    <row r="657" spans="1:10" ht="24" x14ac:dyDescent="0.25">
      <c r="A657" s="274" t="s">
        <v>101</v>
      </c>
      <c r="B657" s="849"/>
      <c r="C657" s="297" t="s">
        <v>422</v>
      </c>
      <c r="D657" s="297" t="s">
        <v>421</v>
      </c>
      <c r="E657" s="501">
        <v>16.7288</v>
      </c>
      <c r="F657" s="398">
        <f>IFERROR(E657*'01 Prod Physique Boites'!H655,"-")</f>
        <v>0</v>
      </c>
      <c r="G657" s="399">
        <f>IFERROR(E657*'01 Prod Physique Boites'!L655,"-")</f>
        <v>0</v>
      </c>
      <c r="H657" s="382">
        <v>20.76</v>
      </c>
      <c r="I657" s="417">
        <f t="shared" si="359"/>
        <v>0</v>
      </c>
      <c r="J657" s="622">
        <f t="shared" si="360"/>
        <v>0</v>
      </c>
    </row>
    <row r="658" spans="1:10" ht="24" x14ac:dyDescent="0.25">
      <c r="A658" s="274" t="s">
        <v>101</v>
      </c>
      <c r="B658" s="849"/>
      <c r="C658" s="298" t="s">
        <v>27</v>
      </c>
      <c r="D658" s="298" t="s">
        <v>332</v>
      </c>
      <c r="E658" s="497">
        <v>17.8202</v>
      </c>
      <c r="F658" s="398">
        <f>IFERROR(E658*'01 Prod Physique Boites'!H656,"-")</f>
        <v>0</v>
      </c>
      <c r="G658" s="399">
        <f>IFERROR(E658*'01 Prod Physique Boites'!L656,"-")</f>
        <v>0</v>
      </c>
      <c r="H658" s="382">
        <v>21.22</v>
      </c>
      <c r="I658" s="625">
        <f t="shared" si="359"/>
        <v>0</v>
      </c>
      <c r="J658" s="622">
        <f t="shared" si="360"/>
        <v>0</v>
      </c>
    </row>
    <row r="659" spans="1:10" ht="24" x14ac:dyDescent="0.25">
      <c r="A659" s="274" t="s">
        <v>101</v>
      </c>
      <c r="B659" s="849"/>
      <c r="C659" s="298" t="s">
        <v>27</v>
      </c>
      <c r="D659" s="298" t="s">
        <v>233</v>
      </c>
      <c r="E659" s="497">
        <v>17.8202</v>
      </c>
      <c r="F659" s="398">
        <f>IFERROR(E659*'01 Prod Physique Boites'!H657,"-")</f>
        <v>0</v>
      </c>
      <c r="G659" s="399">
        <f>IFERROR(E659*'01 Prod Physique Boites'!L657,"-")</f>
        <v>0</v>
      </c>
      <c r="H659" s="382">
        <v>24.93</v>
      </c>
      <c r="I659" s="625">
        <f t="shared" si="359"/>
        <v>0</v>
      </c>
      <c r="J659" s="622">
        <f t="shared" si="360"/>
        <v>0</v>
      </c>
    </row>
    <row r="660" spans="1:10" ht="24" x14ac:dyDescent="0.25">
      <c r="A660" s="274" t="s">
        <v>101</v>
      </c>
      <c r="B660" s="849"/>
      <c r="C660" s="298" t="s">
        <v>27</v>
      </c>
      <c r="D660" s="298" t="s">
        <v>278</v>
      </c>
      <c r="E660" s="497">
        <v>17.8202</v>
      </c>
      <c r="F660" s="398">
        <f>IFERROR(E660*'01 Prod Physique Boites'!H658,"-")</f>
        <v>0</v>
      </c>
      <c r="G660" s="399">
        <f>IFERROR(E660*'01 Prod Physique Boites'!L658,"-")</f>
        <v>0</v>
      </c>
      <c r="H660" s="382">
        <v>24.93</v>
      </c>
      <c r="I660" s="625">
        <f t="shared" si="359"/>
        <v>0</v>
      </c>
      <c r="J660" s="622">
        <f t="shared" si="360"/>
        <v>0</v>
      </c>
    </row>
    <row r="661" spans="1:10" ht="24" x14ac:dyDescent="0.25">
      <c r="A661" s="274"/>
      <c r="B661" s="849"/>
      <c r="C661" s="721" t="s">
        <v>485</v>
      </c>
      <c r="D661" s="298" t="s">
        <v>502</v>
      </c>
      <c r="E661" s="497">
        <v>16.7288</v>
      </c>
      <c r="F661" s="398">
        <f>IFERROR(E661*'01 Prod Physique Boites'!H659,"-")</f>
        <v>0</v>
      </c>
      <c r="G661" s="399">
        <f>IFERROR(E661*'01 Prod Physique Boites'!L659,"-")</f>
        <v>598924.4976</v>
      </c>
      <c r="H661" s="384">
        <v>25</v>
      </c>
      <c r="I661" s="625">
        <f t="shared" si="359"/>
        <v>0</v>
      </c>
      <c r="J661" s="623">
        <f t="shared" si="360"/>
        <v>895050</v>
      </c>
    </row>
    <row r="662" spans="1:10" ht="24" x14ac:dyDescent="0.25">
      <c r="A662" s="274"/>
      <c r="B662" s="849"/>
      <c r="C662" s="298" t="s">
        <v>432</v>
      </c>
      <c r="D662" s="298" t="s">
        <v>502</v>
      </c>
      <c r="E662" s="497">
        <v>17.8202</v>
      </c>
      <c r="F662" s="398">
        <f>IFERROR(E662*'01 Prod Physique Boites'!H660,"-")</f>
        <v>425332.53360000002</v>
      </c>
      <c r="G662" s="399">
        <f>IFERROR(E662*'01 Prod Physique Boites'!L660,"-")</f>
        <v>3615326.5356000001</v>
      </c>
      <c r="H662" s="384">
        <v>25.43</v>
      </c>
      <c r="I662" s="689">
        <f t="shared" si="359"/>
        <v>606963.24</v>
      </c>
      <c r="J662" s="623">
        <f t="shared" si="360"/>
        <v>5159187.54</v>
      </c>
    </row>
    <row r="663" spans="1:10" s="690" customFormat="1" ht="24" x14ac:dyDescent="0.25">
      <c r="A663" s="684"/>
      <c r="B663" s="849"/>
      <c r="C663" s="685" t="s">
        <v>381</v>
      </c>
      <c r="D663" s="685" t="s">
        <v>382</v>
      </c>
      <c r="E663" s="686">
        <v>16.345199999999998</v>
      </c>
      <c r="F663" s="398">
        <f>IFERROR(E663*'01 Prod Physique Boites'!H661,"-")</f>
        <v>0</v>
      </c>
      <c r="G663" s="399">
        <f>IFERROR(E663*'01 Prod Physique Boites'!L661,"-")</f>
        <v>0</v>
      </c>
      <c r="H663" s="688">
        <v>23.78</v>
      </c>
      <c r="I663" s="689">
        <f t="shared" si="359"/>
        <v>0</v>
      </c>
      <c r="J663" s="623">
        <f t="shared" si="360"/>
        <v>0</v>
      </c>
    </row>
    <row r="664" spans="1:10" s="690" customFormat="1" ht="24" x14ac:dyDescent="0.25">
      <c r="A664" s="684"/>
      <c r="B664" s="849"/>
      <c r="C664" s="298" t="s">
        <v>429</v>
      </c>
      <c r="D664" s="298" t="s">
        <v>178</v>
      </c>
      <c r="E664" s="686">
        <v>16.7288</v>
      </c>
      <c r="F664" s="398">
        <f>IFERROR(E664*'01 Prod Physique Boites'!H662,"-")</f>
        <v>0</v>
      </c>
      <c r="G664" s="399">
        <f>IFERROR(E664*'01 Prod Physique Boites'!L662,"-")</f>
        <v>0</v>
      </c>
      <c r="H664" s="688">
        <v>25.49</v>
      </c>
      <c r="I664" s="689">
        <f t="shared" si="359"/>
        <v>0</v>
      </c>
      <c r="J664" s="623">
        <f t="shared" si="360"/>
        <v>0</v>
      </c>
    </row>
    <row r="665" spans="1:10" ht="24.75" thickBot="1" x14ac:dyDescent="0.3">
      <c r="A665" s="274" t="s">
        <v>101</v>
      </c>
      <c r="B665" s="849"/>
      <c r="C665" s="299" t="s">
        <v>505</v>
      </c>
      <c r="D665" s="298" t="s">
        <v>288</v>
      </c>
      <c r="E665" s="686">
        <v>16.7288</v>
      </c>
      <c r="F665" s="398">
        <f>IFERROR(E665*'01 Prod Physique Boites'!H663,"-")</f>
        <v>0</v>
      </c>
      <c r="G665" s="399">
        <f>IFERROR(E665*'01 Prod Physique Boites'!L663,"-")</f>
        <v>1863320.6591999999</v>
      </c>
      <c r="H665" s="384">
        <v>25.49</v>
      </c>
      <c r="I665" s="689">
        <f t="shared" si="359"/>
        <v>0</v>
      </c>
      <c r="J665" s="623">
        <f t="shared" si="360"/>
        <v>2839178.1599999997</v>
      </c>
    </row>
    <row r="666" spans="1:10" ht="23.25" thickBot="1" x14ac:dyDescent="0.3">
      <c r="A666" s="274" t="s">
        <v>101</v>
      </c>
      <c r="B666" s="866"/>
      <c r="C666" s="300"/>
      <c r="D666" s="301" t="s">
        <v>52</v>
      </c>
      <c r="E666" s="386"/>
      <c r="F666" s="402">
        <f>SUM(F656:F665)</f>
        <v>425332.53360000002</v>
      </c>
      <c r="G666" s="403">
        <f>SUM(G656:G665)</f>
        <v>6077571.6924000001</v>
      </c>
      <c r="H666" s="387"/>
      <c r="I666" s="402">
        <f>SUM(I656:I665)</f>
        <v>606963.24</v>
      </c>
      <c r="J666" s="421">
        <f>SUM(J656:J665)</f>
        <v>8893415.6999999993</v>
      </c>
    </row>
    <row r="667" spans="1:10" ht="24" x14ac:dyDescent="0.25">
      <c r="A667" s="274" t="s">
        <v>101</v>
      </c>
      <c r="B667" s="848" t="s">
        <v>28</v>
      </c>
      <c r="C667" s="298" t="s">
        <v>27</v>
      </c>
      <c r="D667" s="296" t="s">
        <v>278</v>
      </c>
      <c r="E667" s="500">
        <v>17.8202</v>
      </c>
      <c r="F667" s="398">
        <f>IFERROR(E667*'01 Prod Physique Boites'!H665,"-")</f>
        <v>0</v>
      </c>
      <c r="G667" s="399">
        <f>IFERROR(E667*'01 Prod Physique Boites'!L665,"-")</f>
        <v>0</v>
      </c>
      <c r="H667" s="379">
        <v>24.93</v>
      </c>
      <c r="I667" s="415">
        <f t="shared" ref="I667:I673" si="361">IFERROR(H667*(F667/E667),"-")</f>
        <v>0</v>
      </c>
      <c r="J667" s="621">
        <f t="shared" ref="J667:J668" si="362">IFERROR(H667*(G667/E667),"-")</f>
        <v>0</v>
      </c>
    </row>
    <row r="668" spans="1:10" ht="24" x14ac:dyDescent="0.25">
      <c r="A668" s="274" t="s">
        <v>101</v>
      </c>
      <c r="B668" s="849"/>
      <c r="C668" s="298" t="s">
        <v>384</v>
      </c>
      <c r="D668" s="298" t="s">
        <v>332</v>
      </c>
      <c r="E668" s="671">
        <v>16.7288</v>
      </c>
      <c r="F668" s="398">
        <f>IFERROR(E668*'01 Prod Physique Boites'!H666,"-")</f>
        <v>0</v>
      </c>
      <c r="G668" s="399">
        <f>IFERROR(E668*'01 Prod Physique Boites'!L666,"-")</f>
        <v>0</v>
      </c>
      <c r="H668" s="668">
        <v>20.76</v>
      </c>
      <c r="I668" s="417">
        <f t="shared" si="361"/>
        <v>0</v>
      </c>
      <c r="J668" s="622">
        <f t="shared" si="362"/>
        <v>0</v>
      </c>
    </row>
    <row r="669" spans="1:10" ht="24" x14ac:dyDescent="0.25">
      <c r="A669" s="274" t="s">
        <v>101</v>
      </c>
      <c r="B669" s="849"/>
      <c r="C669" s="298" t="s">
        <v>383</v>
      </c>
      <c r="D669" s="298" t="s">
        <v>332</v>
      </c>
      <c r="E669" s="497">
        <v>17.8202</v>
      </c>
      <c r="F669" s="398">
        <f>IFERROR(E669*'01 Prod Physique Boites'!H667,"-")</f>
        <v>0</v>
      </c>
      <c r="G669" s="399">
        <f>IFERROR(E669*'01 Prod Physique Boites'!L667,"-")</f>
        <v>0</v>
      </c>
      <c r="H669" s="382">
        <v>21.22</v>
      </c>
      <c r="I669" s="417">
        <f t="shared" si="361"/>
        <v>0</v>
      </c>
      <c r="J669" s="622">
        <f>IFERROR(H669*(G669/E669),"-")</f>
        <v>0</v>
      </c>
    </row>
    <row r="670" spans="1:10" ht="24" x14ac:dyDescent="0.25">
      <c r="A670" s="274"/>
      <c r="B670" s="849"/>
      <c r="C670" s="298" t="s">
        <v>454</v>
      </c>
      <c r="D670" s="298" t="s">
        <v>332</v>
      </c>
      <c r="E670" s="497">
        <v>14.608000000000001</v>
      </c>
      <c r="F670" s="398">
        <f>IFERROR(E670*'01 Prod Physique Boites'!H668,"-")</f>
        <v>0</v>
      </c>
      <c r="G670" s="399">
        <f>IFERROR(E670*'01 Prod Physique Boites'!L668,"-")</f>
        <v>0</v>
      </c>
      <c r="H670" s="382">
        <v>21.22</v>
      </c>
      <c r="I670" s="417">
        <f t="shared" si="361"/>
        <v>0</v>
      </c>
      <c r="J670" s="622">
        <f>IFERROR(H670*(G670/E670),"-")</f>
        <v>0</v>
      </c>
    </row>
    <row r="671" spans="1:10" ht="24" x14ac:dyDescent="0.25">
      <c r="A671" s="274"/>
      <c r="B671" s="849"/>
      <c r="C671" s="298" t="s">
        <v>503</v>
      </c>
      <c r="D671" s="742" t="s">
        <v>502</v>
      </c>
      <c r="E671" s="497">
        <v>16.7288</v>
      </c>
      <c r="F671" s="398">
        <f>IFERROR(E671*'01 Prod Physique Boites'!H669,"-")</f>
        <v>0</v>
      </c>
      <c r="G671" s="399">
        <f>IFERROR(E671*'01 Prod Physique Boites'!L669,"-")</f>
        <v>1330943.328</v>
      </c>
      <c r="H671" s="382">
        <v>25</v>
      </c>
      <c r="I671" s="419">
        <f t="shared" si="361"/>
        <v>0</v>
      </c>
      <c r="J671" s="623">
        <f t="shared" ref="J671:J673" si="363">IFERROR(H671*(G671/E671),"-")</f>
        <v>1989000</v>
      </c>
    </row>
    <row r="672" spans="1:10" ht="24" x14ac:dyDescent="0.25">
      <c r="A672" s="274"/>
      <c r="B672" s="849"/>
      <c r="C672" s="298" t="s">
        <v>452</v>
      </c>
      <c r="D672" s="742" t="s">
        <v>502</v>
      </c>
      <c r="E672" s="817">
        <v>17.8202</v>
      </c>
      <c r="F672" s="398">
        <f>IFERROR(E672*'01 Prod Physique Boites'!H670,"-")</f>
        <v>2835550.2239999999</v>
      </c>
      <c r="G672" s="399">
        <f>IFERROR(E672*'01 Prod Physique Boites'!L670,"-")</f>
        <v>8931983.2055999991</v>
      </c>
      <c r="H672" s="382">
        <v>25.43</v>
      </c>
      <c r="I672" s="689">
        <f t="shared" si="361"/>
        <v>4046421.6</v>
      </c>
      <c r="J672" s="623">
        <f t="shared" si="363"/>
        <v>12746228.039999999</v>
      </c>
    </row>
    <row r="673" spans="1:10" ht="24.75" thickBot="1" x14ac:dyDescent="0.3">
      <c r="A673" s="274" t="s">
        <v>101</v>
      </c>
      <c r="B673" s="849"/>
      <c r="C673" s="299" t="s">
        <v>505</v>
      </c>
      <c r="D673" s="298" t="s">
        <v>288</v>
      </c>
      <c r="E673" s="686">
        <v>16.7288</v>
      </c>
      <c r="F673" s="398">
        <f>IFERROR(E673*'01 Prod Physique Boites'!H671,"-")</f>
        <v>0</v>
      </c>
      <c r="G673" s="399">
        <f>IFERROR(E673*'01 Prod Physique Boites'!L671,"-")</f>
        <v>2462245.1568</v>
      </c>
      <c r="H673" s="384">
        <v>25.49</v>
      </c>
      <c r="I673" s="419">
        <f t="shared" si="361"/>
        <v>0</v>
      </c>
      <c r="J673" s="623">
        <f t="shared" si="363"/>
        <v>3751771.1399999997</v>
      </c>
    </row>
    <row r="674" spans="1:10" ht="23.25" thickBot="1" x14ac:dyDescent="0.3">
      <c r="A674" s="274" t="s">
        <v>101</v>
      </c>
      <c r="B674" s="849"/>
      <c r="C674" s="303"/>
      <c r="D674" s="304" t="s">
        <v>52</v>
      </c>
      <c r="E674" s="393"/>
      <c r="F674" s="410">
        <f t="shared" ref="F674:G674" si="364">SUM(F667:F673)</f>
        <v>2835550.2239999999</v>
      </c>
      <c r="G674" s="411">
        <f t="shared" si="364"/>
        <v>12725171.690399999</v>
      </c>
      <c r="H674" s="394"/>
      <c r="I674" s="410">
        <f t="shared" ref="I674:J674" si="365">SUM(I667:I673)</f>
        <v>4046421.6</v>
      </c>
      <c r="J674" s="426">
        <f t="shared" si="365"/>
        <v>18486999.18</v>
      </c>
    </row>
    <row r="675" spans="1:10" ht="23.25" thickBot="1" x14ac:dyDescent="0.3">
      <c r="A675" s="835" t="s">
        <v>101</v>
      </c>
      <c r="B675" s="850" t="s">
        <v>162</v>
      </c>
      <c r="C675" s="851"/>
      <c r="D675" s="852"/>
      <c r="E675" s="395"/>
      <c r="F675" s="412">
        <f t="shared" ref="F675:G675" si="366">+F666+F674</f>
        <v>3260882.7576000001</v>
      </c>
      <c r="G675" s="413">
        <f t="shared" si="366"/>
        <v>18802743.382799998</v>
      </c>
      <c r="H675" s="396"/>
      <c r="I675" s="412">
        <f t="shared" ref="I675:J675" si="367">+I666+I674</f>
        <v>4653384.84</v>
      </c>
      <c r="J675" s="427">
        <f t="shared" si="367"/>
        <v>27380414.879999999</v>
      </c>
    </row>
    <row r="676" spans="1:10" ht="24" x14ac:dyDescent="0.25">
      <c r="A676" s="274" t="s">
        <v>101</v>
      </c>
      <c r="B676" s="849" t="s">
        <v>30</v>
      </c>
      <c r="C676" s="302" t="s">
        <v>445</v>
      </c>
      <c r="D676" s="298" t="s">
        <v>332</v>
      </c>
      <c r="E676" s="695">
        <v>27.917000000000002</v>
      </c>
      <c r="F676" s="398">
        <f>IFERROR(E676*'01 Prod Physique Boites'!H674,"-")</f>
        <v>0</v>
      </c>
      <c r="G676" s="687">
        <f>IFERROR(E676*'01 Prod Physique Boites'!L674,"-")</f>
        <v>0</v>
      </c>
      <c r="H676" s="693">
        <v>33.299999999999997</v>
      </c>
      <c r="I676" s="415">
        <f>IFERROR(H676*(F676/E676),"-")</f>
        <v>0</v>
      </c>
      <c r="J676" s="416">
        <f t="shared" ref="J676:J678" si="368">IFERROR(H676*(G676/E676),"-")</f>
        <v>0</v>
      </c>
    </row>
    <row r="677" spans="1:10" ht="24" x14ac:dyDescent="0.25">
      <c r="A677" s="274" t="s">
        <v>101</v>
      </c>
      <c r="B677" s="849"/>
      <c r="C677" s="299" t="s">
        <v>443</v>
      </c>
      <c r="D677" s="302" t="s">
        <v>382</v>
      </c>
      <c r="E677" s="692">
        <v>28.526700000000002</v>
      </c>
      <c r="F677" s="398">
        <f>IFERROR(E677*'01 Prod Physique Boites'!H675,"-")</f>
        <v>0</v>
      </c>
      <c r="G677" s="687">
        <f>IFERROR(E677*'01 Prod Physique Boites'!L675,"-")</f>
        <v>0</v>
      </c>
      <c r="H677" s="694">
        <v>37.89</v>
      </c>
      <c r="I677" s="417">
        <f>IFERROR(H677*(F677/E677),"-")</f>
        <v>0</v>
      </c>
      <c r="J677" s="418">
        <f t="shared" si="368"/>
        <v>0</v>
      </c>
    </row>
    <row r="678" spans="1:10" ht="24.75" thickBot="1" x14ac:dyDescent="0.3">
      <c r="A678" s="274" t="s">
        <v>101</v>
      </c>
      <c r="B678" s="849"/>
      <c r="C678" s="299" t="s">
        <v>290</v>
      </c>
      <c r="D678" s="299" t="s">
        <v>382</v>
      </c>
      <c r="E678" s="497">
        <v>25.751300000000001</v>
      </c>
      <c r="F678" s="398">
        <f>IFERROR(E678*'01 Prod Physique Boites'!H676,"-")</f>
        <v>0</v>
      </c>
      <c r="G678" s="687">
        <f>IFERROR(E678*'01 Prod Physique Boites'!L676,"-")</f>
        <v>96412.867200000008</v>
      </c>
      <c r="H678" s="384">
        <v>37.89</v>
      </c>
      <c r="I678" s="419">
        <f>IFERROR(H678*(F678/E678),"-")</f>
        <v>0</v>
      </c>
      <c r="J678" s="420">
        <f t="shared" si="368"/>
        <v>141860.16000000003</v>
      </c>
    </row>
    <row r="679" spans="1:10" ht="23.25" thickBot="1" x14ac:dyDescent="0.3">
      <c r="A679" s="274" t="s">
        <v>101</v>
      </c>
      <c r="B679" s="849"/>
      <c r="C679" s="300"/>
      <c r="D679" s="301" t="s">
        <v>50</v>
      </c>
      <c r="E679" s="386"/>
      <c r="F679" s="402">
        <f t="shared" ref="F679:G679" si="369">SUM(F676:F678)</f>
        <v>0</v>
      </c>
      <c r="G679" s="403">
        <f t="shared" si="369"/>
        <v>96412.867200000008</v>
      </c>
      <c r="H679" s="387"/>
      <c r="I679" s="402">
        <f t="shared" ref="I679" si="370">SUM(I676:I678)</f>
        <v>0</v>
      </c>
      <c r="J679" s="421">
        <f>SUM(J676:J678)</f>
        <v>141860.16000000003</v>
      </c>
    </row>
    <row r="680" spans="1:10" ht="24" x14ac:dyDescent="0.25">
      <c r="A680" s="274" t="s">
        <v>101</v>
      </c>
      <c r="B680" s="849"/>
      <c r="C680" s="296" t="s">
        <v>434</v>
      </c>
      <c r="D680" s="296" t="s">
        <v>92</v>
      </c>
      <c r="E680" s="500">
        <v>24.2607</v>
      </c>
      <c r="F680" s="398">
        <f>IFERROR(E680*'01 Prod Physique Boites'!H678,"-")</f>
        <v>0</v>
      </c>
      <c r="G680" s="687">
        <f>IFERROR(E680*'01 Prod Physique Boites'!L678,"-")</f>
        <v>0</v>
      </c>
      <c r="H680" s="379">
        <v>28.31</v>
      </c>
      <c r="I680" s="624">
        <f>IFERROR(H680*(F680/E680),"-")</f>
        <v>0</v>
      </c>
      <c r="J680" s="416">
        <f t="shared" ref="J680:J685" si="371">IFERROR(H680*(G680/E680),"-")</f>
        <v>0</v>
      </c>
    </row>
    <row r="681" spans="1:10" ht="24" x14ac:dyDescent="0.25">
      <c r="A681" s="274"/>
      <c r="B681" s="849"/>
      <c r="C681" s="302" t="s">
        <v>444</v>
      </c>
      <c r="D681" s="298" t="s">
        <v>332</v>
      </c>
      <c r="E681" s="500">
        <v>24.2607</v>
      </c>
      <c r="F681" s="398">
        <f>IFERROR(E681*'01 Prod Physique Boites'!H679,"-")</f>
        <v>0</v>
      </c>
      <c r="G681" s="687">
        <f>IFERROR(E681*'01 Prod Physique Boites'!L679,"-")</f>
        <v>0</v>
      </c>
      <c r="H681" s="379">
        <v>28.88</v>
      </c>
      <c r="I681" s="624">
        <f t="shared" ref="I681:I685" si="372">IFERROR(H681*(F681/E681),"-")</f>
        <v>0</v>
      </c>
      <c r="J681" s="416">
        <f t="shared" si="371"/>
        <v>0</v>
      </c>
    </row>
    <row r="682" spans="1:10" ht="24" x14ac:dyDescent="0.25">
      <c r="A682" s="274"/>
      <c r="B682" s="849"/>
      <c r="C682" s="302" t="s">
        <v>447</v>
      </c>
      <c r="D682" s="298" t="s">
        <v>332</v>
      </c>
      <c r="E682" s="500">
        <v>25.4041</v>
      </c>
      <c r="F682" s="398">
        <f>IFERROR(E682*'01 Prod Physique Boites'!H680,"-")</f>
        <v>0</v>
      </c>
      <c r="G682" s="687">
        <f>IFERROR(E682*'01 Prod Physique Boites'!L680,"-")</f>
        <v>0</v>
      </c>
      <c r="H682" s="379">
        <v>28.21</v>
      </c>
      <c r="I682" s="624">
        <f t="shared" si="372"/>
        <v>0</v>
      </c>
      <c r="J682" s="416">
        <f t="shared" si="371"/>
        <v>0</v>
      </c>
    </row>
    <row r="683" spans="1:10" ht="24" x14ac:dyDescent="0.25">
      <c r="A683" s="274" t="s">
        <v>101</v>
      </c>
      <c r="B683" s="849"/>
      <c r="C683" s="302" t="s">
        <v>333</v>
      </c>
      <c r="D683" s="302" t="s">
        <v>233</v>
      </c>
      <c r="E683" s="501">
        <v>27.917000000000002</v>
      </c>
      <c r="F683" s="683">
        <f>IFERROR(E683*'01 Prod Physique Boites'!H681,"-")</f>
        <v>0</v>
      </c>
      <c r="G683" s="687">
        <f>IFERROR(E683*'01 Prod Physique Boites'!L681,"-")</f>
        <v>0</v>
      </c>
      <c r="H683" s="382">
        <v>39</v>
      </c>
      <c r="I683" s="624">
        <f t="shared" si="372"/>
        <v>0</v>
      </c>
      <c r="J683" s="416">
        <f t="shared" si="371"/>
        <v>0</v>
      </c>
    </row>
    <row r="684" spans="1:10" ht="24" x14ac:dyDescent="0.25">
      <c r="A684" s="274"/>
      <c r="B684" s="849"/>
      <c r="C684" s="299" t="s">
        <v>453</v>
      </c>
      <c r="D684" s="299" t="s">
        <v>364</v>
      </c>
      <c r="E684" s="497">
        <v>22.094999999999999</v>
      </c>
      <c r="F684" s="683">
        <f>IFERROR(E684*'01 Prod Physique Boites'!H682,"-")</f>
        <v>0</v>
      </c>
      <c r="G684" s="687">
        <f>IFERROR(E684*'01 Prod Physique Boites'!L682,"-")</f>
        <v>0</v>
      </c>
      <c r="H684" s="704">
        <v>37.11</v>
      </c>
      <c r="I684" s="624">
        <f t="shared" si="372"/>
        <v>0</v>
      </c>
      <c r="J684" s="416">
        <f t="shared" si="371"/>
        <v>0</v>
      </c>
    </row>
    <row r="685" spans="1:10" ht="24.75" thickBot="1" x14ac:dyDescent="0.3">
      <c r="A685" s="274" t="s">
        <v>101</v>
      </c>
      <c r="B685" s="849"/>
      <c r="C685" s="299" t="s">
        <v>433</v>
      </c>
      <c r="D685" s="299" t="s">
        <v>421</v>
      </c>
      <c r="E685" s="497">
        <v>23.697399999999998</v>
      </c>
      <c r="F685" s="398">
        <f>IFERROR(E685*'01 Prod Physique Boites'!H683,"-")</f>
        <v>0</v>
      </c>
      <c r="G685" s="399">
        <f>IFERROR(E685*'01 Prod Physique Boites'!L683,"-")</f>
        <v>0</v>
      </c>
      <c r="H685" s="384">
        <v>28.21</v>
      </c>
      <c r="I685" s="624">
        <f t="shared" si="372"/>
        <v>0</v>
      </c>
      <c r="J685" s="416">
        <f t="shared" si="371"/>
        <v>0</v>
      </c>
    </row>
    <row r="686" spans="1:10" ht="23.25" thickBot="1" x14ac:dyDescent="0.3">
      <c r="A686" s="274" t="s">
        <v>101</v>
      </c>
      <c r="B686" s="849"/>
      <c r="C686" s="303"/>
      <c r="D686" s="304" t="s">
        <v>51</v>
      </c>
      <c r="E686" s="393"/>
      <c r="F686" s="410">
        <f t="shared" ref="F686:G686" si="373">SUM(F680:F685)</f>
        <v>0</v>
      </c>
      <c r="G686" s="411">
        <f t="shared" si="373"/>
        <v>0</v>
      </c>
      <c r="H686" s="394"/>
      <c r="I686" s="410">
        <f t="shared" ref="I686" si="374">SUM(I680:I685)</f>
        <v>0</v>
      </c>
      <c r="J686" s="426">
        <f>SUM(J680:J685)</f>
        <v>0</v>
      </c>
    </row>
    <row r="687" spans="1:10" ht="23.25" thickBot="1" x14ac:dyDescent="0.3">
      <c r="A687" s="274" t="s">
        <v>101</v>
      </c>
      <c r="B687" s="850" t="s">
        <v>163</v>
      </c>
      <c r="C687" s="851"/>
      <c r="D687" s="852"/>
      <c r="E687" s="395"/>
      <c r="F687" s="412">
        <f t="shared" ref="F687:G687" si="375">+F679+F686</f>
        <v>0</v>
      </c>
      <c r="G687" s="413">
        <f t="shared" si="375"/>
        <v>96412.867200000008</v>
      </c>
      <c r="H687" s="396"/>
      <c r="I687" s="412">
        <f t="shared" ref="I687:J687" si="376">+I679+I686</f>
        <v>0</v>
      </c>
      <c r="J687" s="427">
        <f t="shared" si="376"/>
        <v>141860.16000000003</v>
      </c>
    </row>
    <row r="688" spans="1:10" ht="24.75" thickBot="1" x14ac:dyDescent="0.3">
      <c r="A688" s="274" t="s">
        <v>101</v>
      </c>
      <c r="B688" s="592" t="s">
        <v>32</v>
      </c>
      <c r="C688" s="830"/>
      <c r="D688" s="309"/>
      <c r="E688" s="502">
        <v>12.2659</v>
      </c>
      <c r="F688" s="404">
        <f>IFERROR(E688*'01 Prod Physique Boites'!H682,"-")</f>
        <v>0</v>
      </c>
      <c r="G688" s="405">
        <f>IFERROR(E688*'01 Prod Physique Boites'!L682,"-")</f>
        <v>0</v>
      </c>
      <c r="H688" s="388"/>
      <c r="I688" s="422">
        <f>IFERROR(H688*(F688/E688),"-")</f>
        <v>0</v>
      </c>
      <c r="J688" s="423">
        <f>IFERROR(H688*(G688/E688),"-")</f>
        <v>0</v>
      </c>
    </row>
    <row r="689" spans="1:10" ht="23.25" thickBot="1" x14ac:dyDescent="0.3">
      <c r="A689" s="274" t="s">
        <v>101</v>
      </c>
      <c r="B689" s="853" t="s">
        <v>21</v>
      </c>
      <c r="C689" s="854"/>
      <c r="D689" s="855"/>
      <c r="E689" s="389"/>
      <c r="F689" s="406">
        <f>+F675+F687+F688</f>
        <v>3260882.7576000001</v>
      </c>
      <c r="G689" s="407">
        <f>+G675+G687+G688</f>
        <v>18899156.249999996</v>
      </c>
      <c r="H689" s="390"/>
      <c r="I689" s="406">
        <f t="shared" ref="I689:J689" si="377">+I675+I687+I688</f>
        <v>4653384.84</v>
      </c>
      <c r="J689" s="424">
        <f t="shared" si="377"/>
        <v>27522275.039999999</v>
      </c>
    </row>
    <row r="690" spans="1:10" ht="23.25" thickBot="1" x14ac:dyDescent="0.3">
      <c r="A690" s="274" t="s">
        <v>101</v>
      </c>
      <c r="B690" s="839" t="s">
        <v>171</v>
      </c>
      <c r="C690" s="840"/>
      <c r="D690" s="841"/>
      <c r="E690" s="391"/>
      <c r="F690" s="408">
        <f t="shared" ref="F690:G690" si="378">+F689</f>
        <v>3260882.7576000001</v>
      </c>
      <c r="G690" s="409">
        <f t="shared" si="378"/>
        <v>18899156.249999996</v>
      </c>
      <c r="H690" s="392"/>
      <c r="I690" s="408">
        <f t="shared" ref="I690:J690" si="379">+I689</f>
        <v>4653384.84</v>
      </c>
      <c r="J690" s="425">
        <f t="shared" si="379"/>
        <v>27522275.039999999</v>
      </c>
    </row>
    <row r="691" spans="1:10" ht="24" x14ac:dyDescent="0.25">
      <c r="A691" s="268" t="s">
        <v>102</v>
      </c>
      <c r="B691" s="842" t="s">
        <v>399</v>
      </c>
      <c r="C691" s="310" t="s">
        <v>113</v>
      </c>
      <c r="D691" s="310"/>
      <c r="E691" s="669">
        <v>254.89750000000001</v>
      </c>
      <c r="F691" s="398">
        <f>IFERROR(E691*'01 Prod Physique Boites'!H689,"-")</f>
        <v>0</v>
      </c>
      <c r="G691" s="399">
        <f>IFERROR(E691*'01 Prod Physique Boites'!L689,"-")</f>
        <v>0</v>
      </c>
      <c r="H691" s="379">
        <v>445.38</v>
      </c>
      <c r="I691" s="415">
        <f>IFERROR(H691*(F691/E691),"-")</f>
        <v>0</v>
      </c>
      <c r="J691" s="416">
        <f t="shared" ref="J691:J693" si="380">IFERROR(H691*(G691/E691),"-")</f>
        <v>0</v>
      </c>
    </row>
    <row r="692" spans="1:10" ht="24" x14ac:dyDescent="0.25">
      <c r="A692" s="274" t="s">
        <v>102</v>
      </c>
      <c r="B692" s="843"/>
      <c r="C692" s="311" t="s">
        <v>246</v>
      </c>
      <c r="D692" s="311"/>
      <c r="E692" s="499">
        <v>246.51390000000001</v>
      </c>
      <c r="F692" s="398">
        <f>IFERROR(E692*'01 Prod Physique Boites'!H690,"-")</f>
        <v>0</v>
      </c>
      <c r="G692" s="399">
        <f>IFERROR(E692*'01 Prod Physique Boites'!L690,"-")</f>
        <v>0</v>
      </c>
      <c r="H692" s="382">
        <v>430.02</v>
      </c>
      <c r="I692" s="417">
        <f>IFERROR(H692*(F692/E692),"-")</f>
        <v>0</v>
      </c>
      <c r="J692" s="418">
        <f t="shared" si="380"/>
        <v>0</v>
      </c>
    </row>
    <row r="693" spans="1:10" ht="24.75" thickBot="1" x14ac:dyDescent="0.3">
      <c r="A693" s="274" t="s">
        <v>102</v>
      </c>
      <c r="B693" s="844"/>
      <c r="C693" s="312" t="s">
        <v>33</v>
      </c>
      <c r="D693" s="312"/>
      <c r="E693" s="496">
        <v>225.7713</v>
      </c>
      <c r="F693" s="398">
        <f>IFERROR(E693*'01 Prod Physique Boites'!H691,"-")</f>
        <v>0</v>
      </c>
      <c r="G693" s="399">
        <f>IFERROR(E693*'01 Prod Physique Boites'!L691,"-")</f>
        <v>0</v>
      </c>
      <c r="H693" s="384"/>
      <c r="I693" s="419">
        <f>IFERROR(H693*(F693/E693),"-")</f>
        <v>0</v>
      </c>
      <c r="J693" s="420">
        <f t="shared" si="380"/>
        <v>0</v>
      </c>
    </row>
    <row r="694" spans="1:10" ht="23.25" thickBot="1" x14ac:dyDescent="0.3">
      <c r="A694" s="274" t="s">
        <v>102</v>
      </c>
      <c r="B694" s="845" t="s">
        <v>34</v>
      </c>
      <c r="C694" s="846"/>
      <c r="D694" s="847"/>
      <c r="E694" s="386"/>
      <c r="F694" s="402">
        <f t="shared" ref="F694:G694" si="381">SUM(F691:F693)</f>
        <v>0</v>
      </c>
      <c r="G694" s="403">
        <f t="shared" si="381"/>
        <v>0</v>
      </c>
      <c r="H694" s="387"/>
      <c r="I694" s="402">
        <f t="shared" ref="I694:J694" si="382">SUM(I691:I693)</f>
        <v>0</v>
      </c>
      <c r="J694" s="421">
        <f t="shared" si="382"/>
        <v>0</v>
      </c>
    </row>
    <row r="695" spans="1:10" ht="24" x14ac:dyDescent="0.25">
      <c r="A695" s="274" t="s">
        <v>102</v>
      </c>
      <c r="B695" s="842" t="s">
        <v>35</v>
      </c>
      <c r="C695" s="310" t="s">
        <v>113</v>
      </c>
      <c r="D695" s="310"/>
      <c r="E695" s="498">
        <v>254.89750000000001</v>
      </c>
      <c r="F695" s="398">
        <f>IFERROR(E695*'01 Prod Physique Boites'!H693,"-")</f>
        <v>0</v>
      </c>
      <c r="G695" s="399">
        <f>IFERROR(E695*'01 Prod Physique Boites'!L693,"-")</f>
        <v>0</v>
      </c>
      <c r="H695" s="379">
        <v>445.38</v>
      </c>
      <c r="I695" s="415">
        <f>IFERROR(H695*(F695/E695),"-")</f>
        <v>0</v>
      </c>
      <c r="J695" s="416">
        <f t="shared" ref="J695:J698" si="383">IFERROR(H695*(G695/E695),"-")</f>
        <v>0</v>
      </c>
    </row>
    <row r="696" spans="1:10" ht="24" x14ac:dyDescent="0.25">
      <c r="A696" s="274" t="s">
        <v>102</v>
      </c>
      <c r="B696" s="843"/>
      <c r="C696" s="311" t="s">
        <v>246</v>
      </c>
      <c r="D696" s="311"/>
      <c r="E696" s="499">
        <v>246.51390000000001</v>
      </c>
      <c r="F696" s="398">
        <f>IFERROR(E696*'01 Prod Physique Boites'!H694,"-")</f>
        <v>0</v>
      </c>
      <c r="G696" s="399">
        <f>IFERROR(E696*'01 Prod Physique Boites'!L694,"-")</f>
        <v>0</v>
      </c>
      <c r="H696" s="382">
        <v>430.02</v>
      </c>
      <c r="I696" s="417">
        <f>IFERROR(H696*(F696/E696),"-")</f>
        <v>0</v>
      </c>
      <c r="J696" s="418">
        <f t="shared" si="383"/>
        <v>0</v>
      </c>
    </row>
    <row r="697" spans="1:10" ht="24" x14ac:dyDescent="0.25">
      <c r="A697" s="274" t="s">
        <v>102</v>
      </c>
      <c r="B697" s="843"/>
      <c r="C697" s="311" t="s">
        <v>184</v>
      </c>
      <c r="D697" s="311" t="s">
        <v>183</v>
      </c>
      <c r="E697" s="499">
        <v>254.89750000000001</v>
      </c>
      <c r="F697" s="398">
        <f>IFERROR(E697*'01 Prod Physique Boites'!H695,"-")</f>
        <v>0</v>
      </c>
      <c r="G697" s="399">
        <f>IFERROR(E697*'01 Prod Physique Boites'!L695,"-")</f>
        <v>0</v>
      </c>
      <c r="H697" s="382"/>
      <c r="I697" s="417">
        <f>IFERROR(H697*(F697/E697),"-")</f>
        <v>0</v>
      </c>
      <c r="J697" s="418">
        <f t="shared" si="383"/>
        <v>0</v>
      </c>
    </row>
    <row r="698" spans="1:10" ht="24.75" thickBot="1" x14ac:dyDescent="0.3">
      <c r="A698" s="274" t="s">
        <v>102</v>
      </c>
      <c r="B698" s="844"/>
      <c r="C698" s="312" t="s">
        <v>36</v>
      </c>
      <c r="D698" s="312"/>
      <c r="E698" s="496">
        <v>229.99359999999999</v>
      </c>
      <c r="F698" s="398">
        <f>IFERROR(E698*'01 Prod Physique Boites'!H696,"-")</f>
        <v>0</v>
      </c>
      <c r="G698" s="399">
        <f>IFERROR(E698*'01 Prod Physique Boites'!L696,"-")</f>
        <v>0</v>
      </c>
      <c r="H698" s="384"/>
      <c r="I698" s="419">
        <f>IFERROR(H698*(F698/E698),"-")</f>
        <v>0</v>
      </c>
      <c r="J698" s="420">
        <f t="shared" si="383"/>
        <v>0</v>
      </c>
    </row>
    <row r="699" spans="1:10" ht="23.25" thickBot="1" x14ac:dyDescent="0.3">
      <c r="A699" s="274" t="s">
        <v>102</v>
      </c>
      <c r="B699" s="845" t="s">
        <v>37</v>
      </c>
      <c r="C699" s="846"/>
      <c r="D699" s="847"/>
      <c r="E699" s="386"/>
      <c r="F699" s="402">
        <f t="shared" ref="F699:G699" si="384">SUM(F695:F698)</f>
        <v>0</v>
      </c>
      <c r="G699" s="403">
        <f t="shared" si="384"/>
        <v>0</v>
      </c>
      <c r="H699" s="387"/>
      <c r="I699" s="402">
        <f>SUM(I695:I698)</f>
        <v>0</v>
      </c>
      <c r="J699" s="421">
        <f>SUM(J695:J698)</f>
        <v>0</v>
      </c>
    </row>
    <row r="700" spans="1:10" ht="24" x14ac:dyDescent="0.25">
      <c r="A700" s="274" t="s">
        <v>102</v>
      </c>
      <c r="B700" s="842" t="s">
        <v>400</v>
      </c>
      <c r="C700" s="313" t="s">
        <v>116</v>
      </c>
      <c r="D700" s="313"/>
      <c r="E700" s="498">
        <v>195.2808</v>
      </c>
      <c r="F700" s="398">
        <f>IFERROR(E700*'01 Prod Physique Boites'!H698,"-")</f>
        <v>0</v>
      </c>
      <c r="G700" s="399">
        <f>IFERROR(E700*'01 Prod Physique Boites'!L698,"-")</f>
        <v>0</v>
      </c>
      <c r="H700" s="642">
        <v>256.7</v>
      </c>
      <c r="I700" s="415">
        <f>IFERROR(H700*(F700/E700),"-")</f>
        <v>0</v>
      </c>
      <c r="J700" s="416">
        <f t="shared" ref="J700:J701" si="385">IFERROR(H700*(G700/E700),"-")</f>
        <v>0</v>
      </c>
    </row>
    <row r="701" spans="1:10" ht="24.75" thickBot="1" x14ac:dyDescent="0.3">
      <c r="A701" s="274" t="s">
        <v>102</v>
      </c>
      <c r="B701" s="844"/>
      <c r="C701" s="285" t="s">
        <v>132</v>
      </c>
      <c r="D701" s="285"/>
      <c r="E701" s="496">
        <v>189.91890000000001</v>
      </c>
      <c r="F701" s="398">
        <f>IFERROR(E701*'01 Prod Physique Boites'!H699,"-")</f>
        <v>0</v>
      </c>
      <c r="G701" s="399">
        <f>IFERROR(E701*'01 Prod Physique Boites'!L699,"-")</f>
        <v>0</v>
      </c>
      <c r="H701" s="384">
        <v>320.35000000000002</v>
      </c>
      <c r="I701" s="419">
        <f>IFERROR(H701*(F701/E701),"-")</f>
        <v>0</v>
      </c>
      <c r="J701" s="420">
        <f t="shared" si="385"/>
        <v>0</v>
      </c>
    </row>
    <row r="702" spans="1:10" ht="23.25" thickBot="1" x14ac:dyDescent="0.3">
      <c r="A702" s="835" t="s">
        <v>102</v>
      </c>
      <c r="B702" s="845" t="s">
        <v>38</v>
      </c>
      <c r="C702" s="846"/>
      <c r="D702" s="847"/>
      <c r="E702" s="386"/>
      <c r="F702" s="402">
        <f>SUM(F700:F701)</f>
        <v>0</v>
      </c>
      <c r="G702" s="403">
        <f t="shared" ref="G702" si="386">SUM(G700:G701)</f>
        <v>0</v>
      </c>
      <c r="H702" s="387"/>
      <c r="I702" s="402">
        <f t="shared" ref="I702:J702" si="387">SUM(I700:I701)</f>
        <v>0</v>
      </c>
      <c r="J702" s="421">
        <f t="shared" si="387"/>
        <v>0</v>
      </c>
    </row>
    <row r="703" spans="1:10" ht="24" x14ac:dyDescent="0.25">
      <c r="A703" s="274" t="s">
        <v>102</v>
      </c>
      <c r="B703" s="842" t="s">
        <v>401</v>
      </c>
      <c r="C703" s="269" t="s">
        <v>305</v>
      </c>
      <c r="D703" s="269" t="s">
        <v>237</v>
      </c>
      <c r="E703" s="500">
        <v>37.248699999999999</v>
      </c>
      <c r="F703" s="398">
        <f>IFERROR(E703*'01 Prod Physique Boites'!H701,"-")</f>
        <v>2690846.088</v>
      </c>
      <c r="G703" s="399">
        <f>IFERROR(E703*'01 Prod Physique Boites'!L701,"-")</f>
        <v>11391397.434</v>
      </c>
      <c r="H703" s="379">
        <v>71.44</v>
      </c>
      <c r="I703" s="415">
        <f>IFERROR(H703*(F703/E703),"-")</f>
        <v>5160825.5999999996</v>
      </c>
      <c r="J703" s="416">
        <f>IFERROR(H703*(G703/E703),"-")</f>
        <v>21847780.800000001</v>
      </c>
    </row>
    <row r="704" spans="1:10" ht="24" x14ac:dyDescent="0.25">
      <c r="A704" s="274" t="s">
        <v>102</v>
      </c>
      <c r="B704" s="843"/>
      <c r="C704" s="269" t="s">
        <v>156</v>
      </c>
      <c r="D704" s="275"/>
      <c r="E704" s="500">
        <v>37.248699999999999</v>
      </c>
      <c r="F704" s="398">
        <f>IFERROR(E704*'01 Prod Physique Boites'!H702,"-")</f>
        <v>0</v>
      </c>
      <c r="G704" s="399">
        <f>IFERROR(E704*'01 Prod Physique Boites'!L702,"-")</f>
        <v>0</v>
      </c>
      <c r="H704" s="382"/>
      <c r="I704" s="417">
        <f>IFERROR(H704*(F704/E704),"-")</f>
        <v>0</v>
      </c>
      <c r="J704" s="418">
        <f t="shared" ref="J704:J706" si="388">IFERROR(H704*(G704/E704),"-")</f>
        <v>0</v>
      </c>
    </row>
    <row r="705" spans="1:10" ht="24" x14ac:dyDescent="0.25">
      <c r="A705" s="274" t="s">
        <v>102</v>
      </c>
      <c r="B705" s="843"/>
      <c r="C705" s="275" t="s">
        <v>343</v>
      </c>
      <c r="D705" s="269" t="s">
        <v>237</v>
      </c>
      <c r="E705" s="500">
        <v>37.248699999999999</v>
      </c>
      <c r="F705" s="398">
        <f>IFERROR(E705*'01 Prod Physique Boites'!H703,"-")</f>
        <v>0</v>
      </c>
      <c r="G705" s="399">
        <f>IFERROR(E705*'01 Prod Physique Boites'!L703,"-")</f>
        <v>1500973.6151999999</v>
      </c>
      <c r="H705" s="382">
        <v>71.44</v>
      </c>
      <c r="I705" s="417">
        <f>IFERROR(H705*(F705/E705),"-")</f>
        <v>0</v>
      </c>
      <c r="J705" s="418">
        <f t="shared" si="388"/>
        <v>2878746.2399999998</v>
      </c>
    </row>
    <row r="706" spans="1:10" ht="24.75" thickBot="1" x14ac:dyDescent="0.3">
      <c r="A706" s="274" t="s">
        <v>102</v>
      </c>
      <c r="B706" s="843"/>
      <c r="C706" s="275" t="s">
        <v>157</v>
      </c>
      <c r="D706" s="275"/>
      <c r="E706" s="501">
        <v>38.466099999999997</v>
      </c>
      <c r="F706" s="398">
        <f>IFERROR(E706*'01 Prod Physique Boites'!H704,"-")</f>
        <v>0</v>
      </c>
      <c r="G706" s="399">
        <f>IFERROR(E706*'01 Prod Physique Boites'!L704,"-")</f>
        <v>0</v>
      </c>
      <c r="H706" s="382"/>
      <c r="I706" s="417">
        <f>IFERROR(H706*(F706/E706),"-")</f>
        <v>0</v>
      </c>
      <c r="J706" s="418">
        <f t="shared" si="388"/>
        <v>0</v>
      </c>
    </row>
    <row r="707" spans="1:10" ht="23.25" thickBot="1" x14ac:dyDescent="0.3">
      <c r="A707" s="274" t="s">
        <v>102</v>
      </c>
      <c r="B707" s="845" t="s">
        <v>39</v>
      </c>
      <c r="C707" s="846"/>
      <c r="D707" s="847"/>
      <c r="E707" s="386"/>
      <c r="F707" s="402">
        <f>SUM(F703:F706)</f>
        <v>2690846.088</v>
      </c>
      <c r="G707" s="403">
        <f>SUM(G703:G706)</f>
        <v>12892371.0492</v>
      </c>
      <c r="H707" s="387"/>
      <c r="I707" s="402">
        <f>SUM(I703:I706)</f>
        <v>5160825.5999999996</v>
      </c>
      <c r="J707" s="402">
        <f>SUM(J703:J706)</f>
        <v>24726527.039999999</v>
      </c>
    </row>
    <row r="708" spans="1:10" ht="24" x14ac:dyDescent="0.25">
      <c r="A708" s="274" t="s">
        <v>102</v>
      </c>
      <c r="B708" s="842" t="s">
        <v>40</v>
      </c>
      <c r="C708" s="269" t="s">
        <v>186</v>
      </c>
      <c r="D708" s="269" t="s">
        <v>183</v>
      </c>
      <c r="E708" s="500">
        <v>30.7499</v>
      </c>
      <c r="F708" s="398">
        <f>IFERROR(E708*'01 Prod Physique Boites'!H707,"-")</f>
        <v>0</v>
      </c>
      <c r="G708" s="399">
        <f>IFERROR(E708*'01 Prod Physique Boites'!L707,"-")</f>
        <v>0</v>
      </c>
      <c r="H708" s="379"/>
      <c r="I708" s="415">
        <f>IFERROR(H708*(F708/E708),"-")</f>
        <v>0</v>
      </c>
      <c r="J708" s="416">
        <f>IFERROR(H708*(G708/E708),"-")</f>
        <v>0</v>
      </c>
    </row>
    <row r="709" spans="1:10" ht="24" x14ac:dyDescent="0.25">
      <c r="A709" s="274" t="s">
        <v>102</v>
      </c>
      <c r="B709" s="843"/>
      <c r="C709" s="275" t="s">
        <v>159</v>
      </c>
      <c r="D709" s="275"/>
      <c r="E709" s="645">
        <v>25.139099999999999</v>
      </c>
      <c r="F709" s="398">
        <f>IFERROR(E709*'01 Prod Physique Boites'!H708,"-")</f>
        <v>0</v>
      </c>
      <c r="G709" s="399">
        <f>IFERROR(E709*'01 Prod Physique Boites'!L707,"-")</f>
        <v>0</v>
      </c>
      <c r="H709" s="382">
        <v>59.96</v>
      </c>
      <c r="I709" s="417">
        <f>IFERROR(H709*(F709/E709),"-")</f>
        <v>0</v>
      </c>
      <c r="J709" s="418">
        <f t="shared" ref="J709:J710" si="389">IFERROR(H709*(G709/E709),"-")</f>
        <v>0</v>
      </c>
    </row>
    <row r="710" spans="1:10" ht="24.75" thickBot="1" x14ac:dyDescent="0.3">
      <c r="A710" s="274" t="s">
        <v>102</v>
      </c>
      <c r="B710" s="844"/>
      <c r="C710" s="279" t="s">
        <v>186</v>
      </c>
      <c r="D710" s="279" t="s">
        <v>185</v>
      </c>
      <c r="E710" s="497">
        <v>30.073599999999999</v>
      </c>
      <c r="F710" s="398">
        <f>IFERROR(E710*'01 Prod Physique Boites'!H709,"-")</f>
        <v>0</v>
      </c>
      <c r="G710" s="399">
        <f>IFERROR(E710*'01 Prod Physique Boites'!L708,"-")</f>
        <v>0</v>
      </c>
      <c r="H710" s="384"/>
      <c r="I710" s="419">
        <f>IFERROR(H710*(F710/E710),"-")</f>
        <v>0</v>
      </c>
      <c r="J710" s="420">
        <f t="shared" si="389"/>
        <v>0</v>
      </c>
    </row>
    <row r="711" spans="1:10" ht="23.25" thickBot="1" x14ac:dyDescent="0.3">
      <c r="A711" s="274" t="s">
        <v>102</v>
      </c>
      <c r="B711" s="862" t="s">
        <v>41</v>
      </c>
      <c r="C711" s="863"/>
      <c r="D711" s="864"/>
      <c r="E711" s="386"/>
      <c r="F711" s="402">
        <f t="shared" ref="F711:G711" si="390">SUM(F708:F710)</f>
        <v>0</v>
      </c>
      <c r="G711" s="403">
        <f t="shared" si="390"/>
        <v>0</v>
      </c>
      <c r="H711" s="387"/>
      <c r="I711" s="402">
        <f t="shared" ref="I711:J711" si="391">SUM(I708:I710)</f>
        <v>0</v>
      </c>
      <c r="J711" s="421">
        <f t="shared" si="391"/>
        <v>0</v>
      </c>
    </row>
    <row r="712" spans="1:10" ht="24" x14ac:dyDescent="0.25">
      <c r="A712" s="274" t="s">
        <v>102</v>
      </c>
      <c r="B712" s="842" t="s">
        <v>42</v>
      </c>
      <c r="C712" s="269" t="s">
        <v>160</v>
      </c>
      <c r="D712" s="269"/>
      <c r="E712" s="500">
        <v>36.684899999999999</v>
      </c>
      <c r="F712" s="398">
        <f>IFERROR(E712*'01 Prod Physique Boites'!H711,"-")</f>
        <v>0</v>
      </c>
      <c r="G712" s="399">
        <f>IFERROR(E712*'01 Prod Physique Boites'!L711,"-")</f>
        <v>657393.40799999994</v>
      </c>
      <c r="H712" s="379">
        <v>42</v>
      </c>
      <c r="I712" s="415">
        <f t="shared" ref="I712:I713" si="392">IFERROR(H712*(F712/E712),"-")</f>
        <v>0</v>
      </c>
      <c r="J712" s="380">
        <f t="shared" ref="J712:J713" si="393">IFERROR(H712*(G712/E712),"-")</f>
        <v>752640</v>
      </c>
    </row>
    <row r="713" spans="1:10" ht="24.75" thickBot="1" x14ac:dyDescent="0.3">
      <c r="A713" s="274" t="s">
        <v>102</v>
      </c>
      <c r="B713" s="844"/>
      <c r="C713" s="279" t="s">
        <v>161</v>
      </c>
      <c r="D713" s="279"/>
      <c r="E713" s="497">
        <v>37.002800000000001</v>
      </c>
      <c r="F713" s="398">
        <f>IFERROR(E713*'01 Prod Physique Boites'!H712,"-")</f>
        <v>0</v>
      </c>
      <c r="G713" s="399">
        <f>IFERROR(E713*'01 Prod Physique Boites'!L712,"-")</f>
        <v>0</v>
      </c>
      <c r="H713" s="384">
        <v>45.5</v>
      </c>
      <c r="I713" s="415">
        <f t="shared" si="392"/>
        <v>0</v>
      </c>
      <c r="J713" s="385">
        <f t="shared" si="393"/>
        <v>0</v>
      </c>
    </row>
    <row r="714" spans="1:10" ht="23.25" thickBot="1" x14ac:dyDescent="0.3">
      <c r="A714" s="274" t="s">
        <v>102</v>
      </c>
      <c r="B714" s="862" t="s">
        <v>43</v>
      </c>
      <c r="C714" s="863"/>
      <c r="D714" s="864"/>
      <c r="E714" s="386"/>
      <c r="F714" s="398">
        <f>SUM(F712:F713)</f>
        <v>0</v>
      </c>
      <c r="G714" s="398">
        <f>SUM(G712:G713)</f>
        <v>657393.40799999994</v>
      </c>
      <c r="H714" s="387"/>
      <c r="I714" s="402">
        <f t="shared" ref="I714:J714" si="394">SUM(I712:I713)</f>
        <v>0</v>
      </c>
      <c r="J714" s="421">
        <f t="shared" si="394"/>
        <v>752640</v>
      </c>
    </row>
    <row r="715" spans="1:10" ht="23.25" thickBot="1" x14ac:dyDescent="0.3">
      <c r="A715" s="274" t="s">
        <v>102</v>
      </c>
      <c r="B715" s="856" t="s">
        <v>25</v>
      </c>
      <c r="C715" s="857"/>
      <c r="D715" s="858"/>
      <c r="E715" s="389"/>
      <c r="F715" s="406">
        <f>+F694+F699+F702+F707+F711+F714</f>
        <v>2690846.088</v>
      </c>
      <c r="G715" s="407">
        <f>+G694+G699+G702+G707+G711+G714</f>
        <v>13549764.4572</v>
      </c>
      <c r="H715" s="390"/>
      <c r="I715" s="406">
        <f>+I694+I699+I702+I707+I711+I714</f>
        <v>5160825.5999999996</v>
      </c>
      <c r="J715" s="424">
        <f>+J694+J699+J702+J707+J711+J714</f>
        <v>25479167.039999999</v>
      </c>
    </row>
    <row r="716" spans="1:10" ht="23.25" thickBot="1" x14ac:dyDescent="0.3">
      <c r="A716" s="317" t="s">
        <v>102</v>
      </c>
      <c r="B716" s="840" t="s">
        <v>173</v>
      </c>
      <c r="C716" s="840"/>
      <c r="D716" s="841"/>
      <c r="E716" s="391"/>
      <c r="F716" s="408">
        <f t="shared" ref="F716:G716" si="395">+F715</f>
        <v>2690846.088</v>
      </c>
      <c r="G716" s="409">
        <f t="shared" si="395"/>
        <v>13549764.4572</v>
      </c>
      <c r="H716" s="392"/>
      <c r="I716" s="408">
        <f t="shared" ref="I716" si="396">+I715</f>
        <v>5160825.5999999996</v>
      </c>
      <c r="J716" s="425">
        <f>+J715</f>
        <v>25479167.039999999</v>
      </c>
    </row>
    <row r="717" spans="1:10" ht="26.25" thickBot="1" x14ac:dyDescent="0.3">
      <c r="A717" s="318"/>
      <c r="B717" s="859" t="s">
        <v>174</v>
      </c>
      <c r="C717" s="860"/>
      <c r="D717" s="861"/>
      <c r="E717" s="397"/>
      <c r="F717" s="414">
        <f>+F655+F690+F716</f>
        <v>9302446.1291000005</v>
      </c>
      <c r="G717" s="414">
        <f>+G655+G690+G716</f>
        <v>45228044.936399996</v>
      </c>
      <c r="H717" s="397"/>
      <c r="I717" s="414">
        <f>+I655+I690+I716</f>
        <v>15007081.09</v>
      </c>
      <c r="J717" s="428">
        <f>+J655+J690+J716</f>
        <v>68521189.079999998</v>
      </c>
    </row>
    <row r="720" spans="1:10" x14ac:dyDescent="0.25">
      <c r="H720" s="375"/>
    </row>
  </sheetData>
  <mergeCells count="301">
    <mergeCell ref="B715:D715"/>
    <mergeCell ref="B716:D716"/>
    <mergeCell ref="B717:D717"/>
    <mergeCell ref="B699:D699"/>
    <mergeCell ref="B700:B701"/>
    <mergeCell ref="B702:D702"/>
    <mergeCell ref="B703:B706"/>
    <mergeCell ref="B707:D707"/>
    <mergeCell ref="B708:B710"/>
    <mergeCell ref="B711:D711"/>
    <mergeCell ref="B712:B713"/>
    <mergeCell ref="B714:D714"/>
    <mergeCell ref="B667:B674"/>
    <mergeCell ref="B675:D675"/>
    <mergeCell ref="B676:B686"/>
    <mergeCell ref="B687:D687"/>
    <mergeCell ref="B689:D689"/>
    <mergeCell ref="B690:D690"/>
    <mergeCell ref="B691:B693"/>
    <mergeCell ref="B694:D694"/>
    <mergeCell ref="B695:B698"/>
    <mergeCell ref="B637:D637"/>
    <mergeCell ref="B638:D638"/>
    <mergeCell ref="B639:B642"/>
    <mergeCell ref="B643:D643"/>
    <mergeCell ref="B644:B652"/>
    <mergeCell ref="B653:D653"/>
    <mergeCell ref="B654:D654"/>
    <mergeCell ref="B655:D655"/>
    <mergeCell ref="B656:B666"/>
    <mergeCell ref="B605:B608"/>
    <mergeCell ref="B609:D609"/>
    <mergeCell ref="B610:B616"/>
    <mergeCell ref="B617:D617"/>
    <mergeCell ref="B618:B624"/>
    <mergeCell ref="B625:D625"/>
    <mergeCell ref="B626:B632"/>
    <mergeCell ref="B633:D633"/>
    <mergeCell ref="B634:B636"/>
    <mergeCell ref="A601:A604"/>
    <mergeCell ref="B601:B604"/>
    <mergeCell ref="C601:C604"/>
    <mergeCell ref="D601:D604"/>
    <mergeCell ref="E601:G601"/>
    <mergeCell ref="E602:G602"/>
    <mergeCell ref="H602:J602"/>
    <mergeCell ref="H603:H604"/>
    <mergeCell ref="I603:I604"/>
    <mergeCell ref="J603:J604"/>
    <mergeCell ref="E604:G604"/>
    <mergeCell ref="B597:D597"/>
    <mergeCell ref="B598:D598"/>
    <mergeCell ref="B599:D599"/>
    <mergeCell ref="B581:D581"/>
    <mergeCell ref="B582:B583"/>
    <mergeCell ref="B584:D584"/>
    <mergeCell ref="B585:B588"/>
    <mergeCell ref="B589:D589"/>
    <mergeCell ref="B590:B592"/>
    <mergeCell ref="B593:D593"/>
    <mergeCell ref="B594:B595"/>
    <mergeCell ref="B596:D596"/>
    <mergeCell ref="B549:B556"/>
    <mergeCell ref="B557:D557"/>
    <mergeCell ref="B558:B568"/>
    <mergeCell ref="B569:D569"/>
    <mergeCell ref="B571:D571"/>
    <mergeCell ref="B572:D572"/>
    <mergeCell ref="B573:B575"/>
    <mergeCell ref="B576:D576"/>
    <mergeCell ref="B577:B580"/>
    <mergeCell ref="B519:D519"/>
    <mergeCell ref="B520:D520"/>
    <mergeCell ref="B521:B524"/>
    <mergeCell ref="B525:D525"/>
    <mergeCell ref="B526:B534"/>
    <mergeCell ref="B535:D535"/>
    <mergeCell ref="B536:D536"/>
    <mergeCell ref="B537:D537"/>
    <mergeCell ref="B538:B548"/>
    <mergeCell ref="B487:B490"/>
    <mergeCell ref="B491:D491"/>
    <mergeCell ref="B492:B498"/>
    <mergeCell ref="B499:D499"/>
    <mergeCell ref="B500:B506"/>
    <mergeCell ref="B507:D507"/>
    <mergeCell ref="B508:B514"/>
    <mergeCell ref="B515:D515"/>
    <mergeCell ref="B516:B518"/>
    <mergeCell ref="A483:A486"/>
    <mergeCell ref="B483:B486"/>
    <mergeCell ref="C483:C486"/>
    <mergeCell ref="D483:D486"/>
    <mergeCell ref="E483:G483"/>
    <mergeCell ref="E484:G484"/>
    <mergeCell ref="H484:J484"/>
    <mergeCell ref="H485:H486"/>
    <mergeCell ref="I485:I486"/>
    <mergeCell ref="J485:J486"/>
    <mergeCell ref="E486:G486"/>
    <mergeCell ref="B479:D479"/>
    <mergeCell ref="B480:D480"/>
    <mergeCell ref="B481:D481"/>
    <mergeCell ref="B463:D463"/>
    <mergeCell ref="B464:B465"/>
    <mergeCell ref="B466:D466"/>
    <mergeCell ref="B467:B470"/>
    <mergeCell ref="B471:D471"/>
    <mergeCell ref="B472:B474"/>
    <mergeCell ref="B475:D475"/>
    <mergeCell ref="B476:B477"/>
    <mergeCell ref="B478:D478"/>
    <mergeCell ref="B431:B438"/>
    <mergeCell ref="B439:D439"/>
    <mergeCell ref="B440:B450"/>
    <mergeCell ref="B451:D451"/>
    <mergeCell ref="B453:D453"/>
    <mergeCell ref="B454:D454"/>
    <mergeCell ref="B455:B457"/>
    <mergeCell ref="B458:D458"/>
    <mergeCell ref="B459:B462"/>
    <mergeCell ref="B401:D401"/>
    <mergeCell ref="B402:D402"/>
    <mergeCell ref="B403:B406"/>
    <mergeCell ref="B407:D407"/>
    <mergeCell ref="B408:B416"/>
    <mergeCell ref="B417:D417"/>
    <mergeCell ref="B418:D418"/>
    <mergeCell ref="B419:D419"/>
    <mergeCell ref="B420:B430"/>
    <mergeCell ref="B369:B372"/>
    <mergeCell ref="B373:D373"/>
    <mergeCell ref="B374:B380"/>
    <mergeCell ref="B381:D381"/>
    <mergeCell ref="B382:B388"/>
    <mergeCell ref="B389:D389"/>
    <mergeCell ref="B390:B396"/>
    <mergeCell ref="B397:D397"/>
    <mergeCell ref="B398:B400"/>
    <mergeCell ref="A365:A368"/>
    <mergeCell ref="B365:B368"/>
    <mergeCell ref="C365:C368"/>
    <mergeCell ref="D365:D368"/>
    <mergeCell ref="E365:G365"/>
    <mergeCell ref="E366:G366"/>
    <mergeCell ref="H366:J366"/>
    <mergeCell ref="H367:H368"/>
    <mergeCell ref="I367:I368"/>
    <mergeCell ref="J367:J368"/>
    <mergeCell ref="E368:G368"/>
    <mergeCell ref="B361:D361"/>
    <mergeCell ref="B362:D362"/>
    <mergeCell ref="B363:D363"/>
    <mergeCell ref="B345:D345"/>
    <mergeCell ref="B346:B347"/>
    <mergeCell ref="B348:D348"/>
    <mergeCell ref="B349:B352"/>
    <mergeCell ref="B353:D353"/>
    <mergeCell ref="B354:B356"/>
    <mergeCell ref="B357:D357"/>
    <mergeCell ref="B358:B359"/>
    <mergeCell ref="B360:D360"/>
    <mergeCell ref="B313:B320"/>
    <mergeCell ref="B321:D321"/>
    <mergeCell ref="B322:B332"/>
    <mergeCell ref="B333:D333"/>
    <mergeCell ref="B335:D335"/>
    <mergeCell ref="B336:D336"/>
    <mergeCell ref="B337:B339"/>
    <mergeCell ref="B340:D340"/>
    <mergeCell ref="B341:B344"/>
    <mergeCell ref="B283:D283"/>
    <mergeCell ref="B284:D284"/>
    <mergeCell ref="B285:B288"/>
    <mergeCell ref="B289:D289"/>
    <mergeCell ref="B290:B298"/>
    <mergeCell ref="B299:D299"/>
    <mergeCell ref="B300:D300"/>
    <mergeCell ref="B301:D301"/>
    <mergeCell ref="B302:B312"/>
    <mergeCell ref="B251:B254"/>
    <mergeCell ref="B255:D255"/>
    <mergeCell ref="B256:B262"/>
    <mergeCell ref="B263:D263"/>
    <mergeCell ref="B264:B270"/>
    <mergeCell ref="B271:D271"/>
    <mergeCell ref="B272:B278"/>
    <mergeCell ref="B279:D279"/>
    <mergeCell ref="B280:B282"/>
    <mergeCell ref="A247:A250"/>
    <mergeCell ref="B247:B250"/>
    <mergeCell ref="C247:C250"/>
    <mergeCell ref="D247:D250"/>
    <mergeCell ref="E247:G247"/>
    <mergeCell ref="E248:G248"/>
    <mergeCell ref="H248:J248"/>
    <mergeCell ref="H249:H250"/>
    <mergeCell ref="I249:I250"/>
    <mergeCell ref="J249:J250"/>
    <mergeCell ref="E250:G250"/>
    <mergeCell ref="B242:D242"/>
    <mergeCell ref="B243:D243"/>
    <mergeCell ref="B244:D244"/>
    <mergeCell ref="B245:D245"/>
    <mergeCell ref="B231:B234"/>
    <mergeCell ref="B235:D235"/>
    <mergeCell ref="B236:B238"/>
    <mergeCell ref="B239:D239"/>
    <mergeCell ref="B240:B241"/>
    <mergeCell ref="B222:D222"/>
    <mergeCell ref="B223:B226"/>
    <mergeCell ref="B227:D227"/>
    <mergeCell ref="B228:B229"/>
    <mergeCell ref="B230:D230"/>
    <mergeCell ref="B204:B214"/>
    <mergeCell ref="B215:D215"/>
    <mergeCell ref="B217:D217"/>
    <mergeCell ref="B218:D218"/>
    <mergeCell ref="B219:B221"/>
    <mergeCell ref="B182:D182"/>
    <mergeCell ref="B183:D183"/>
    <mergeCell ref="B184:B194"/>
    <mergeCell ref="B195:B202"/>
    <mergeCell ref="B203:D203"/>
    <mergeCell ref="B166:D166"/>
    <mergeCell ref="B167:B170"/>
    <mergeCell ref="B171:D171"/>
    <mergeCell ref="B172:B180"/>
    <mergeCell ref="B181:D181"/>
    <mergeCell ref="B153:D153"/>
    <mergeCell ref="B154:B160"/>
    <mergeCell ref="B161:D161"/>
    <mergeCell ref="B162:B164"/>
    <mergeCell ref="B165:D165"/>
    <mergeCell ref="B133:B136"/>
    <mergeCell ref="B137:D137"/>
    <mergeCell ref="B138:B144"/>
    <mergeCell ref="B145:D145"/>
    <mergeCell ref="B146:B152"/>
    <mergeCell ref="H130:J130"/>
    <mergeCell ref="H131:H132"/>
    <mergeCell ref="I131:I132"/>
    <mergeCell ref="J131:J132"/>
    <mergeCell ref="E132:G132"/>
    <mergeCell ref="A129:A132"/>
    <mergeCell ref="B129:B132"/>
    <mergeCell ref="C129:C132"/>
    <mergeCell ref="D129:D132"/>
    <mergeCell ref="E129:G129"/>
    <mergeCell ref="E130:G130"/>
    <mergeCell ref="B15:B18"/>
    <mergeCell ref="B19:D19"/>
    <mergeCell ref="B20:B26"/>
    <mergeCell ref="B27:D27"/>
    <mergeCell ref="B28:B34"/>
    <mergeCell ref="B35:D35"/>
    <mergeCell ref="B36:B42"/>
    <mergeCell ref="B43:D43"/>
    <mergeCell ref="B44:B46"/>
    <mergeCell ref="A9:J9"/>
    <mergeCell ref="A11:A14"/>
    <mergeCell ref="B11:B14"/>
    <mergeCell ref="C11:C14"/>
    <mergeCell ref="D11:D14"/>
    <mergeCell ref="E11:G11"/>
    <mergeCell ref="E12:G12"/>
    <mergeCell ref="H12:J12"/>
    <mergeCell ref="H13:H14"/>
    <mergeCell ref="I13:I14"/>
    <mergeCell ref="J13:J14"/>
    <mergeCell ref="E14:G14"/>
    <mergeCell ref="B47:D47"/>
    <mergeCell ref="B86:B96"/>
    <mergeCell ref="B97:D97"/>
    <mergeCell ref="B99:D99"/>
    <mergeCell ref="B100:D100"/>
    <mergeCell ref="B48:D48"/>
    <mergeCell ref="B49:B52"/>
    <mergeCell ref="B53:D53"/>
    <mergeCell ref="B54:B62"/>
    <mergeCell ref="B63:D63"/>
    <mergeCell ref="B105:B108"/>
    <mergeCell ref="B64:D64"/>
    <mergeCell ref="B65:D65"/>
    <mergeCell ref="B66:B76"/>
    <mergeCell ref="B77:B84"/>
    <mergeCell ref="B85:D85"/>
    <mergeCell ref="B126:D126"/>
    <mergeCell ref="B127:D127"/>
    <mergeCell ref="B121:D121"/>
    <mergeCell ref="B122:B123"/>
    <mergeCell ref="B124:D124"/>
    <mergeCell ref="B125:D125"/>
    <mergeCell ref="B118:B120"/>
    <mergeCell ref="B109:D109"/>
    <mergeCell ref="B110:B111"/>
    <mergeCell ref="B112:D112"/>
    <mergeCell ref="B113:B116"/>
    <mergeCell ref="B117:D117"/>
    <mergeCell ref="B101:B103"/>
    <mergeCell ref="B104:D104"/>
  </mergeCells>
  <pageMargins left="0.19685039370078741" right="0.19685039370078741" top="0.19685039370078741" bottom="0.19685039370078741" header="0.19685039370078741" footer="0.19685039370078741"/>
  <pageSetup paperSize="9" scale="25" orientation="portrait" verticalDpi="300" r:id="rId1"/>
  <rowBreaks count="5" manualBreakCount="5">
    <brk id="127" max="9" man="1"/>
    <brk id="245" max="9" man="1"/>
    <brk id="363" max="9" man="1"/>
    <brk id="481" max="9" man="1"/>
    <brk id="599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Q405"/>
  <sheetViews>
    <sheetView view="pageBreakPreview" topLeftCell="A359" zoomScale="50" zoomScaleNormal="70" zoomScaleSheetLayoutView="50" workbookViewId="0">
      <selection activeCell="O348" sqref="O348"/>
    </sheetView>
  </sheetViews>
  <sheetFormatPr baseColWidth="10" defaultColWidth="9.140625" defaultRowHeight="16.5" x14ac:dyDescent="0.25"/>
  <cols>
    <col min="1" max="1" width="10.140625" style="229" customWidth="1"/>
    <col min="2" max="2" width="25" style="266" customWidth="1"/>
    <col min="3" max="3" width="70.5703125" style="266" customWidth="1"/>
    <col min="4" max="4" width="15.7109375" style="222" customWidth="1"/>
    <col min="5" max="5" width="18" style="222" customWidth="1"/>
    <col min="6" max="6" width="15.7109375" style="223" customWidth="1"/>
    <col min="7" max="7" width="17.42578125" style="222" customWidth="1"/>
    <col min="8" max="8" width="15.7109375" style="222" customWidth="1"/>
    <col min="9" max="9" width="18.42578125" style="224" customWidth="1"/>
    <col min="10" max="10" width="19" style="223" customWidth="1"/>
    <col min="11" max="11" width="19.140625" style="222" customWidth="1"/>
    <col min="12" max="12" width="15.7109375" style="222" customWidth="1"/>
    <col min="13" max="13" width="14.7109375" style="224" customWidth="1"/>
    <col min="14" max="14" width="17.5703125" style="224" customWidth="1"/>
    <col min="15" max="15" width="14.7109375" style="229" customWidth="1"/>
    <col min="16" max="17" width="33.140625" style="229" customWidth="1"/>
    <col min="18" max="16384" width="9.140625" style="229"/>
  </cols>
  <sheetData>
    <row r="7" spans="1:17" ht="67.150000000000006" customHeight="1" x14ac:dyDescent="0.25">
      <c r="A7" s="220" t="s">
        <v>0</v>
      </c>
    </row>
    <row r="9" spans="1:17" ht="81" customHeight="1" x14ac:dyDescent="0.25">
      <c r="A9" s="879" t="s">
        <v>493</v>
      </c>
      <c r="B9" s="879"/>
      <c r="C9" s="879"/>
      <c r="D9" s="879"/>
      <c r="E9" s="879"/>
      <c r="F9" s="879"/>
      <c r="G9" s="879"/>
      <c r="H9" s="879"/>
      <c r="I9" s="879"/>
      <c r="J9" s="879"/>
      <c r="K9" s="879"/>
      <c r="L9" s="879"/>
      <c r="M9" s="879"/>
      <c r="N9" s="879"/>
      <c r="O9" s="879"/>
      <c r="P9" s="879"/>
      <c r="Q9" s="879"/>
    </row>
    <row r="10" spans="1:17" ht="24.6" customHeight="1" thickBot="1" x14ac:dyDescent="0.3">
      <c r="A10" s="230"/>
      <c r="B10" s="230"/>
      <c r="C10" s="230"/>
      <c r="D10" s="232"/>
      <c r="E10" s="232"/>
      <c r="F10" s="232"/>
      <c r="G10" s="267"/>
      <c r="H10" s="267"/>
      <c r="I10" s="234"/>
      <c r="J10" s="232"/>
      <c r="K10" s="232"/>
      <c r="L10" s="232"/>
      <c r="M10" s="234"/>
      <c r="N10" s="234"/>
    </row>
    <row r="11" spans="1:17" ht="22.5" customHeight="1" x14ac:dyDescent="0.25">
      <c r="A11" s="935" t="s">
        <v>1</v>
      </c>
      <c r="B11" s="938" t="s">
        <v>2</v>
      </c>
      <c r="C11" s="941" t="s">
        <v>394</v>
      </c>
      <c r="D11" s="890" t="s">
        <v>4</v>
      </c>
      <c r="E11" s="891"/>
      <c r="F11" s="891"/>
      <c r="G11" s="891"/>
      <c r="H11" s="891"/>
      <c r="I11" s="891"/>
      <c r="J11" s="891"/>
      <c r="K11" s="891"/>
      <c r="L11" s="891"/>
      <c r="M11" s="891"/>
      <c r="N11" s="892"/>
      <c r="O11" s="909" t="s">
        <v>167</v>
      </c>
      <c r="P11" s="910"/>
      <c r="Q11" s="930"/>
    </row>
    <row r="12" spans="1:17" ht="22.5" customHeight="1" x14ac:dyDescent="0.25">
      <c r="A12" s="936"/>
      <c r="B12" s="939"/>
      <c r="C12" s="942"/>
      <c r="D12" s="893" t="s">
        <v>7</v>
      </c>
      <c r="E12" s="895" t="s">
        <v>108</v>
      </c>
      <c r="F12" s="931" t="s">
        <v>488</v>
      </c>
      <c r="G12" s="898"/>
      <c r="H12" s="898"/>
      <c r="I12" s="899"/>
      <c r="J12" s="900" t="s">
        <v>8</v>
      </c>
      <c r="K12" s="901"/>
      <c r="L12" s="902"/>
      <c r="M12" s="903" t="s">
        <v>165</v>
      </c>
      <c r="N12" s="905" t="s">
        <v>164</v>
      </c>
      <c r="O12" s="932" t="s">
        <v>169</v>
      </c>
      <c r="P12" s="933"/>
      <c r="Q12" s="934"/>
    </row>
    <row r="13" spans="1:17" ht="45.75" thickBot="1" x14ac:dyDescent="0.3">
      <c r="A13" s="937"/>
      <c r="B13" s="940"/>
      <c r="C13" s="943"/>
      <c r="D13" s="894"/>
      <c r="E13" s="896"/>
      <c r="F13" s="448" t="s">
        <v>13</v>
      </c>
      <c r="G13" s="449" t="s">
        <v>14</v>
      </c>
      <c r="H13" s="449" t="s">
        <v>15</v>
      </c>
      <c r="I13" s="450" t="s">
        <v>166</v>
      </c>
      <c r="J13" s="641" t="s">
        <v>13</v>
      </c>
      <c r="K13" s="639" t="s">
        <v>14</v>
      </c>
      <c r="L13" s="640" t="s">
        <v>15</v>
      </c>
      <c r="M13" s="904"/>
      <c r="N13" s="906"/>
      <c r="O13" s="440" t="s">
        <v>170</v>
      </c>
      <c r="P13" s="441" t="s">
        <v>11</v>
      </c>
      <c r="Q13" s="442" t="s">
        <v>12</v>
      </c>
    </row>
    <row r="14" spans="1:17" ht="24" x14ac:dyDescent="0.25">
      <c r="A14" s="268" t="s">
        <v>103</v>
      </c>
      <c r="B14" s="435"/>
      <c r="C14" s="269" t="s">
        <v>245</v>
      </c>
      <c r="D14" s="270"/>
      <c r="E14" s="271"/>
      <c r="F14" s="330">
        <f>+G14+H14</f>
        <v>0</v>
      </c>
      <c r="G14" s="272"/>
      <c r="H14" s="272"/>
      <c r="I14" s="349" t="str">
        <f>IFERROR(F14/#REF!,"-")</f>
        <v>-</v>
      </c>
      <c r="J14" s="453">
        <f>+K14+L14</f>
        <v>0</v>
      </c>
      <c r="K14" s="454">
        <f>+G14</f>
        <v>0</v>
      </c>
      <c r="L14" s="455">
        <f>+H14</f>
        <v>0</v>
      </c>
      <c r="M14" s="334" t="str">
        <f>IFERROR(J14/D14,"-")</f>
        <v>-</v>
      </c>
      <c r="N14" s="341" t="str">
        <f t="shared" ref="N14:N15" si="0">IFERROR(L14/J14,"-")</f>
        <v>-</v>
      </c>
      <c r="O14" s="503">
        <v>1.5669</v>
      </c>
      <c r="P14" s="398">
        <f>+O14*G14</f>
        <v>0</v>
      </c>
      <c r="Q14" s="443">
        <f>+O14*K14</f>
        <v>0</v>
      </c>
    </row>
    <row r="15" spans="1:17" ht="24" x14ac:dyDescent="0.25">
      <c r="A15" s="274" t="s">
        <v>103</v>
      </c>
      <c r="B15" s="434"/>
      <c r="C15" s="275" t="s">
        <v>244</v>
      </c>
      <c r="D15" s="276"/>
      <c r="E15" s="277"/>
      <c r="F15" s="331">
        <f t="shared" ref="F15:F18" si="1">+G15+H15</f>
        <v>0</v>
      </c>
      <c r="G15" s="679"/>
      <c r="H15" s="679"/>
      <c r="I15" s="350" t="str">
        <f>IFERROR(F15/#REF!,"-")</f>
        <v>-</v>
      </c>
      <c r="J15" s="331">
        <f t="shared" ref="J15:J18" si="2">+K15+L15</f>
        <v>0</v>
      </c>
      <c r="K15" s="278">
        <f t="shared" ref="K15:K18" si="3">+G15</f>
        <v>0</v>
      </c>
      <c r="L15" s="432">
        <f t="shared" ref="L15:L18" si="4">+H15</f>
        <v>0</v>
      </c>
      <c r="M15" s="335" t="str">
        <f t="shared" ref="M15:M18" si="5">IFERROR(J15/D15,"-")</f>
        <v>-</v>
      </c>
      <c r="N15" s="265" t="str">
        <f t="shared" si="0"/>
        <v>-</v>
      </c>
      <c r="O15" s="504">
        <v>2.3978999999999999</v>
      </c>
      <c r="P15" s="400">
        <f>+O15*G15</f>
        <v>0</v>
      </c>
      <c r="Q15" s="445">
        <f>+O15*K15</f>
        <v>0</v>
      </c>
    </row>
    <row r="16" spans="1:17" ht="24" x14ac:dyDescent="0.25">
      <c r="A16" s="274" t="s">
        <v>103</v>
      </c>
      <c r="B16" s="434"/>
      <c r="C16" s="275" t="s">
        <v>393</v>
      </c>
      <c r="D16" s="276"/>
      <c r="E16" s="277"/>
      <c r="F16" s="331">
        <f t="shared" si="1"/>
        <v>0</v>
      </c>
      <c r="G16" s="278"/>
      <c r="H16" s="679"/>
      <c r="I16" s="350" t="str">
        <f>IFERROR(F16/#REF!,"-")</f>
        <v>-</v>
      </c>
      <c r="J16" s="331">
        <f t="shared" si="2"/>
        <v>0</v>
      </c>
      <c r="K16" s="278">
        <f t="shared" si="3"/>
        <v>0</v>
      </c>
      <c r="L16" s="432">
        <f t="shared" si="4"/>
        <v>0</v>
      </c>
      <c r="M16" s="335" t="str">
        <f t="shared" si="5"/>
        <v>-</v>
      </c>
      <c r="N16" s="676" t="str">
        <f>IFERROR(L16/J16,"-")</f>
        <v>-</v>
      </c>
      <c r="O16" s="678">
        <v>3.6777000000000002</v>
      </c>
      <c r="P16" s="400">
        <f t="shared" ref="P16:P18" si="6">+O16*G16</f>
        <v>0</v>
      </c>
      <c r="Q16" s="445">
        <f t="shared" ref="Q16:Q18" si="7">+O16*K16</f>
        <v>0</v>
      </c>
    </row>
    <row r="17" spans="1:17" ht="24" x14ac:dyDescent="0.25">
      <c r="A17" s="274"/>
      <c r="B17" s="447"/>
      <c r="C17" s="275" t="s">
        <v>317</v>
      </c>
      <c r="D17" s="280"/>
      <c r="E17" s="281"/>
      <c r="F17" s="331">
        <f t="shared" si="1"/>
        <v>0</v>
      </c>
      <c r="G17" s="282"/>
      <c r="H17" s="282"/>
      <c r="I17" s="350" t="str">
        <f>IFERROR(F17/#REF!,"-")</f>
        <v>-</v>
      </c>
      <c r="J17" s="331">
        <f t="shared" si="2"/>
        <v>0</v>
      </c>
      <c r="K17" s="278">
        <f t="shared" si="3"/>
        <v>0</v>
      </c>
      <c r="L17" s="432">
        <f t="shared" si="4"/>
        <v>0</v>
      </c>
      <c r="M17" s="335" t="str">
        <f t="shared" si="5"/>
        <v>-</v>
      </c>
      <c r="N17" s="265" t="str">
        <f>IFERROR(L17/J17,"-")</f>
        <v>-</v>
      </c>
      <c r="O17" s="505">
        <v>12.284700000000001</v>
      </c>
      <c r="P17" s="400">
        <f t="shared" si="6"/>
        <v>0</v>
      </c>
      <c r="Q17" s="445">
        <f t="shared" si="7"/>
        <v>0</v>
      </c>
    </row>
    <row r="18" spans="1:17" ht="24.75" thickBot="1" x14ac:dyDescent="0.3">
      <c r="A18" s="274" t="s">
        <v>103</v>
      </c>
      <c r="B18" s="447"/>
      <c r="C18" s="275" t="s">
        <v>363</v>
      </c>
      <c r="D18" s="280"/>
      <c r="E18" s="281"/>
      <c r="F18" s="332">
        <f t="shared" si="1"/>
        <v>0</v>
      </c>
      <c r="G18" s="282"/>
      <c r="H18" s="282"/>
      <c r="I18" s="351" t="str">
        <f>IFERROR(F18/#REF!,"-")</f>
        <v>-</v>
      </c>
      <c r="J18" s="456">
        <f t="shared" si="2"/>
        <v>0</v>
      </c>
      <c r="K18" s="457">
        <f t="shared" si="3"/>
        <v>0</v>
      </c>
      <c r="L18" s="458">
        <f t="shared" si="4"/>
        <v>0</v>
      </c>
      <c r="M18" s="336" t="str">
        <f t="shared" si="5"/>
        <v>-</v>
      </c>
      <c r="N18" s="342" t="str">
        <f t="shared" ref="N18:N30" si="8">IFERROR(L18/J18,"-")</f>
        <v>-</v>
      </c>
      <c r="O18" s="678">
        <v>7.0612000000000004</v>
      </c>
      <c r="P18" s="401">
        <f t="shared" si="6"/>
        <v>0</v>
      </c>
      <c r="Q18" s="446">
        <f t="shared" si="7"/>
        <v>0</v>
      </c>
    </row>
    <row r="19" spans="1:17" ht="23.25" customHeight="1" thickBot="1" x14ac:dyDescent="0.3">
      <c r="A19" s="274" t="s">
        <v>103</v>
      </c>
      <c r="B19" s="923" t="s">
        <v>21</v>
      </c>
      <c r="C19" s="878"/>
      <c r="D19" s="319">
        <f>SUM(D14:D18)</f>
        <v>0</v>
      </c>
      <c r="E19" s="284">
        <v>15000</v>
      </c>
      <c r="F19" s="319">
        <f>SUM(F14:F18)</f>
        <v>0</v>
      </c>
      <c r="G19" s="320">
        <f>SUM(G14:G18)</f>
        <v>0</v>
      </c>
      <c r="H19" s="320">
        <f>SUM(H14:H18)</f>
        <v>0</v>
      </c>
      <c r="I19" s="343" t="str">
        <f>IFERROR(F19/#REF!,"-")</f>
        <v>-</v>
      </c>
      <c r="J19" s="319">
        <f>SUM(J14:J18)</f>
        <v>0</v>
      </c>
      <c r="K19" s="320">
        <f>SUM(K14:K18)</f>
        <v>0</v>
      </c>
      <c r="L19" s="321">
        <f>SUM(L14:L18)</f>
        <v>0</v>
      </c>
      <c r="M19" s="337" t="str">
        <f>IFERROR(J19/D19,"-")</f>
        <v>-</v>
      </c>
      <c r="N19" s="343" t="str">
        <f t="shared" si="8"/>
        <v>-</v>
      </c>
      <c r="O19" s="387"/>
      <c r="P19" s="402">
        <f>SUM(P14:P18)</f>
        <v>0</v>
      </c>
      <c r="Q19" s="421">
        <f>SUM(Q14:Q18)</f>
        <v>0</v>
      </c>
    </row>
    <row r="20" spans="1:17" ht="24" x14ac:dyDescent="0.25">
      <c r="A20" s="274" t="s">
        <v>103</v>
      </c>
      <c r="B20" s="435"/>
      <c r="C20" s="269" t="s">
        <v>243</v>
      </c>
      <c r="D20" s="270"/>
      <c r="E20" s="271"/>
      <c r="F20" s="330">
        <f t="shared" ref="F20:F26" si="9">+G20+H20</f>
        <v>0</v>
      </c>
      <c r="G20" s="272"/>
      <c r="H20" s="272"/>
      <c r="I20" s="349" t="str">
        <f>IFERROR(F20/#REF!,"-")</f>
        <v>-</v>
      </c>
      <c r="J20" s="453">
        <f t="shared" ref="J20:J26" si="10">+K20+L20</f>
        <v>0</v>
      </c>
      <c r="K20" s="454">
        <f t="shared" ref="K20:K26" si="11">+G20</f>
        <v>0</v>
      </c>
      <c r="L20" s="455">
        <f t="shared" ref="L20:L26" si="12">+H20</f>
        <v>0</v>
      </c>
      <c r="M20" s="334" t="str">
        <f t="shared" ref="M20:M28" si="13">IFERROR(J20/D20,"-")</f>
        <v>-</v>
      </c>
      <c r="N20" s="344" t="str">
        <f t="shared" si="8"/>
        <v>-</v>
      </c>
      <c r="O20" s="503">
        <v>18.2316</v>
      </c>
      <c r="P20" s="398">
        <f t="shared" ref="P20:P26" si="14">+O20*G20</f>
        <v>0</v>
      </c>
      <c r="Q20" s="443">
        <f t="shared" ref="Q20:Q26" si="15">+O20*K20</f>
        <v>0</v>
      </c>
    </row>
    <row r="21" spans="1:17" ht="24" x14ac:dyDescent="0.25">
      <c r="A21" s="274" t="s">
        <v>103</v>
      </c>
      <c r="B21" s="434"/>
      <c r="C21" s="275" t="s">
        <v>89</v>
      </c>
      <c r="D21" s="276"/>
      <c r="E21" s="277"/>
      <c r="F21" s="331">
        <f t="shared" si="9"/>
        <v>0</v>
      </c>
      <c r="G21" s="278"/>
      <c r="H21" s="278"/>
      <c r="I21" s="350" t="str">
        <f>IFERROR(F21/#REF!,"-")</f>
        <v>-</v>
      </c>
      <c r="J21" s="331">
        <f t="shared" si="10"/>
        <v>0</v>
      </c>
      <c r="K21" s="278">
        <f t="shared" si="11"/>
        <v>0</v>
      </c>
      <c r="L21" s="432">
        <f t="shared" si="12"/>
        <v>0</v>
      </c>
      <c r="M21" s="335" t="str">
        <f t="shared" si="13"/>
        <v>-</v>
      </c>
      <c r="N21" s="263" t="str">
        <f t="shared" si="8"/>
        <v>-</v>
      </c>
      <c r="O21" s="504">
        <v>1.2824</v>
      </c>
      <c r="P21" s="400">
        <f t="shared" si="14"/>
        <v>0</v>
      </c>
      <c r="Q21" s="445">
        <f t="shared" si="15"/>
        <v>0</v>
      </c>
    </row>
    <row r="22" spans="1:17" ht="24" x14ac:dyDescent="0.25">
      <c r="A22" s="274" t="s">
        <v>103</v>
      </c>
      <c r="B22" s="434"/>
      <c r="C22" s="275" t="s">
        <v>299</v>
      </c>
      <c r="D22" s="276"/>
      <c r="E22" s="277"/>
      <c r="F22" s="331">
        <f t="shared" si="9"/>
        <v>0</v>
      </c>
      <c r="G22" s="278"/>
      <c r="H22" s="278"/>
      <c r="I22" s="350" t="str">
        <f>IFERROR(F22/#REF!,"-")</f>
        <v>-</v>
      </c>
      <c r="J22" s="331">
        <f t="shared" si="10"/>
        <v>0</v>
      </c>
      <c r="K22" s="278">
        <f t="shared" si="11"/>
        <v>0</v>
      </c>
      <c r="L22" s="432">
        <f t="shared" si="12"/>
        <v>0</v>
      </c>
      <c r="M22" s="335" t="str">
        <f t="shared" si="13"/>
        <v>-</v>
      </c>
      <c r="N22" s="263" t="str">
        <f t="shared" si="8"/>
        <v>-</v>
      </c>
      <c r="O22" s="670">
        <v>5.7342000000000004</v>
      </c>
      <c r="P22" s="400">
        <f t="shared" si="14"/>
        <v>0</v>
      </c>
      <c r="Q22" s="445">
        <f t="shared" si="15"/>
        <v>0</v>
      </c>
    </row>
    <row r="23" spans="1:17" ht="24" x14ac:dyDescent="0.25">
      <c r="A23" s="274" t="s">
        <v>103</v>
      </c>
      <c r="B23" s="434"/>
      <c r="C23" s="275" t="s">
        <v>313</v>
      </c>
      <c r="D23" s="276"/>
      <c r="E23" s="277"/>
      <c r="F23" s="331">
        <f t="shared" si="9"/>
        <v>0</v>
      </c>
      <c r="G23" s="278"/>
      <c r="H23" s="278"/>
      <c r="I23" s="350" t="str">
        <f>IFERROR(F23/#REF!,"-")</f>
        <v>-</v>
      </c>
      <c r="J23" s="331">
        <f t="shared" si="10"/>
        <v>0</v>
      </c>
      <c r="K23" s="278">
        <f t="shared" si="11"/>
        <v>0</v>
      </c>
      <c r="L23" s="432">
        <f t="shared" si="12"/>
        <v>0</v>
      </c>
      <c r="M23" s="335" t="str">
        <f t="shared" si="13"/>
        <v>-</v>
      </c>
      <c r="N23" s="263" t="str">
        <f t="shared" si="8"/>
        <v>-</v>
      </c>
      <c r="O23" s="504"/>
      <c r="P23" s="400">
        <f t="shared" si="14"/>
        <v>0</v>
      </c>
      <c r="Q23" s="445">
        <f t="shared" si="15"/>
        <v>0</v>
      </c>
    </row>
    <row r="24" spans="1:17" ht="24" x14ac:dyDescent="0.25">
      <c r="A24" s="274" t="s">
        <v>103</v>
      </c>
      <c r="B24" s="434"/>
      <c r="C24" s="275" t="s">
        <v>318</v>
      </c>
      <c r="D24" s="276"/>
      <c r="E24" s="277"/>
      <c r="F24" s="331">
        <f t="shared" si="9"/>
        <v>0</v>
      </c>
      <c r="G24" s="278"/>
      <c r="H24" s="278"/>
      <c r="I24" s="350" t="str">
        <f>IFERROR(F24/#REF!,"-")</f>
        <v>-</v>
      </c>
      <c r="J24" s="331">
        <f t="shared" si="10"/>
        <v>0</v>
      </c>
      <c r="K24" s="278">
        <f t="shared" si="11"/>
        <v>0</v>
      </c>
      <c r="L24" s="432">
        <f t="shared" si="12"/>
        <v>0</v>
      </c>
      <c r="M24" s="335" t="str">
        <f t="shared" si="13"/>
        <v>-</v>
      </c>
      <c r="N24" s="263" t="str">
        <f t="shared" si="8"/>
        <v>-</v>
      </c>
      <c r="O24" s="504">
        <v>12.029500000000001</v>
      </c>
      <c r="P24" s="400">
        <f t="shared" si="14"/>
        <v>0</v>
      </c>
      <c r="Q24" s="445">
        <f t="shared" si="15"/>
        <v>0</v>
      </c>
    </row>
    <row r="25" spans="1:17" ht="24" x14ac:dyDescent="0.25">
      <c r="A25" s="274" t="s">
        <v>103</v>
      </c>
      <c r="B25" s="434"/>
      <c r="C25" s="275"/>
      <c r="D25" s="276"/>
      <c r="E25" s="277"/>
      <c r="F25" s="331">
        <f t="shared" si="9"/>
        <v>0</v>
      </c>
      <c r="G25" s="278"/>
      <c r="H25" s="278"/>
      <c r="I25" s="350" t="str">
        <f>IFERROR(F25/#REF!,"-")</f>
        <v>-</v>
      </c>
      <c r="J25" s="331">
        <f t="shared" si="10"/>
        <v>0</v>
      </c>
      <c r="K25" s="278">
        <f t="shared" si="11"/>
        <v>0</v>
      </c>
      <c r="L25" s="432">
        <f t="shared" si="12"/>
        <v>0</v>
      </c>
      <c r="M25" s="335" t="str">
        <f t="shared" si="13"/>
        <v>-</v>
      </c>
      <c r="N25" s="263" t="str">
        <f t="shared" si="8"/>
        <v>-</v>
      </c>
      <c r="O25" s="504"/>
      <c r="P25" s="400">
        <f t="shared" si="14"/>
        <v>0</v>
      </c>
      <c r="Q25" s="445">
        <f t="shared" si="15"/>
        <v>0</v>
      </c>
    </row>
    <row r="26" spans="1:17" ht="24.75" thickBot="1" x14ac:dyDescent="0.3">
      <c r="A26" s="274" t="s">
        <v>103</v>
      </c>
      <c r="B26" s="447"/>
      <c r="C26" s="279"/>
      <c r="D26" s="280">
        <v>0</v>
      </c>
      <c r="E26" s="281"/>
      <c r="F26" s="332">
        <f t="shared" si="9"/>
        <v>0</v>
      </c>
      <c r="G26" s="282"/>
      <c r="H26" s="282"/>
      <c r="I26" s="351" t="str">
        <f>IFERROR(F26/#REF!,"-")</f>
        <v>-</v>
      </c>
      <c r="J26" s="456">
        <f t="shared" si="10"/>
        <v>0</v>
      </c>
      <c r="K26" s="457">
        <f t="shared" si="11"/>
        <v>0</v>
      </c>
      <c r="L26" s="458">
        <f t="shared" si="12"/>
        <v>0</v>
      </c>
      <c r="M26" s="336" t="str">
        <f t="shared" si="13"/>
        <v>-</v>
      </c>
      <c r="N26" s="345" t="str">
        <f t="shared" si="8"/>
        <v>-</v>
      </c>
      <c r="O26" s="505"/>
      <c r="P26" s="401">
        <f t="shared" si="14"/>
        <v>0</v>
      </c>
      <c r="Q26" s="446">
        <f t="shared" si="15"/>
        <v>0</v>
      </c>
    </row>
    <row r="27" spans="1:17" ht="23.25" customHeight="1" thickBot="1" x14ac:dyDescent="0.3">
      <c r="A27" s="274" t="s">
        <v>103</v>
      </c>
      <c r="B27" s="923" t="s">
        <v>25</v>
      </c>
      <c r="C27" s="878"/>
      <c r="D27" s="319">
        <f t="shared" ref="D27" si="16">SUM(D20:D26)</f>
        <v>0</v>
      </c>
      <c r="E27" s="284">
        <v>100000</v>
      </c>
      <c r="F27" s="319">
        <f>SUM(F20:F26)</f>
        <v>0</v>
      </c>
      <c r="G27" s="320">
        <f t="shared" ref="G27:H27" si="17">SUM(G20:G26)</f>
        <v>0</v>
      </c>
      <c r="H27" s="320">
        <f t="shared" si="17"/>
        <v>0</v>
      </c>
      <c r="I27" s="343" t="str">
        <f>IFERROR(F27/#REF!,"-")</f>
        <v>-</v>
      </c>
      <c r="J27" s="319">
        <f t="shared" ref="J27:L27" si="18">SUM(J20:J26)</f>
        <v>0</v>
      </c>
      <c r="K27" s="320">
        <f t="shared" si="18"/>
        <v>0</v>
      </c>
      <c r="L27" s="321">
        <f t="shared" si="18"/>
        <v>0</v>
      </c>
      <c r="M27" s="337" t="str">
        <f t="shared" si="13"/>
        <v>-</v>
      </c>
      <c r="N27" s="343" t="str">
        <f t="shared" si="8"/>
        <v>-</v>
      </c>
      <c r="O27" s="387"/>
      <c r="P27" s="402">
        <f t="shared" ref="P27:Q27" si="19">SUM(P20:P26)</f>
        <v>0</v>
      </c>
      <c r="Q27" s="421">
        <f t="shared" si="19"/>
        <v>0</v>
      </c>
    </row>
    <row r="28" spans="1:17" ht="23.25" customHeight="1" thickBot="1" x14ac:dyDescent="0.3">
      <c r="A28" s="274" t="s">
        <v>103</v>
      </c>
      <c r="B28" s="925" t="s">
        <v>172</v>
      </c>
      <c r="C28" s="926"/>
      <c r="D28" s="324">
        <f>+D19+D27</f>
        <v>0</v>
      </c>
      <c r="E28" s="325">
        <f t="shared" ref="E28:H28" si="20">+E19+E27</f>
        <v>115000</v>
      </c>
      <c r="F28" s="324">
        <f t="shared" si="20"/>
        <v>0</v>
      </c>
      <c r="G28" s="322">
        <f t="shared" si="20"/>
        <v>0</v>
      </c>
      <c r="H28" s="322">
        <f t="shared" si="20"/>
        <v>0</v>
      </c>
      <c r="I28" s="347" t="str">
        <f>IFERROR(F28/#REF!,"-")</f>
        <v>-</v>
      </c>
      <c r="J28" s="324">
        <f t="shared" ref="J28:L28" si="21">+J19+J27</f>
        <v>0</v>
      </c>
      <c r="K28" s="322">
        <f t="shared" si="21"/>
        <v>0</v>
      </c>
      <c r="L28" s="323">
        <f t="shared" si="21"/>
        <v>0</v>
      </c>
      <c r="M28" s="339" t="str">
        <f t="shared" si="13"/>
        <v>-</v>
      </c>
      <c r="N28" s="347" t="str">
        <f t="shared" si="8"/>
        <v>-</v>
      </c>
      <c r="O28" s="390"/>
      <c r="P28" s="406">
        <f t="shared" ref="P28:Q28" si="22">+P19+P27</f>
        <v>0</v>
      </c>
      <c r="Q28" s="424">
        <f t="shared" si="22"/>
        <v>0</v>
      </c>
    </row>
    <row r="29" spans="1:17" ht="24" x14ac:dyDescent="0.25">
      <c r="A29" s="244" t="s">
        <v>101</v>
      </c>
      <c r="B29" s="574"/>
      <c r="C29" s="575" t="s">
        <v>282</v>
      </c>
      <c r="D29" s="522"/>
      <c r="E29" s="455"/>
      <c r="F29" s="453">
        <f>+G29+H29</f>
        <v>0</v>
      </c>
      <c r="G29" s="454"/>
      <c r="H29" s="454"/>
      <c r="I29" s="526" t="str">
        <f>IFERROR(F29/#REF!,"-")</f>
        <v>-</v>
      </c>
      <c r="J29" s="453">
        <f>+K29+L29</f>
        <v>0</v>
      </c>
      <c r="K29" s="454">
        <f t="shared" ref="K29:K35" si="23">+G29</f>
        <v>0</v>
      </c>
      <c r="L29" s="455">
        <f t="shared" ref="L29:L35" si="24">+H29</f>
        <v>0</v>
      </c>
      <c r="M29" s="579" t="str">
        <f>IFERROR(J29/D29,"-")</f>
        <v>-</v>
      </c>
      <c r="N29" s="528" t="str">
        <f t="shared" si="8"/>
        <v>-</v>
      </c>
      <c r="O29" s="617">
        <v>4.8285999999999998</v>
      </c>
      <c r="P29" s="529">
        <f t="shared" ref="P29:P35" si="25">+O29*G29</f>
        <v>0</v>
      </c>
      <c r="Q29" s="530">
        <f t="shared" ref="Q29:Q35" si="26">+O29*K29</f>
        <v>0</v>
      </c>
    </row>
    <row r="30" spans="1:17" ht="24" x14ac:dyDescent="0.25">
      <c r="A30" s="248" t="s">
        <v>101</v>
      </c>
      <c r="B30" s="576"/>
      <c r="C30" s="275" t="s">
        <v>283</v>
      </c>
      <c r="D30" s="276"/>
      <c r="E30" s="432"/>
      <c r="F30" s="331">
        <f t="shared" ref="F30:F35" si="27">+G30+H30</f>
        <v>0</v>
      </c>
      <c r="G30" s="278"/>
      <c r="H30" s="278"/>
      <c r="I30" s="350" t="str">
        <f>IFERROR(F30/#REF!,"-")</f>
        <v>-</v>
      </c>
      <c r="J30" s="331">
        <f t="shared" ref="J30:J35" si="28">+K30+L30</f>
        <v>0</v>
      </c>
      <c r="K30" s="278">
        <f t="shared" si="23"/>
        <v>0</v>
      </c>
      <c r="L30" s="432">
        <f t="shared" si="24"/>
        <v>0</v>
      </c>
      <c r="M30" s="335" t="str">
        <f t="shared" ref="M30:M32" si="29">IFERROR(J30/D30,"-")</f>
        <v>-</v>
      </c>
      <c r="N30" s="265" t="str">
        <f t="shared" si="8"/>
        <v>-</v>
      </c>
      <c r="O30" s="618">
        <v>1.4086000000000001</v>
      </c>
      <c r="P30" s="400">
        <f t="shared" si="25"/>
        <v>0</v>
      </c>
      <c r="Q30" s="445">
        <f t="shared" si="26"/>
        <v>0</v>
      </c>
    </row>
    <row r="31" spans="1:17" ht="24" x14ac:dyDescent="0.25">
      <c r="A31" s="248" t="s">
        <v>101</v>
      </c>
      <c r="B31" s="576"/>
      <c r="C31" s="275" t="s">
        <v>314</v>
      </c>
      <c r="D31" s="276"/>
      <c r="E31" s="432"/>
      <c r="F31" s="331">
        <f t="shared" si="27"/>
        <v>0</v>
      </c>
      <c r="G31" s="278"/>
      <c r="H31" s="278"/>
      <c r="I31" s="350" t="str">
        <f>IFERROR(F31/#REF!,"-")</f>
        <v>-</v>
      </c>
      <c r="J31" s="331">
        <f t="shared" si="28"/>
        <v>0</v>
      </c>
      <c r="K31" s="278">
        <f t="shared" si="23"/>
        <v>0</v>
      </c>
      <c r="L31" s="432">
        <f t="shared" si="24"/>
        <v>0</v>
      </c>
      <c r="M31" s="335" t="str">
        <f t="shared" si="29"/>
        <v>-</v>
      </c>
      <c r="N31" s="265" t="str">
        <f>IFERROR(L31/J31,"-")</f>
        <v>-</v>
      </c>
      <c r="O31" s="618">
        <v>2.2141000000000002</v>
      </c>
      <c r="P31" s="400">
        <f t="shared" si="25"/>
        <v>0</v>
      </c>
      <c r="Q31" s="445">
        <f t="shared" si="26"/>
        <v>0</v>
      </c>
    </row>
    <row r="32" spans="1:17" ht="24" x14ac:dyDescent="0.25">
      <c r="A32" s="248" t="s">
        <v>101</v>
      </c>
      <c r="B32" s="577"/>
      <c r="C32" s="275" t="s">
        <v>442</v>
      </c>
      <c r="D32" s="280"/>
      <c r="E32" s="523"/>
      <c r="F32" s="332">
        <f>+G32+H32</f>
        <v>101588</v>
      </c>
      <c r="G32" s="282">
        <v>100000</v>
      </c>
      <c r="H32" s="282">
        <v>1588</v>
      </c>
      <c r="I32" s="351" t="str">
        <f>IFERROR(F32/#REF!,"-")</f>
        <v>-</v>
      </c>
      <c r="J32" s="331">
        <f t="shared" si="28"/>
        <v>101588</v>
      </c>
      <c r="K32" s="278">
        <f>+G32</f>
        <v>100000</v>
      </c>
      <c r="L32" s="432">
        <f>+H32</f>
        <v>1588</v>
      </c>
      <c r="M32" s="336" t="str">
        <f t="shared" si="29"/>
        <v>-</v>
      </c>
      <c r="N32" s="342">
        <f t="shared" ref="N32:N39" si="30">IFERROR(L32/J32,"-")</f>
        <v>1.5631767531598222E-2</v>
      </c>
      <c r="O32" s="618">
        <v>2.2141000000000002</v>
      </c>
      <c r="P32" s="401">
        <f>+O32*G32</f>
        <v>221410.00000000003</v>
      </c>
      <c r="Q32" s="446">
        <f t="shared" si="26"/>
        <v>221410.00000000003</v>
      </c>
    </row>
    <row r="33" spans="1:17" ht="24" x14ac:dyDescent="0.25">
      <c r="A33" s="248" t="s">
        <v>101</v>
      </c>
      <c r="B33" s="436"/>
      <c r="C33" s="616" t="s">
        <v>351</v>
      </c>
      <c r="D33" s="506"/>
      <c r="E33" s="524"/>
      <c r="F33" s="331">
        <f t="shared" si="27"/>
        <v>0</v>
      </c>
      <c r="G33" s="540"/>
      <c r="H33" s="540"/>
      <c r="I33" s="350" t="str">
        <f>IFERROR(F33/#REF!,"-")</f>
        <v>-</v>
      </c>
      <c r="J33" s="331">
        <f t="shared" si="28"/>
        <v>0</v>
      </c>
      <c r="K33" s="278">
        <f t="shared" si="23"/>
        <v>0</v>
      </c>
      <c r="L33" s="432">
        <f t="shared" si="24"/>
        <v>0</v>
      </c>
      <c r="M33" s="643"/>
      <c r="N33" s="265" t="str">
        <f t="shared" si="30"/>
        <v>-</v>
      </c>
      <c r="O33" s="535">
        <v>4.8285999999999998</v>
      </c>
      <c r="P33" s="400">
        <f t="shared" si="25"/>
        <v>0</v>
      </c>
      <c r="Q33" s="445">
        <f t="shared" si="26"/>
        <v>0</v>
      </c>
    </row>
    <row r="34" spans="1:17" ht="24" x14ac:dyDescent="0.25">
      <c r="A34" s="248" t="s">
        <v>101</v>
      </c>
      <c r="B34" s="578"/>
      <c r="C34" s="616" t="s">
        <v>347</v>
      </c>
      <c r="D34" s="270"/>
      <c r="E34" s="431"/>
      <c r="F34" s="330">
        <f t="shared" si="27"/>
        <v>0</v>
      </c>
      <c r="G34" s="272"/>
      <c r="H34" s="272"/>
      <c r="I34" s="349" t="str">
        <f>IFERROR(F34/#REF!,"-")</f>
        <v>-</v>
      </c>
      <c r="J34" s="331">
        <f t="shared" si="28"/>
        <v>0</v>
      </c>
      <c r="K34" s="278">
        <f t="shared" si="23"/>
        <v>0</v>
      </c>
      <c r="L34" s="432">
        <f t="shared" si="24"/>
        <v>0</v>
      </c>
      <c r="M34" s="334" t="str">
        <f t="shared" ref="M34:M35" si="31">IFERROR(J34/D34,"-")</f>
        <v>-</v>
      </c>
      <c r="N34" s="344" t="str">
        <f t="shared" si="30"/>
        <v>-</v>
      </c>
      <c r="O34" s="503">
        <v>4.1712999999999996</v>
      </c>
      <c r="P34" s="398">
        <f t="shared" si="25"/>
        <v>0</v>
      </c>
      <c r="Q34" s="443">
        <f t="shared" si="26"/>
        <v>0</v>
      </c>
    </row>
    <row r="35" spans="1:17" ht="24.75" thickBot="1" x14ac:dyDescent="0.3">
      <c r="A35" s="248" t="s">
        <v>101</v>
      </c>
      <c r="B35" s="576"/>
      <c r="C35" s="275"/>
      <c r="D35" s="276"/>
      <c r="E35" s="432"/>
      <c r="F35" s="331">
        <f t="shared" si="27"/>
        <v>0</v>
      </c>
      <c r="G35" s="278"/>
      <c r="H35" s="278"/>
      <c r="I35" s="350" t="str">
        <f>IFERROR(F35/#REF!,"-")</f>
        <v>-</v>
      </c>
      <c r="J35" s="456">
        <f t="shared" si="28"/>
        <v>0</v>
      </c>
      <c r="K35" s="457">
        <f t="shared" si="23"/>
        <v>0</v>
      </c>
      <c r="L35" s="458">
        <f t="shared" si="24"/>
        <v>0</v>
      </c>
      <c r="M35" s="335" t="str">
        <f t="shared" si="31"/>
        <v>-</v>
      </c>
      <c r="N35" s="263" t="str">
        <f t="shared" si="30"/>
        <v>-</v>
      </c>
      <c r="O35" s="444"/>
      <c r="P35" s="400">
        <f t="shared" si="25"/>
        <v>0</v>
      </c>
      <c r="Q35" s="445">
        <f t="shared" si="26"/>
        <v>0</v>
      </c>
    </row>
    <row r="36" spans="1:17" ht="23.25" customHeight="1" thickBot="1" x14ac:dyDescent="0.3">
      <c r="A36" s="274" t="s">
        <v>101</v>
      </c>
      <c r="B36" s="923" t="s">
        <v>21</v>
      </c>
      <c r="C36" s="878"/>
      <c r="D36" s="319">
        <v>0</v>
      </c>
      <c r="E36" s="284">
        <v>15000</v>
      </c>
      <c r="F36" s="319">
        <f>SUM(F29:F35)</f>
        <v>101588</v>
      </c>
      <c r="G36" s="320">
        <f t="shared" ref="G36:H36" si="32">SUM(G29:G35)</f>
        <v>100000</v>
      </c>
      <c r="H36" s="320">
        <f t="shared" si="32"/>
        <v>1588</v>
      </c>
      <c r="I36" s="343" t="str">
        <f>IFERROR(F36/#REF!,"-")</f>
        <v>-</v>
      </c>
      <c r="J36" s="509">
        <f t="shared" ref="J36" si="33">SUM(J29:J35)</f>
        <v>101588</v>
      </c>
      <c r="K36" s="515">
        <f>SUM(K29:K35)</f>
        <v>100000</v>
      </c>
      <c r="L36" s="515">
        <f>SUM(L29:L35)</f>
        <v>1588</v>
      </c>
      <c r="M36" s="337" t="str">
        <f>IFERROR(J36/D36,"-")</f>
        <v>-</v>
      </c>
      <c r="N36" s="343">
        <f t="shared" si="30"/>
        <v>1.5631767531598222E-2</v>
      </c>
      <c r="O36" s="387"/>
      <c r="P36" s="402">
        <f>SUM(P29:P35)</f>
        <v>221410.00000000003</v>
      </c>
      <c r="Q36" s="421">
        <f>SUM(Q29:Q35)</f>
        <v>221410.00000000003</v>
      </c>
    </row>
    <row r="37" spans="1:17" ht="23.25" customHeight="1" thickBot="1" x14ac:dyDescent="0.3">
      <c r="A37" s="274" t="s">
        <v>101</v>
      </c>
      <c r="B37" s="925" t="s">
        <v>247</v>
      </c>
      <c r="C37" s="926"/>
      <c r="D37" s="508">
        <f>+D33+D36</f>
        <v>0</v>
      </c>
      <c r="E37" s="520">
        <f>+E33+E36</f>
        <v>15000</v>
      </c>
      <c r="F37" s="508">
        <f>+F33+F36</f>
        <v>101588</v>
      </c>
      <c r="G37" s="510">
        <f>+G33+G36</f>
        <v>100000</v>
      </c>
      <c r="H37" s="510">
        <f>+H33+H36</f>
        <v>1588</v>
      </c>
      <c r="I37" s="511" t="str">
        <f>IFERROR(F37/#REF!,"-")</f>
        <v>-</v>
      </c>
      <c r="J37" s="508">
        <f>+J33+J36</f>
        <v>101588</v>
      </c>
      <c r="K37" s="510">
        <f>+K36</f>
        <v>100000</v>
      </c>
      <c r="L37" s="510">
        <f>+L36</f>
        <v>1588</v>
      </c>
      <c r="M37" s="512" t="str">
        <f t="shared" ref="M37" si="34">IFERROR(J37/D37,"-")</f>
        <v>-</v>
      </c>
      <c r="N37" s="511">
        <f t="shared" si="30"/>
        <v>1.5631767531598222E-2</v>
      </c>
      <c r="O37" s="513"/>
      <c r="P37" s="514">
        <f>+P36</f>
        <v>221410.00000000003</v>
      </c>
      <c r="Q37" s="514">
        <f>+Q36</f>
        <v>221410.00000000003</v>
      </c>
    </row>
    <row r="38" spans="1:17" ht="24" x14ac:dyDescent="0.35">
      <c r="A38" s="244" t="s">
        <v>101</v>
      </c>
      <c r="B38" s="927" t="s">
        <v>249</v>
      </c>
      <c r="C38" s="536" t="s">
        <v>71</v>
      </c>
      <c r="D38" s="522"/>
      <c r="E38" s="455"/>
      <c r="F38" s="453">
        <f>+G38+H38</f>
        <v>0</v>
      </c>
      <c r="G38" s="454"/>
      <c r="H38" s="454"/>
      <c r="I38" s="526" t="str">
        <f>IFERROR(F38/#REF!,"-")</f>
        <v>-</v>
      </c>
      <c r="J38" s="453">
        <f>+K38+L38</f>
        <v>0</v>
      </c>
      <c r="K38" s="454">
        <f t="shared" ref="K38:K71" si="35">+G38</f>
        <v>0</v>
      </c>
      <c r="L38" s="455">
        <f t="shared" ref="L38:L71" si="36">+H38</f>
        <v>0</v>
      </c>
      <c r="M38" s="579" t="str">
        <f>IFERROR(J38/D38,"-")</f>
        <v>-</v>
      </c>
      <c r="N38" s="528" t="str">
        <f t="shared" si="30"/>
        <v>-</v>
      </c>
      <c r="O38" s="533">
        <v>32.946300000000001</v>
      </c>
      <c r="P38" s="529">
        <f t="shared" ref="P38:P71" si="37">+O38*G38</f>
        <v>0</v>
      </c>
      <c r="Q38" s="530">
        <f t="shared" ref="Q38:Q71" si="38">+O38*K38</f>
        <v>0</v>
      </c>
    </row>
    <row r="39" spans="1:17" ht="24" x14ac:dyDescent="0.35">
      <c r="A39" s="248" t="s">
        <v>101</v>
      </c>
      <c r="B39" s="928"/>
      <c r="C39" s="537" t="s">
        <v>72</v>
      </c>
      <c r="D39" s="507"/>
      <c r="E39" s="432"/>
      <c r="F39" s="331">
        <f t="shared" ref="F39:F71" si="39">+G39+H39</f>
        <v>0</v>
      </c>
      <c r="G39" s="278"/>
      <c r="H39" s="278"/>
      <c r="I39" s="350" t="str">
        <f>IFERROR(F39/#REF!,"-")</f>
        <v>-</v>
      </c>
      <c r="J39" s="331">
        <f t="shared" ref="J39:J71" si="40">+K39+L39</f>
        <v>0</v>
      </c>
      <c r="K39" s="278">
        <f t="shared" si="35"/>
        <v>0</v>
      </c>
      <c r="L39" s="432">
        <f t="shared" si="36"/>
        <v>0</v>
      </c>
      <c r="M39" s="335" t="str">
        <f t="shared" ref="M39:M41" si="41">IFERROR(J39/D39,"-")</f>
        <v>-</v>
      </c>
      <c r="N39" s="265" t="str">
        <f t="shared" si="30"/>
        <v>-</v>
      </c>
      <c r="O39" s="504">
        <v>35.398400000000002</v>
      </c>
      <c r="P39" s="400">
        <f t="shared" si="37"/>
        <v>0</v>
      </c>
      <c r="Q39" s="445">
        <f t="shared" si="38"/>
        <v>0</v>
      </c>
    </row>
    <row r="40" spans="1:17" ht="24.75" thickBot="1" x14ac:dyDescent="0.4">
      <c r="A40" s="248" t="s">
        <v>101</v>
      </c>
      <c r="B40" s="929"/>
      <c r="C40" s="537" t="s">
        <v>450</v>
      </c>
      <c r="D40" s="276"/>
      <c r="E40" s="432"/>
      <c r="F40" s="331">
        <f t="shared" si="39"/>
        <v>0</v>
      </c>
      <c r="G40" s="278"/>
      <c r="H40" s="278"/>
      <c r="I40" s="350" t="str">
        <f>IFERROR(F40/#REF!,"-")</f>
        <v>-</v>
      </c>
      <c r="J40" s="331">
        <f t="shared" si="40"/>
        <v>0</v>
      </c>
      <c r="K40" s="278">
        <f t="shared" si="35"/>
        <v>0</v>
      </c>
      <c r="L40" s="432">
        <f t="shared" si="36"/>
        <v>0</v>
      </c>
      <c r="M40" s="335" t="str">
        <f t="shared" si="41"/>
        <v>-</v>
      </c>
      <c r="N40" s="265" t="str">
        <f>IFERROR(L40/J40,"-")</f>
        <v>-</v>
      </c>
      <c r="O40" s="504">
        <v>35.398400000000002</v>
      </c>
      <c r="P40" s="400">
        <f t="shared" si="37"/>
        <v>0</v>
      </c>
      <c r="Q40" s="445">
        <f t="shared" si="38"/>
        <v>0</v>
      </c>
    </row>
    <row r="41" spans="1:17" ht="24" x14ac:dyDescent="0.35">
      <c r="A41" s="248" t="s">
        <v>101</v>
      </c>
      <c r="B41" s="927" t="s">
        <v>250</v>
      </c>
      <c r="C41" s="538" t="s">
        <v>75</v>
      </c>
      <c r="D41" s="276"/>
      <c r="E41" s="523"/>
      <c r="F41" s="332">
        <f t="shared" si="39"/>
        <v>0</v>
      </c>
      <c r="G41" s="278"/>
      <c r="H41" s="278"/>
      <c r="I41" s="350" t="str">
        <f>IFERROR(F41/#REF!,"-")</f>
        <v>-</v>
      </c>
      <c r="J41" s="331">
        <f t="shared" si="40"/>
        <v>0</v>
      </c>
      <c r="K41" s="278">
        <f t="shared" si="35"/>
        <v>0</v>
      </c>
      <c r="L41" s="432">
        <f t="shared" si="36"/>
        <v>0</v>
      </c>
      <c r="M41" s="335" t="str">
        <f t="shared" si="41"/>
        <v>-</v>
      </c>
      <c r="N41" s="265" t="str">
        <f t="shared" ref="N41" si="42">IFERROR(L41/J41,"-")</f>
        <v>-</v>
      </c>
      <c r="O41" s="504">
        <v>55.4758</v>
      </c>
      <c r="P41" s="400">
        <f t="shared" si="37"/>
        <v>0</v>
      </c>
      <c r="Q41" s="445">
        <f t="shared" si="38"/>
        <v>0</v>
      </c>
    </row>
    <row r="42" spans="1:17" ht="24" x14ac:dyDescent="0.35">
      <c r="A42" s="248" t="s">
        <v>101</v>
      </c>
      <c r="B42" s="928"/>
      <c r="C42" s="538" t="s">
        <v>72</v>
      </c>
      <c r="D42" s="276"/>
      <c r="E42" s="524"/>
      <c r="F42" s="332">
        <f t="shared" si="39"/>
        <v>0</v>
      </c>
      <c r="G42" s="278"/>
      <c r="H42" s="278"/>
      <c r="I42" s="350" t="str">
        <f>IFERROR(F42/#REF!,"-")</f>
        <v>-</v>
      </c>
      <c r="J42" s="331">
        <f t="shared" si="40"/>
        <v>0</v>
      </c>
      <c r="K42" s="278">
        <f t="shared" si="35"/>
        <v>0</v>
      </c>
      <c r="L42" s="432">
        <f t="shared" si="36"/>
        <v>0</v>
      </c>
      <c r="M42" s="643"/>
      <c r="N42" s="370"/>
      <c r="O42" s="535">
        <v>58.836300000000001</v>
      </c>
      <c r="P42" s="400">
        <f t="shared" si="37"/>
        <v>0</v>
      </c>
      <c r="Q42" s="445">
        <f t="shared" si="38"/>
        <v>0</v>
      </c>
    </row>
    <row r="43" spans="1:17" ht="24" x14ac:dyDescent="0.35">
      <c r="A43" s="248" t="s">
        <v>101</v>
      </c>
      <c r="B43" s="928"/>
      <c r="C43" s="538" t="s">
        <v>345</v>
      </c>
      <c r="D43" s="276"/>
      <c r="E43" s="431"/>
      <c r="F43" s="332">
        <f t="shared" si="39"/>
        <v>0</v>
      </c>
      <c r="G43" s="278"/>
      <c r="H43" s="278"/>
      <c r="I43" s="350" t="str">
        <f>IFERROR(F43/#REF!,"-")</f>
        <v>-</v>
      </c>
      <c r="J43" s="331">
        <f t="shared" si="40"/>
        <v>0</v>
      </c>
      <c r="K43" s="278">
        <f t="shared" si="35"/>
        <v>0</v>
      </c>
      <c r="L43" s="432">
        <f t="shared" si="36"/>
        <v>0</v>
      </c>
      <c r="M43" s="335" t="str">
        <f t="shared" ref="M43" si="43">IFERROR(J43/D43,"-")</f>
        <v>-</v>
      </c>
      <c r="N43" s="263" t="str">
        <f t="shared" ref="N43" si="44">IFERROR(L43/J43,"-")</f>
        <v>-</v>
      </c>
      <c r="O43" s="670">
        <v>58.836300000000001</v>
      </c>
      <c r="P43" s="400">
        <f t="shared" si="37"/>
        <v>0</v>
      </c>
      <c r="Q43" s="445">
        <f t="shared" si="38"/>
        <v>0</v>
      </c>
    </row>
    <row r="44" spans="1:17" ht="24.75" thickBot="1" x14ac:dyDescent="0.4">
      <c r="A44" s="248"/>
      <c r="B44" s="929"/>
      <c r="C44" s="538" t="s">
        <v>359</v>
      </c>
      <c r="D44" s="276"/>
      <c r="E44" s="431"/>
      <c r="F44" s="332">
        <f t="shared" si="39"/>
        <v>0</v>
      </c>
      <c r="G44" s="278"/>
      <c r="H44" s="278"/>
      <c r="I44" s="350"/>
      <c r="J44" s="331">
        <f t="shared" si="40"/>
        <v>0</v>
      </c>
      <c r="K44" s="278">
        <f t="shared" si="35"/>
        <v>0</v>
      </c>
      <c r="L44" s="432">
        <f t="shared" si="36"/>
        <v>0</v>
      </c>
      <c r="M44" s="335"/>
      <c r="N44" s="263" t="str">
        <f>IFERROR(L44/J44,"-")</f>
        <v>-</v>
      </c>
      <c r="O44" s="504">
        <v>55.4758</v>
      </c>
      <c r="P44" s="400">
        <f t="shared" si="37"/>
        <v>0</v>
      </c>
      <c r="Q44" s="445">
        <f t="shared" si="38"/>
        <v>0</v>
      </c>
    </row>
    <row r="45" spans="1:17" ht="24" x14ac:dyDescent="0.35">
      <c r="A45" s="248" t="s">
        <v>101</v>
      </c>
      <c r="B45" s="927" t="s">
        <v>407</v>
      </c>
      <c r="C45" s="537" t="s">
        <v>77</v>
      </c>
      <c r="D45" s="276"/>
      <c r="E45" s="432"/>
      <c r="F45" s="331">
        <f t="shared" si="39"/>
        <v>0</v>
      </c>
      <c r="G45" s="278"/>
      <c r="H45" s="278"/>
      <c r="I45" s="350" t="str">
        <f>IFERROR(F45/#REF!,"-")</f>
        <v>-</v>
      </c>
      <c r="J45" s="331">
        <f t="shared" si="40"/>
        <v>0</v>
      </c>
      <c r="K45" s="647">
        <f t="shared" si="35"/>
        <v>0</v>
      </c>
      <c r="L45" s="648">
        <f t="shared" si="36"/>
        <v>0</v>
      </c>
      <c r="M45" s="335" t="str">
        <f t="shared" ref="M45:M74" si="45">IFERROR(J45/D45,"-")</f>
        <v>-</v>
      </c>
      <c r="N45" s="263" t="str">
        <f t="shared" ref="N45:N73" si="46">IFERROR(L45/J45,"-")</f>
        <v>-</v>
      </c>
      <c r="O45" s="504">
        <v>25.687200000000001</v>
      </c>
      <c r="P45" s="400">
        <f t="shared" si="37"/>
        <v>0</v>
      </c>
      <c r="Q45" s="445">
        <f t="shared" si="38"/>
        <v>0</v>
      </c>
    </row>
    <row r="46" spans="1:17" ht="24.75" thickBot="1" x14ac:dyDescent="0.4">
      <c r="A46" s="248" t="s">
        <v>101</v>
      </c>
      <c r="B46" s="929"/>
      <c r="C46" s="537" t="s">
        <v>117</v>
      </c>
      <c r="D46" s="276"/>
      <c r="E46" s="432"/>
      <c r="F46" s="331">
        <f t="shared" si="39"/>
        <v>0</v>
      </c>
      <c r="G46" s="278"/>
      <c r="H46" s="278"/>
      <c r="I46" s="350" t="str">
        <f>IFERROR(F46/#REF!,"-")</f>
        <v>-</v>
      </c>
      <c r="J46" s="331">
        <f t="shared" si="40"/>
        <v>0</v>
      </c>
      <c r="K46" s="278">
        <f t="shared" si="35"/>
        <v>0</v>
      </c>
      <c r="L46" s="432">
        <f t="shared" si="36"/>
        <v>0</v>
      </c>
      <c r="M46" s="335" t="str">
        <f t="shared" si="45"/>
        <v>-</v>
      </c>
      <c r="N46" s="263" t="str">
        <f t="shared" si="46"/>
        <v>-</v>
      </c>
      <c r="O46" s="504">
        <v>25.033899999999999</v>
      </c>
      <c r="P46" s="400">
        <f t="shared" si="37"/>
        <v>0</v>
      </c>
      <c r="Q46" s="445">
        <f t="shared" si="38"/>
        <v>0</v>
      </c>
    </row>
    <row r="47" spans="1:17" ht="24" x14ac:dyDescent="0.35">
      <c r="A47" s="248"/>
      <c r="B47" s="927" t="s">
        <v>408</v>
      </c>
      <c r="C47" s="537" t="s">
        <v>79</v>
      </c>
      <c r="D47" s="276"/>
      <c r="E47" s="432"/>
      <c r="F47" s="331">
        <f t="shared" si="39"/>
        <v>0</v>
      </c>
      <c r="G47" s="278"/>
      <c r="H47" s="278"/>
      <c r="I47" s="350" t="str">
        <f>IFERROR(F47/#REF!,"-")</f>
        <v>-</v>
      </c>
      <c r="J47" s="331">
        <f t="shared" si="40"/>
        <v>0</v>
      </c>
      <c r="K47" s="278">
        <f t="shared" si="35"/>
        <v>0</v>
      </c>
      <c r="L47" s="432">
        <f t="shared" si="36"/>
        <v>0</v>
      </c>
      <c r="M47" s="335" t="str">
        <f t="shared" si="45"/>
        <v>-</v>
      </c>
      <c r="N47" s="263" t="str">
        <f t="shared" si="46"/>
        <v>-</v>
      </c>
      <c r="O47" s="504">
        <v>41.992699999999999</v>
      </c>
      <c r="P47" s="400">
        <f t="shared" si="37"/>
        <v>0</v>
      </c>
      <c r="Q47" s="445">
        <f t="shared" si="38"/>
        <v>0</v>
      </c>
    </row>
    <row r="48" spans="1:17" ht="24" x14ac:dyDescent="0.35">
      <c r="A48" s="248"/>
      <c r="B48" s="928"/>
      <c r="C48" s="537" t="s">
        <v>72</v>
      </c>
      <c r="D48" s="276"/>
      <c r="E48" s="432"/>
      <c r="F48" s="331">
        <f t="shared" si="39"/>
        <v>0</v>
      </c>
      <c r="G48" s="278"/>
      <c r="H48" s="278"/>
      <c r="I48" s="350" t="str">
        <f>IFERROR(F48/#REF!,"-")</f>
        <v>-</v>
      </c>
      <c r="J48" s="331">
        <f t="shared" si="40"/>
        <v>0</v>
      </c>
      <c r="K48" s="278">
        <f t="shared" si="35"/>
        <v>0</v>
      </c>
      <c r="L48" s="432">
        <f t="shared" si="36"/>
        <v>0</v>
      </c>
      <c r="M48" s="335" t="str">
        <f t="shared" si="45"/>
        <v>-</v>
      </c>
      <c r="N48" s="263" t="str">
        <f t="shared" si="46"/>
        <v>-</v>
      </c>
      <c r="O48" s="504">
        <v>42.283799999999999</v>
      </c>
      <c r="P48" s="400">
        <f t="shared" si="37"/>
        <v>0</v>
      </c>
      <c r="Q48" s="445">
        <f t="shared" si="38"/>
        <v>0</v>
      </c>
    </row>
    <row r="49" spans="1:17" ht="24" x14ac:dyDescent="0.35">
      <c r="A49" s="248"/>
      <c r="B49" s="928"/>
      <c r="C49" s="537" t="s">
        <v>378</v>
      </c>
      <c r="D49" s="276"/>
      <c r="E49" s="432"/>
      <c r="F49" s="331">
        <f t="shared" si="39"/>
        <v>0</v>
      </c>
      <c r="G49" s="278"/>
      <c r="H49" s="278"/>
      <c r="I49" s="350" t="str">
        <f>IFERROR(F49/#REF!,"-")</f>
        <v>-</v>
      </c>
      <c r="J49" s="331">
        <f t="shared" si="40"/>
        <v>0</v>
      </c>
      <c r="K49" s="278">
        <f t="shared" si="35"/>
        <v>0</v>
      </c>
      <c r="L49" s="432">
        <f t="shared" si="36"/>
        <v>0</v>
      </c>
      <c r="M49" s="335" t="str">
        <f t="shared" si="45"/>
        <v>-</v>
      </c>
      <c r="N49" s="263" t="str">
        <f t="shared" si="46"/>
        <v>-</v>
      </c>
      <c r="O49" s="670">
        <v>41.992699999999999</v>
      </c>
      <c r="P49" s="400">
        <f t="shared" si="37"/>
        <v>0</v>
      </c>
      <c r="Q49" s="445">
        <f t="shared" si="38"/>
        <v>0</v>
      </c>
    </row>
    <row r="50" spans="1:17" ht="24.75" thickBot="1" x14ac:dyDescent="0.4">
      <c r="A50" s="248"/>
      <c r="B50" s="929"/>
      <c r="C50" s="537" t="s">
        <v>379</v>
      </c>
      <c r="D50" s="276"/>
      <c r="E50" s="432"/>
      <c r="F50" s="331">
        <f t="shared" si="39"/>
        <v>0</v>
      </c>
      <c r="G50" s="278"/>
      <c r="H50" s="278"/>
      <c r="I50" s="350" t="str">
        <f>IFERROR(F50/#REF!,"-")</f>
        <v>-</v>
      </c>
      <c r="J50" s="331">
        <f t="shared" si="40"/>
        <v>0</v>
      </c>
      <c r="K50" s="278">
        <f t="shared" si="35"/>
        <v>0</v>
      </c>
      <c r="L50" s="432">
        <f t="shared" si="36"/>
        <v>0</v>
      </c>
      <c r="M50" s="335" t="str">
        <f t="shared" si="45"/>
        <v>-</v>
      </c>
      <c r="N50" s="263" t="str">
        <f t="shared" si="46"/>
        <v>-</v>
      </c>
      <c r="O50" s="670">
        <v>42.283799999999999</v>
      </c>
      <c r="P50" s="400">
        <f t="shared" si="37"/>
        <v>0</v>
      </c>
      <c r="Q50" s="445">
        <f t="shared" si="38"/>
        <v>0</v>
      </c>
    </row>
    <row r="51" spans="1:17" ht="24.75" thickBot="1" x14ac:dyDescent="0.4">
      <c r="A51" s="248"/>
      <c r="B51" s="677" t="s">
        <v>80</v>
      </c>
      <c r="C51" s="537" t="s">
        <v>81</v>
      </c>
      <c r="D51" s="276"/>
      <c r="E51" s="432"/>
      <c r="F51" s="331">
        <f t="shared" si="39"/>
        <v>0</v>
      </c>
      <c r="G51" s="278"/>
      <c r="H51" s="278"/>
      <c r="I51" s="350" t="str">
        <f>IFERROR(F51/#REF!,"-")</f>
        <v>-</v>
      </c>
      <c r="J51" s="331">
        <f t="shared" si="40"/>
        <v>0</v>
      </c>
      <c r="K51" s="278">
        <f t="shared" si="35"/>
        <v>0</v>
      </c>
      <c r="L51" s="432">
        <f t="shared" si="36"/>
        <v>0</v>
      </c>
      <c r="M51" s="335" t="str">
        <f t="shared" si="45"/>
        <v>-</v>
      </c>
      <c r="N51" s="263" t="str">
        <f t="shared" si="46"/>
        <v>-</v>
      </c>
      <c r="O51" s="504">
        <v>4.3535000000000004</v>
      </c>
      <c r="P51" s="400">
        <f t="shared" si="37"/>
        <v>0</v>
      </c>
      <c r="Q51" s="445">
        <f t="shared" si="38"/>
        <v>0</v>
      </c>
    </row>
    <row r="52" spans="1:17" ht="24" x14ac:dyDescent="0.35">
      <c r="A52" s="248"/>
      <c r="B52" s="927" t="s">
        <v>252</v>
      </c>
      <c r="C52" s="537" t="s">
        <v>77</v>
      </c>
      <c r="D52" s="276"/>
      <c r="E52" s="432"/>
      <c r="F52" s="331">
        <f t="shared" si="39"/>
        <v>37633</v>
      </c>
      <c r="G52" s="278">
        <v>37400</v>
      </c>
      <c r="H52" s="278">
        <v>233</v>
      </c>
      <c r="I52" s="350" t="str">
        <f>IFERROR(F52/#REF!,"-")</f>
        <v>-</v>
      </c>
      <c r="J52" s="331">
        <f t="shared" si="40"/>
        <v>37633</v>
      </c>
      <c r="K52" s="278">
        <f t="shared" si="35"/>
        <v>37400</v>
      </c>
      <c r="L52" s="432">
        <f t="shared" si="36"/>
        <v>233</v>
      </c>
      <c r="M52" s="335" t="str">
        <f t="shared" si="45"/>
        <v>-</v>
      </c>
      <c r="N52" s="263">
        <f t="shared" si="46"/>
        <v>6.1913745914489943E-3</v>
      </c>
      <c r="O52" s="504">
        <v>4.6184000000000003</v>
      </c>
      <c r="P52" s="400">
        <f t="shared" si="37"/>
        <v>172728.16</v>
      </c>
      <c r="Q52" s="445">
        <f t="shared" si="38"/>
        <v>172728.16</v>
      </c>
    </row>
    <row r="53" spans="1:17" ht="24" x14ac:dyDescent="0.35">
      <c r="A53" s="248"/>
      <c r="B53" s="928"/>
      <c r="C53" s="537" t="s">
        <v>338</v>
      </c>
      <c r="D53" s="276"/>
      <c r="E53" s="432"/>
      <c r="F53" s="331">
        <f t="shared" si="39"/>
        <v>0</v>
      </c>
      <c r="G53" s="278"/>
      <c r="H53" s="278"/>
      <c r="I53" s="350" t="str">
        <f>IFERROR(F53/#REF!,"-")</f>
        <v>-</v>
      </c>
      <c r="J53" s="331">
        <f t="shared" si="40"/>
        <v>0</v>
      </c>
      <c r="K53" s="278">
        <f t="shared" si="35"/>
        <v>0</v>
      </c>
      <c r="L53" s="432">
        <f t="shared" si="36"/>
        <v>0</v>
      </c>
      <c r="M53" s="335" t="str">
        <f t="shared" si="45"/>
        <v>-</v>
      </c>
      <c r="N53" s="263" t="str">
        <f t="shared" si="46"/>
        <v>-</v>
      </c>
      <c r="O53" s="504">
        <v>4.6184000000000003</v>
      </c>
      <c r="P53" s="400">
        <f t="shared" si="37"/>
        <v>0</v>
      </c>
      <c r="Q53" s="445">
        <f t="shared" si="38"/>
        <v>0</v>
      </c>
    </row>
    <row r="54" spans="1:17" ht="24" x14ac:dyDescent="0.35">
      <c r="A54" s="248"/>
      <c r="B54" s="928"/>
      <c r="C54" s="537" t="s">
        <v>251</v>
      </c>
      <c r="D54" s="276"/>
      <c r="E54" s="432"/>
      <c r="F54" s="331">
        <f t="shared" si="39"/>
        <v>0</v>
      </c>
      <c r="G54" s="278"/>
      <c r="H54" s="278"/>
      <c r="I54" s="350" t="str">
        <f>IFERROR(F54/#REF!,"-")</f>
        <v>-</v>
      </c>
      <c r="J54" s="331">
        <f t="shared" si="40"/>
        <v>0</v>
      </c>
      <c r="K54" s="278">
        <f t="shared" si="35"/>
        <v>0</v>
      </c>
      <c r="L54" s="432">
        <f t="shared" si="36"/>
        <v>0</v>
      </c>
      <c r="M54" s="335" t="str">
        <f t="shared" si="45"/>
        <v>-</v>
      </c>
      <c r="N54" s="263" t="str">
        <f t="shared" si="46"/>
        <v>-</v>
      </c>
      <c r="O54" s="504">
        <v>4.6184000000000003</v>
      </c>
      <c r="P54" s="400">
        <f t="shared" si="37"/>
        <v>0</v>
      </c>
      <c r="Q54" s="445">
        <f t="shared" si="38"/>
        <v>0</v>
      </c>
    </row>
    <row r="55" spans="1:17" ht="24" x14ac:dyDescent="0.35">
      <c r="A55" s="248"/>
      <c r="B55" s="928"/>
      <c r="C55" s="537" t="s">
        <v>348</v>
      </c>
      <c r="D55" s="276"/>
      <c r="E55" s="432"/>
      <c r="F55" s="331">
        <f t="shared" si="39"/>
        <v>0</v>
      </c>
      <c r="G55" s="278"/>
      <c r="H55" s="278"/>
      <c r="I55" s="350" t="str">
        <f>IFERROR(F55/#REF!,"-")</f>
        <v>-</v>
      </c>
      <c r="J55" s="331">
        <f t="shared" si="40"/>
        <v>0</v>
      </c>
      <c r="K55" s="647">
        <f t="shared" si="35"/>
        <v>0</v>
      </c>
      <c r="L55" s="648">
        <f t="shared" si="36"/>
        <v>0</v>
      </c>
      <c r="M55" s="335" t="str">
        <f t="shared" si="45"/>
        <v>-</v>
      </c>
      <c r="N55" s="263" t="str">
        <f t="shared" si="46"/>
        <v>-</v>
      </c>
      <c r="O55" s="504">
        <v>4.7636000000000003</v>
      </c>
      <c r="P55" s="400">
        <f t="shared" si="37"/>
        <v>0</v>
      </c>
      <c r="Q55" s="445">
        <f t="shared" si="38"/>
        <v>0</v>
      </c>
    </row>
    <row r="56" spans="1:17" ht="24.75" thickBot="1" x14ac:dyDescent="0.4">
      <c r="A56" s="248"/>
      <c r="B56" s="929"/>
      <c r="C56" s="537" t="s">
        <v>344</v>
      </c>
      <c r="D56" s="276"/>
      <c r="E56" s="432"/>
      <c r="F56" s="331">
        <f t="shared" si="39"/>
        <v>0</v>
      </c>
      <c r="G56" s="278"/>
      <c r="H56" s="278"/>
      <c r="I56" s="350" t="str">
        <f>IFERROR(F56/#REF!,"-")</f>
        <v>-</v>
      </c>
      <c r="J56" s="331">
        <f t="shared" si="40"/>
        <v>0</v>
      </c>
      <c r="K56" s="278">
        <f t="shared" si="35"/>
        <v>0</v>
      </c>
      <c r="L56" s="432">
        <f t="shared" si="36"/>
        <v>0</v>
      </c>
      <c r="M56" s="335" t="str">
        <f t="shared" si="45"/>
        <v>-</v>
      </c>
      <c r="N56" s="263" t="str">
        <f t="shared" si="46"/>
        <v>-</v>
      </c>
      <c r="O56" s="504">
        <v>4.8738000000000001</v>
      </c>
      <c r="P56" s="400">
        <f t="shared" si="37"/>
        <v>0</v>
      </c>
      <c r="Q56" s="445">
        <f t="shared" si="38"/>
        <v>0</v>
      </c>
    </row>
    <row r="57" spans="1:17" ht="24.75" thickBot="1" x14ac:dyDescent="0.4">
      <c r="A57" s="248"/>
      <c r="B57" s="677" t="s">
        <v>253</v>
      </c>
      <c r="C57" s="537" t="s">
        <v>124</v>
      </c>
      <c r="D57" s="276"/>
      <c r="E57" s="432"/>
      <c r="F57" s="331">
        <f t="shared" si="39"/>
        <v>0</v>
      </c>
      <c r="G57" s="278"/>
      <c r="H57" s="278"/>
      <c r="I57" s="350" t="str">
        <f>IFERROR(F57/#REF!,"-")</f>
        <v>-</v>
      </c>
      <c r="J57" s="331">
        <f t="shared" si="40"/>
        <v>0</v>
      </c>
      <c r="K57" s="278">
        <f t="shared" si="35"/>
        <v>0</v>
      </c>
      <c r="L57" s="432">
        <f t="shared" si="36"/>
        <v>0</v>
      </c>
      <c r="M57" s="335" t="str">
        <f t="shared" si="45"/>
        <v>-</v>
      </c>
      <c r="N57" s="263" t="str">
        <f t="shared" si="46"/>
        <v>-</v>
      </c>
      <c r="O57" s="504">
        <v>4.8738000000000001</v>
      </c>
      <c r="P57" s="400">
        <f t="shared" si="37"/>
        <v>0</v>
      </c>
      <c r="Q57" s="445">
        <f t="shared" si="38"/>
        <v>0</v>
      </c>
    </row>
    <row r="58" spans="1:17" ht="24" x14ac:dyDescent="0.35">
      <c r="A58" s="248"/>
      <c r="B58" s="927" t="s">
        <v>255</v>
      </c>
      <c r="C58" s="537" t="s">
        <v>77</v>
      </c>
      <c r="D58" s="276"/>
      <c r="E58" s="432"/>
      <c r="F58" s="331">
        <f t="shared" si="39"/>
        <v>44231</v>
      </c>
      <c r="G58" s="278">
        <v>43680</v>
      </c>
      <c r="H58" s="278">
        <v>551</v>
      </c>
      <c r="I58" s="350" t="str">
        <f>IFERROR(F58/#REF!,"-")</f>
        <v>-</v>
      </c>
      <c r="J58" s="331">
        <f t="shared" si="40"/>
        <v>44231</v>
      </c>
      <c r="K58" s="647">
        <f t="shared" si="35"/>
        <v>43680</v>
      </c>
      <c r="L58" s="648">
        <f t="shared" si="36"/>
        <v>551</v>
      </c>
      <c r="M58" s="335" t="str">
        <f t="shared" si="45"/>
        <v>-</v>
      </c>
      <c r="N58" s="263">
        <f t="shared" si="46"/>
        <v>1.2457326309601863E-2</v>
      </c>
      <c r="O58" s="504">
        <v>4.9344999999999999</v>
      </c>
      <c r="P58" s="400">
        <f t="shared" si="37"/>
        <v>215538.96</v>
      </c>
      <c r="Q58" s="445">
        <f t="shared" si="38"/>
        <v>215538.96</v>
      </c>
    </row>
    <row r="59" spans="1:17" ht="24" x14ac:dyDescent="0.35">
      <c r="A59" s="248"/>
      <c r="B59" s="928"/>
      <c r="C59" s="537" t="s">
        <v>135</v>
      </c>
      <c r="D59" s="276"/>
      <c r="E59" s="432"/>
      <c r="F59" s="331">
        <f t="shared" si="39"/>
        <v>0</v>
      </c>
      <c r="G59" s="278"/>
      <c r="H59" s="278"/>
      <c r="I59" s="350" t="str">
        <f>IFERROR(F59/#REF!,"-")</f>
        <v>-</v>
      </c>
      <c r="J59" s="331">
        <f t="shared" si="40"/>
        <v>0</v>
      </c>
      <c r="K59" s="278">
        <f t="shared" si="35"/>
        <v>0</v>
      </c>
      <c r="L59" s="432">
        <f t="shared" si="36"/>
        <v>0</v>
      </c>
      <c r="M59" s="335" t="str">
        <f t="shared" si="45"/>
        <v>-</v>
      </c>
      <c r="N59" s="263" t="str">
        <f t="shared" si="46"/>
        <v>-</v>
      </c>
      <c r="O59" s="504">
        <v>4.9344999999999999</v>
      </c>
      <c r="P59" s="400">
        <f t="shared" si="37"/>
        <v>0</v>
      </c>
      <c r="Q59" s="445">
        <f t="shared" si="38"/>
        <v>0</v>
      </c>
    </row>
    <row r="60" spans="1:17" ht="24" x14ac:dyDescent="0.35">
      <c r="A60" s="248"/>
      <c r="B60" s="928"/>
      <c r="C60" s="537" t="s">
        <v>129</v>
      </c>
      <c r="D60" s="276"/>
      <c r="E60" s="432"/>
      <c r="F60" s="331">
        <f t="shared" si="39"/>
        <v>0</v>
      </c>
      <c r="G60" s="278"/>
      <c r="H60" s="278"/>
      <c r="I60" s="350" t="str">
        <f>IFERROR(F60/#REF!,"-")</f>
        <v>-</v>
      </c>
      <c r="J60" s="331">
        <f t="shared" si="40"/>
        <v>0</v>
      </c>
      <c r="K60" s="278">
        <f t="shared" si="35"/>
        <v>0</v>
      </c>
      <c r="L60" s="432">
        <f t="shared" si="36"/>
        <v>0</v>
      </c>
      <c r="M60" s="335" t="str">
        <f t="shared" si="45"/>
        <v>-</v>
      </c>
      <c r="N60" s="263" t="str">
        <f t="shared" si="46"/>
        <v>-</v>
      </c>
      <c r="O60" s="504">
        <v>4.9344999999999999</v>
      </c>
      <c r="P60" s="400">
        <f t="shared" si="37"/>
        <v>0</v>
      </c>
      <c r="Q60" s="445">
        <f t="shared" si="38"/>
        <v>0</v>
      </c>
    </row>
    <row r="61" spans="1:17" ht="24.75" thickBot="1" x14ac:dyDescent="0.4">
      <c r="A61" s="248"/>
      <c r="B61" s="929"/>
      <c r="C61" s="792" t="s">
        <v>254</v>
      </c>
      <c r="D61" s="276"/>
      <c r="E61" s="432"/>
      <c r="F61" s="331">
        <f t="shared" si="39"/>
        <v>0</v>
      </c>
      <c r="G61" s="278"/>
      <c r="H61" s="278"/>
      <c r="I61" s="350" t="str">
        <f>IFERROR(F61/#REF!,"-")</f>
        <v>-</v>
      </c>
      <c r="J61" s="331">
        <f t="shared" si="40"/>
        <v>0</v>
      </c>
      <c r="K61" s="278">
        <f t="shared" si="35"/>
        <v>0</v>
      </c>
      <c r="L61" s="432">
        <f t="shared" si="36"/>
        <v>0</v>
      </c>
      <c r="M61" s="335" t="str">
        <f t="shared" si="45"/>
        <v>-</v>
      </c>
      <c r="N61" s="263" t="str">
        <f t="shared" si="46"/>
        <v>-</v>
      </c>
      <c r="O61" s="504">
        <v>5.5069999999999997</v>
      </c>
      <c r="P61" s="400">
        <f t="shared" si="37"/>
        <v>0</v>
      </c>
      <c r="Q61" s="445">
        <f t="shared" si="38"/>
        <v>0</v>
      </c>
    </row>
    <row r="62" spans="1:17" ht="24" x14ac:dyDescent="0.35">
      <c r="A62" s="248"/>
      <c r="B62" s="872" t="s">
        <v>260</v>
      </c>
      <c r="C62" s="536" t="s">
        <v>256</v>
      </c>
      <c r="D62" s="507"/>
      <c r="E62" s="432"/>
      <c r="F62" s="331">
        <f t="shared" si="39"/>
        <v>29599</v>
      </c>
      <c r="G62" s="278">
        <v>29400</v>
      </c>
      <c r="H62" s="278">
        <v>199</v>
      </c>
      <c r="I62" s="350" t="str">
        <f>IFERROR(F62/#REF!,"-")</f>
        <v>-</v>
      </c>
      <c r="J62" s="331">
        <f t="shared" si="40"/>
        <v>29599</v>
      </c>
      <c r="K62" s="278">
        <f t="shared" si="35"/>
        <v>29400</v>
      </c>
      <c r="L62" s="432">
        <f t="shared" si="36"/>
        <v>199</v>
      </c>
      <c r="M62" s="335" t="str">
        <f t="shared" si="45"/>
        <v>-</v>
      </c>
      <c r="N62" s="263">
        <f t="shared" si="46"/>
        <v>6.7232001081117604E-3</v>
      </c>
      <c r="O62" s="670">
        <v>5.5069999999999997</v>
      </c>
      <c r="P62" s="400">
        <f t="shared" si="37"/>
        <v>161905.79999999999</v>
      </c>
      <c r="Q62" s="445">
        <f t="shared" si="38"/>
        <v>161905.79999999999</v>
      </c>
    </row>
    <row r="63" spans="1:17" ht="24" x14ac:dyDescent="0.35">
      <c r="A63" s="248"/>
      <c r="B63" s="873"/>
      <c r="C63" s="537" t="s">
        <v>257</v>
      </c>
      <c r="D63" s="507"/>
      <c r="E63" s="432"/>
      <c r="F63" s="331">
        <f t="shared" si="39"/>
        <v>0</v>
      </c>
      <c r="G63" s="278"/>
      <c r="H63" s="278"/>
      <c r="I63" s="350" t="str">
        <f>IFERROR(F63/#REF!,"-")</f>
        <v>-</v>
      </c>
      <c r="J63" s="331">
        <f t="shared" si="40"/>
        <v>0</v>
      </c>
      <c r="K63" s="278">
        <f t="shared" si="35"/>
        <v>0</v>
      </c>
      <c r="L63" s="432">
        <f t="shared" si="36"/>
        <v>0</v>
      </c>
      <c r="M63" s="335" t="str">
        <f t="shared" si="45"/>
        <v>-</v>
      </c>
      <c r="N63" s="263" t="str">
        <f t="shared" si="46"/>
        <v>-</v>
      </c>
      <c r="O63" s="504">
        <v>5.6550000000000002</v>
      </c>
      <c r="P63" s="400">
        <f t="shared" si="37"/>
        <v>0</v>
      </c>
      <c r="Q63" s="445">
        <f t="shared" si="38"/>
        <v>0</v>
      </c>
    </row>
    <row r="64" spans="1:17" ht="24" x14ac:dyDescent="0.35">
      <c r="A64" s="248"/>
      <c r="B64" s="873"/>
      <c r="C64" s="537" t="s">
        <v>319</v>
      </c>
      <c r="D64" s="507"/>
      <c r="E64" s="432"/>
      <c r="F64" s="331">
        <f t="shared" si="39"/>
        <v>0</v>
      </c>
      <c r="G64" s="278"/>
      <c r="H64" s="278"/>
      <c r="I64" s="350" t="str">
        <f>IFERROR(F64/#REF!,"-")</f>
        <v>-</v>
      </c>
      <c r="J64" s="331">
        <f t="shared" si="40"/>
        <v>0</v>
      </c>
      <c r="K64" s="647">
        <f t="shared" si="35"/>
        <v>0</v>
      </c>
      <c r="L64" s="648">
        <f t="shared" si="36"/>
        <v>0</v>
      </c>
      <c r="M64" s="335" t="str">
        <f t="shared" si="45"/>
        <v>-</v>
      </c>
      <c r="N64" s="263" t="str">
        <f t="shared" si="46"/>
        <v>-</v>
      </c>
      <c r="O64" s="504">
        <v>5.6550000000000002</v>
      </c>
      <c r="P64" s="400">
        <f t="shared" si="37"/>
        <v>0</v>
      </c>
      <c r="Q64" s="445">
        <f t="shared" si="38"/>
        <v>0</v>
      </c>
    </row>
    <row r="65" spans="1:17" ht="24" x14ac:dyDescent="0.35">
      <c r="A65" s="248"/>
      <c r="B65" s="873"/>
      <c r="C65" s="537" t="s">
        <v>258</v>
      </c>
      <c r="D65" s="507"/>
      <c r="E65" s="432"/>
      <c r="F65" s="331">
        <f t="shared" si="39"/>
        <v>0</v>
      </c>
      <c r="G65" s="278"/>
      <c r="H65" s="278"/>
      <c r="I65" s="350" t="str">
        <f>IFERROR(F65/#REF!,"-")</f>
        <v>-</v>
      </c>
      <c r="J65" s="331">
        <f t="shared" si="40"/>
        <v>0</v>
      </c>
      <c r="K65" s="278">
        <f t="shared" si="35"/>
        <v>0</v>
      </c>
      <c r="L65" s="432">
        <f t="shared" si="36"/>
        <v>0</v>
      </c>
      <c r="M65" s="335" t="str">
        <f t="shared" si="45"/>
        <v>-</v>
      </c>
      <c r="N65" s="263" t="str">
        <f t="shared" si="46"/>
        <v>-</v>
      </c>
      <c r="O65" s="504">
        <v>5.6550000000000002</v>
      </c>
      <c r="P65" s="400">
        <f t="shared" si="37"/>
        <v>0</v>
      </c>
      <c r="Q65" s="445">
        <f t="shared" si="38"/>
        <v>0</v>
      </c>
    </row>
    <row r="66" spans="1:17" ht="24" x14ac:dyDescent="0.35">
      <c r="A66" s="248" t="s">
        <v>101</v>
      </c>
      <c r="B66" s="873"/>
      <c r="C66" s="537" t="s">
        <v>259</v>
      </c>
      <c r="D66" s="507"/>
      <c r="E66" s="432"/>
      <c r="F66" s="331">
        <f t="shared" si="39"/>
        <v>0</v>
      </c>
      <c r="G66" s="278"/>
      <c r="H66" s="278"/>
      <c r="I66" s="350" t="str">
        <f>IFERROR(F66/#REF!,"-")</f>
        <v>-</v>
      </c>
      <c r="J66" s="331">
        <f t="shared" si="40"/>
        <v>0</v>
      </c>
      <c r="K66" s="278">
        <f t="shared" si="35"/>
        <v>0</v>
      </c>
      <c r="L66" s="432">
        <f t="shared" si="36"/>
        <v>0</v>
      </c>
      <c r="M66" s="335" t="str">
        <f t="shared" si="45"/>
        <v>-</v>
      </c>
      <c r="N66" s="263" t="str">
        <f t="shared" si="46"/>
        <v>-</v>
      </c>
      <c r="O66" s="504">
        <v>3.2963</v>
      </c>
      <c r="P66" s="400">
        <f t="shared" si="37"/>
        <v>0</v>
      </c>
      <c r="Q66" s="445">
        <f t="shared" si="38"/>
        <v>0</v>
      </c>
    </row>
    <row r="67" spans="1:17" ht="24.75" thickBot="1" x14ac:dyDescent="0.4">
      <c r="A67" s="248" t="s">
        <v>101</v>
      </c>
      <c r="B67" s="874"/>
      <c r="C67" s="794" t="s">
        <v>254</v>
      </c>
      <c r="D67" s="507"/>
      <c r="E67" s="432"/>
      <c r="F67" s="331">
        <f t="shared" si="39"/>
        <v>0</v>
      </c>
      <c r="G67" s="278"/>
      <c r="H67" s="278"/>
      <c r="I67" s="350" t="str">
        <f>IFERROR(F67/#REF!,"-")</f>
        <v>-</v>
      </c>
      <c r="J67" s="331">
        <f t="shared" si="40"/>
        <v>0</v>
      </c>
      <c r="K67" s="278">
        <f t="shared" si="35"/>
        <v>0</v>
      </c>
      <c r="L67" s="432">
        <f t="shared" si="36"/>
        <v>0</v>
      </c>
      <c r="M67" s="335" t="str">
        <f t="shared" si="45"/>
        <v>-</v>
      </c>
      <c r="N67" s="263" t="str">
        <f t="shared" si="46"/>
        <v>-</v>
      </c>
      <c r="O67" s="504">
        <v>3.2963</v>
      </c>
      <c r="P67" s="400">
        <f t="shared" si="37"/>
        <v>0</v>
      </c>
      <c r="Q67" s="445">
        <f t="shared" si="38"/>
        <v>0</v>
      </c>
    </row>
    <row r="68" spans="1:17" ht="24" x14ac:dyDescent="0.35">
      <c r="A68" s="248"/>
      <c r="B68" s="781"/>
      <c r="C68" s="793" t="s">
        <v>497</v>
      </c>
      <c r="D68" s="507"/>
      <c r="E68" s="432"/>
      <c r="F68" s="331">
        <f t="shared" si="39"/>
        <v>10400</v>
      </c>
      <c r="G68" s="278">
        <v>9500</v>
      </c>
      <c r="H68" s="278">
        <v>900</v>
      </c>
      <c r="I68" s="350" t="str">
        <f>IFERROR(F68/#REF!,"-")</f>
        <v>-</v>
      </c>
      <c r="J68" s="331">
        <f t="shared" si="40"/>
        <v>10400</v>
      </c>
      <c r="K68" s="278">
        <f t="shared" si="35"/>
        <v>9500</v>
      </c>
      <c r="L68" s="432">
        <f t="shared" si="36"/>
        <v>900</v>
      </c>
      <c r="M68" s="335" t="str">
        <f t="shared" si="45"/>
        <v>-</v>
      </c>
      <c r="N68" s="263">
        <f t="shared" si="46"/>
        <v>8.6538461538461536E-2</v>
      </c>
      <c r="O68" s="504">
        <v>3.2963</v>
      </c>
      <c r="P68" s="400">
        <f t="shared" si="37"/>
        <v>31314.85</v>
      </c>
      <c r="Q68" s="445">
        <f t="shared" si="38"/>
        <v>31314.85</v>
      </c>
    </row>
    <row r="69" spans="1:17" ht="24" x14ac:dyDescent="0.35">
      <c r="A69" s="248"/>
      <c r="B69" s="781"/>
      <c r="C69" s="537" t="s">
        <v>498</v>
      </c>
      <c r="D69" s="507"/>
      <c r="E69" s="432"/>
      <c r="F69" s="331">
        <f t="shared" si="39"/>
        <v>10100</v>
      </c>
      <c r="G69" s="278">
        <v>9500</v>
      </c>
      <c r="H69" s="278">
        <v>600</v>
      </c>
      <c r="I69" s="350" t="str">
        <f>IFERROR(F69/#REF!,"-")</f>
        <v>-</v>
      </c>
      <c r="J69" s="331">
        <f t="shared" si="40"/>
        <v>10100</v>
      </c>
      <c r="K69" s="278">
        <f t="shared" si="35"/>
        <v>9500</v>
      </c>
      <c r="L69" s="432">
        <f t="shared" si="36"/>
        <v>600</v>
      </c>
      <c r="M69" s="335" t="str">
        <f t="shared" si="45"/>
        <v>-</v>
      </c>
      <c r="N69" s="263">
        <f t="shared" si="46"/>
        <v>5.9405940594059403E-2</v>
      </c>
      <c r="O69" s="504">
        <v>3.2963</v>
      </c>
      <c r="P69" s="400">
        <f t="shared" si="37"/>
        <v>31314.85</v>
      </c>
      <c r="Q69" s="445">
        <f t="shared" si="38"/>
        <v>31314.85</v>
      </c>
    </row>
    <row r="70" spans="1:17" ht="24" x14ac:dyDescent="0.35">
      <c r="A70" s="248" t="s">
        <v>101</v>
      </c>
      <c r="B70" s="539"/>
      <c r="C70" s="537" t="s">
        <v>89</v>
      </c>
      <c r="D70" s="507"/>
      <c r="E70" s="432"/>
      <c r="F70" s="331">
        <f t="shared" si="39"/>
        <v>0</v>
      </c>
      <c r="G70" s="278"/>
      <c r="H70" s="278"/>
      <c r="I70" s="350" t="str">
        <f>IFERROR(F70/#REF!,"-")</f>
        <v>-</v>
      </c>
      <c r="J70" s="331">
        <f t="shared" si="40"/>
        <v>0</v>
      </c>
      <c r="K70" s="278">
        <f t="shared" si="35"/>
        <v>0</v>
      </c>
      <c r="L70" s="432">
        <f t="shared" si="36"/>
        <v>0</v>
      </c>
      <c r="M70" s="335" t="str">
        <f t="shared" si="45"/>
        <v>-</v>
      </c>
      <c r="N70" s="263" t="str">
        <f t="shared" si="46"/>
        <v>-</v>
      </c>
      <c r="O70" s="504">
        <v>2.3201000000000001</v>
      </c>
      <c r="P70" s="400">
        <f t="shared" si="37"/>
        <v>0</v>
      </c>
      <c r="Q70" s="445">
        <f t="shared" si="38"/>
        <v>0</v>
      </c>
    </row>
    <row r="71" spans="1:17" ht="24.75" thickBot="1" x14ac:dyDescent="0.3">
      <c r="A71" s="248" t="s">
        <v>101</v>
      </c>
      <c r="B71" s="791"/>
      <c r="C71" s="633"/>
      <c r="D71" s="746"/>
      <c r="E71" s="458"/>
      <c r="F71" s="456">
        <f t="shared" si="39"/>
        <v>0</v>
      </c>
      <c r="G71" s="457"/>
      <c r="H71" s="457"/>
      <c r="I71" s="527" t="str">
        <f>IFERROR(F71/#REF!,"-")</f>
        <v>-</v>
      </c>
      <c r="J71" s="456">
        <f t="shared" si="40"/>
        <v>0</v>
      </c>
      <c r="K71" s="457">
        <f t="shared" si="35"/>
        <v>0</v>
      </c>
      <c r="L71" s="458">
        <f t="shared" si="36"/>
        <v>0</v>
      </c>
      <c r="M71" s="644" t="str">
        <f t="shared" si="45"/>
        <v>-</v>
      </c>
      <c r="N71" s="264" t="str">
        <f t="shared" si="46"/>
        <v>-</v>
      </c>
      <c r="O71" s="534"/>
      <c r="P71" s="531">
        <f t="shared" si="37"/>
        <v>0</v>
      </c>
      <c r="Q71" s="532">
        <f t="shared" si="38"/>
        <v>0</v>
      </c>
    </row>
    <row r="72" spans="1:17" ht="23.25" customHeight="1" thickBot="1" x14ac:dyDescent="0.3">
      <c r="A72" s="274" t="s">
        <v>101</v>
      </c>
      <c r="B72" s="923" t="s">
        <v>25</v>
      </c>
      <c r="C72" s="924"/>
      <c r="D72" s="509">
        <f>SUM(D43:D71)</f>
        <v>0</v>
      </c>
      <c r="E72" s="521">
        <v>100000</v>
      </c>
      <c r="F72" s="515">
        <f>SUM(F38:F71)</f>
        <v>131963</v>
      </c>
      <c r="G72" s="515">
        <f>SUM(G38:G71)</f>
        <v>129480</v>
      </c>
      <c r="H72" s="515">
        <f>SUM(H38:H71)</f>
        <v>2483</v>
      </c>
      <c r="I72" s="516" t="str">
        <f>IFERROR(F72/#REF!,"-")</f>
        <v>-</v>
      </c>
      <c r="J72" s="509">
        <f>SUM(J38:J71)</f>
        <v>131963</v>
      </c>
      <c r="K72" s="509">
        <f t="shared" ref="K72:L72" si="47">SUM(K38:K71)</f>
        <v>129480</v>
      </c>
      <c r="L72" s="509">
        <f t="shared" si="47"/>
        <v>2483</v>
      </c>
      <c r="M72" s="517" t="str">
        <f t="shared" si="45"/>
        <v>-</v>
      </c>
      <c r="N72" s="516">
        <f t="shared" si="46"/>
        <v>1.8815880208846419E-2</v>
      </c>
      <c r="O72" s="518"/>
      <c r="P72" s="519">
        <f>SUM(P38:P71)</f>
        <v>612802.61999999988</v>
      </c>
      <c r="Q72" s="519">
        <f>SUM(Q38:Q71)</f>
        <v>612802.61999999988</v>
      </c>
    </row>
    <row r="73" spans="1:17" ht="23.25" customHeight="1" thickBot="1" x14ac:dyDescent="0.3">
      <c r="A73" s="317" t="s">
        <v>101</v>
      </c>
      <c r="B73" s="925" t="s">
        <v>248</v>
      </c>
      <c r="C73" s="926"/>
      <c r="D73" s="324">
        <f>+D42+D72</f>
        <v>0</v>
      </c>
      <c r="E73" s="325">
        <f>+E42+E72</f>
        <v>100000</v>
      </c>
      <c r="F73" s="324">
        <f>+F72</f>
        <v>131963</v>
      </c>
      <c r="G73" s="324">
        <f t="shared" ref="G73:H73" si="48">+G72</f>
        <v>129480</v>
      </c>
      <c r="H73" s="324">
        <f t="shared" si="48"/>
        <v>2483</v>
      </c>
      <c r="I73" s="347" t="str">
        <f>IFERROR(F73/#REF!,"-")</f>
        <v>-</v>
      </c>
      <c r="J73" s="324">
        <f>+J72</f>
        <v>131963</v>
      </c>
      <c r="K73" s="324">
        <f t="shared" ref="K73:L73" si="49">+K72</f>
        <v>129480</v>
      </c>
      <c r="L73" s="324">
        <f t="shared" si="49"/>
        <v>2483</v>
      </c>
      <c r="M73" s="339" t="str">
        <f t="shared" si="45"/>
        <v>-</v>
      </c>
      <c r="N73" s="347">
        <f t="shared" si="46"/>
        <v>1.8815880208846419E-2</v>
      </c>
      <c r="O73" s="390"/>
      <c r="P73" s="406">
        <f>+P72</f>
        <v>612802.61999999988</v>
      </c>
      <c r="Q73" s="424">
        <f>Q72</f>
        <v>612802.61999999988</v>
      </c>
    </row>
    <row r="74" spans="1:17" ht="26.25" thickBot="1" x14ac:dyDescent="0.3">
      <c r="A74" s="318"/>
      <c r="B74" s="944" t="s">
        <v>174</v>
      </c>
      <c r="C74" s="945"/>
      <c r="D74" s="372">
        <f>+D73+D37+D28</f>
        <v>0</v>
      </c>
      <c r="E74" s="372">
        <f>+E73+E37+E28</f>
        <v>230000</v>
      </c>
      <c r="F74" s="372">
        <f>+F73+F37+F28</f>
        <v>233551</v>
      </c>
      <c r="G74" s="372">
        <f>+G73+G37+G28</f>
        <v>229480</v>
      </c>
      <c r="H74" s="372">
        <f>+H73+H37+H28</f>
        <v>4071</v>
      </c>
      <c r="I74" s="373" t="str">
        <f>IFERROR(F74/#REF!,"-")</f>
        <v>-</v>
      </c>
      <c r="J74" s="372">
        <f>+J73+J37+J28</f>
        <v>233551</v>
      </c>
      <c r="K74" s="372">
        <f>+K73+K37+K28</f>
        <v>229480</v>
      </c>
      <c r="L74" s="372">
        <f>+L73+L37+L28</f>
        <v>4071</v>
      </c>
      <c r="M74" s="373" t="str">
        <f t="shared" si="45"/>
        <v>-</v>
      </c>
      <c r="N74" s="373">
        <f>IFERROR(L74/J74,"-")</f>
        <v>1.7430882334051236E-2</v>
      </c>
      <c r="O74" s="397"/>
      <c r="P74" s="414">
        <f>+P73+P37+P28</f>
        <v>834212.61999999988</v>
      </c>
      <c r="Q74" s="414">
        <f>+Q73+Q37+Q28</f>
        <v>834212.61999999988</v>
      </c>
    </row>
    <row r="75" spans="1:17" ht="24.6" customHeight="1" thickBot="1" x14ac:dyDescent="0.3">
      <c r="A75" s="230"/>
      <c r="B75" s="230"/>
      <c r="C75" s="230"/>
      <c r="D75" s="232"/>
      <c r="E75" s="232"/>
      <c r="F75" s="232"/>
      <c r="G75" s="267"/>
      <c r="H75" s="267"/>
      <c r="I75" s="234"/>
      <c r="J75" s="232"/>
      <c r="K75" s="232"/>
      <c r="L75" s="232"/>
      <c r="M75" s="234"/>
      <c r="N75" s="234"/>
    </row>
    <row r="76" spans="1:17" ht="22.5" customHeight="1" x14ac:dyDescent="0.25">
      <c r="A76" s="935" t="s">
        <v>1</v>
      </c>
      <c r="B76" s="938" t="s">
        <v>2</v>
      </c>
      <c r="C76" s="941" t="s">
        <v>394</v>
      </c>
      <c r="D76" s="890" t="s">
        <v>4</v>
      </c>
      <c r="E76" s="891"/>
      <c r="F76" s="891"/>
      <c r="G76" s="891"/>
      <c r="H76" s="891"/>
      <c r="I76" s="891"/>
      <c r="J76" s="891"/>
      <c r="K76" s="891"/>
      <c r="L76" s="891"/>
      <c r="M76" s="891"/>
      <c r="N76" s="892"/>
      <c r="O76" s="909" t="s">
        <v>167</v>
      </c>
      <c r="P76" s="910"/>
      <c r="Q76" s="930"/>
    </row>
    <row r="77" spans="1:17" ht="22.5" customHeight="1" x14ac:dyDescent="0.25">
      <c r="A77" s="936"/>
      <c r="B77" s="939"/>
      <c r="C77" s="942"/>
      <c r="D77" s="893" t="s">
        <v>7</v>
      </c>
      <c r="E77" s="895" t="s">
        <v>108</v>
      </c>
      <c r="F77" s="931" t="s">
        <v>500</v>
      </c>
      <c r="G77" s="898"/>
      <c r="H77" s="898"/>
      <c r="I77" s="899"/>
      <c r="J77" s="900" t="s">
        <v>8</v>
      </c>
      <c r="K77" s="901"/>
      <c r="L77" s="902"/>
      <c r="M77" s="903" t="s">
        <v>165</v>
      </c>
      <c r="N77" s="905" t="s">
        <v>164</v>
      </c>
      <c r="O77" s="932" t="s">
        <v>169</v>
      </c>
      <c r="P77" s="933"/>
      <c r="Q77" s="934"/>
    </row>
    <row r="78" spans="1:17" ht="45.75" thickBot="1" x14ac:dyDescent="0.3">
      <c r="A78" s="937"/>
      <c r="B78" s="940"/>
      <c r="C78" s="943"/>
      <c r="D78" s="894"/>
      <c r="E78" s="896"/>
      <c r="F78" s="448" t="s">
        <v>13</v>
      </c>
      <c r="G78" s="449" t="s">
        <v>14</v>
      </c>
      <c r="H78" s="449" t="s">
        <v>15</v>
      </c>
      <c r="I78" s="450" t="s">
        <v>166</v>
      </c>
      <c r="J78" s="641" t="s">
        <v>13</v>
      </c>
      <c r="K78" s="639" t="s">
        <v>14</v>
      </c>
      <c r="L78" s="640" t="s">
        <v>15</v>
      </c>
      <c r="M78" s="904"/>
      <c r="N78" s="906"/>
      <c r="O78" s="440" t="s">
        <v>170</v>
      </c>
      <c r="P78" s="441" t="s">
        <v>11</v>
      </c>
      <c r="Q78" s="442" t="s">
        <v>12</v>
      </c>
    </row>
    <row r="79" spans="1:17" ht="24" x14ac:dyDescent="0.25">
      <c r="A79" s="268" t="s">
        <v>103</v>
      </c>
      <c r="B79" s="435"/>
      <c r="C79" s="269" t="s">
        <v>245</v>
      </c>
      <c r="D79" s="270"/>
      <c r="E79" s="271"/>
      <c r="F79" s="330">
        <f>+G79+H79</f>
        <v>107820</v>
      </c>
      <c r="G79" s="272">
        <v>95480</v>
      </c>
      <c r="H79" s="272">
        <v>12340</v>
      </c>
      <c r="I79" s="349" t="str">
        <f>IFERROR(F79/#REF!,"-")</f>
        <v>-</v>
      </c>
      <c r="J79" s="453">
        <f>+K79+L79</f>
        <v>107820</v>
      </c>
      <c r="K79" s="454">
        <f>+G79+K14</f>
        <v>95480</v>
      </c>
      <c r="L79" s="455">
        <f>+H79+L14</f>
        <v>12340</v>
      </c>
      <c r="M79" s="334" t="str">
        <f>IFERROR(J79/D79,"-")</f>
        <v>-</v>
      </c>
      <c r="N79" s="341">
        <f t="shared" ref="N79:N80" si="50">IFERROR(L79/J79,"-")</f>
        <v>0.11445000927471712</v>
      </c>
      <c r="O79" s="503">
        <v>1.5669</v>
      </c>
      <c r="P79" s="398">
        <f>+O79*G79</f>
        <v>149607.61199999999</v>
      </c>
      <c r="Q79" s="443">
        <f>+O79*K79</f>
        <v>149607.61199999999</v>
      </c>
    </row>
    <row r="80" spans="1:17" ht="24" x14ac:dyDescent="0.25">
      <c r="A80" s="274" t="s">
        <v>103</v>
      </c>
      <c r="B80" s="434"/>
      <c r="C80" s="275" t="s">
        <v>244</v>
      </c>
      <c r="D80" s="276"/>
      <c r="E80" s="277"/>
      <c r="F80" s="331">
        <f t="shared" ref="F80:F83" si="51">+G80+H80</f>
        <v>0</v>
      </c>
      <c r="G80" s="679"/>
      <c r="H80" s="679"/>
      <c r="I80" s="350" t="str">
        <f>IFERROR(F80/#REF!,"-")</f>
        <v>-</v>
      </c>
      <c r="J80" s="331">
        <f t="shared" ref="J80:J83" si="52">+K80+L80</f>
        <v>0</v>
      </c>
      <c r="K80" s="278">
        <f t="shared" ref="K80:L80" si="53">+G80+K15</f>
        <v>0</v>
      </c>
      <c r="L80" s="432">
        <f t="shared" si="53"/>
        <v>0</v>
      </c>
      <c r="M80" s="335" t="str">
        <f t="shared" ref="M80:M83" si="54">IFERROR(J80/D80,"-")</f>
        <v>-</v>
      </c>
      <c r="N80" s="265" t="str">
        <f t="shared" si="50"/>
        <v>-</v>
      </c>
      <c r="O80" s="504">
        <v>2.3978999999999999</v>
      </c>
      <c r="P80" s="400">
        <f>+O80*G80</f>
        <v>0</v>
      </c>
      <c r="Q80" s="445">
        <f>+O80*K80</f>
        <v>0</v>
      </c>
    </row>
    <row r="81" spans="1:17" ht="24" x14ac:dyDescent="0.25">
      <c r="A81" s="274" t="s">
        <v>103</v>
      </c>
      <c r="B81" s="434"/>
      <c r="C81" s="275" t="s">
        <v>393</v>
      </c>
      <c r="D81" s="276"/>
      <c r="E81" s="277"/>
      <c r="F81" s="331">
        <f t="shared" si="51"/>
        <v>115874</v>
      </c>
      <c r="G81" s="278">
        <v>115000</v>
      </c>
      <c r="H81" s="679">
        <v>874</v>
      </c>
      <c r="I81" s="350" t="str">
        <f>IFERROR(F81/#REF!,"-")</f>
        <v>-</v>
      </c>
      <c r="J81" s="331">
        <f t="shared" si="52"/>
        <v>115874</v>
      </c>
      <c r="K81" s="278">
        <f t="shared" ref="K81:L81" si="55">+G81+K16</f>
        <v>115000</v>
      </c>
      <c r="L81" s="432">
        <f t="shared" si="55"/>
        <v>874</v>
      </c>
      <c r="M81" s="335" t="str">
        <f t="shared" si="54"/>
        <v>-</v>
      </c>
      <c r="N81" s="676">
        <f>IFERROR(L81/J81,"-")</f>
        <v>7.5426756649464074E-3</v>
      </c>
      <c r="O81" s="678">
        <v>3.6777000000000002</v>
      </c>
      <c r="P81" s="400">
        <f t="shared" ref="P81:P83" si="56">+O81*G81</f>
        <v>422935.5</v>
      </c>
      <c r="Q81" s="445">
        <f t="shared" ref="Q81:Q83" si="57">+O81*K81</f>
        <v>422935.5</v>
      </c>
    </row>
    <row r="82" spans="1:17" ht="24" x14ac:dyDescent="0.25">
      <c r="A82" s="274"/>
      <c r="B82" s="447"/>
      <c r="C82" s="275" t="s">
        <v>317</v>
      </c>
      <c r="D82" s="280"/>
      <c r="E82" s="281"/>
      <c r="F82" s="331">
        <f t="shared" si="51"/>
        <v>22232</v>
      </c>
      <c r="G82" s="282">
        <v>22000</v>
      </c>
      <c r="H82" s="282">
        <v>232</v>
      </c>
      <c r="I82" s="350" t="str">
        <f>IFERROR(F82/#REF!,"-")</f>
        <v>-</v>
      </c>
      <c r="J82" s="331">
        <f t="shared" si="52"/>
        <v>22232</v>
      </c>
      <c r="K82" s="278">
        <f t="shared" ref="K82:L82" si="58">+G82+K17</f>
        <v>22000</v>
      </c>
      <c r="L82" s="432">
        <f t="shared" si="58"/>
        <v>232</v>
      </c>
      <c r="M82" s="335" t="str">
        <f t="shared" si="54"/>
        <v>-</v>
      </c>
      <c r="N82" s="265">
        <f>IFERROR(L82/J82,"-")</f>
        <v>1.043540842029507E-2</v>
      </c>
      <c r="O82" s="505">
        <v>12.284700000000001</v>
      </c>
      <c r="P82" s="400">
        <f t="shared" si="56"/>
        <v>270263.40000000002</v>
      </c>
      <c r="Q82" s="445">
        <f t="shared" si="57"/>
        <v>270263.40000000002</v>
      </c>
    </row>
    <row r="83" spans="1:17" ht="24.75" thickBot="1" x14ac:dyDescent="0.3">
      <c r="A83" s="274" t="s">
        <v>103</v>
      </c>
      <c r="B83" s="447"/>
      <c r="C83" s="275" t="s">
        <v>507</v>
      </c>
      <c r="D83" s="280"/>
      <c r="E83" s="281"/>
      <c r="F83" s="332">
        <f t="shared" si="51"/>
        <v>30784</v>
      </c>
      <c r="G83" s="282">
        <v>30000</v>
      </c>
      <c r="H83" s="282">
        <v>784</v>
      </c>
      <c r="I83" s="351" t="str">
        <f>IFERROR(F83/#REF!,"-")</f>
        <v>-</v>
      </c>
      <c r="J83" s="456">
        <f t="shared" si="52"/>
        <v>30784</v>
      </c>
      <c r="K83" s="457">
        <f t="shared" ref="K83:L83" si="59">+G83+K18</f>
        <v>30000</v>
      </c>
      <c r="L83" s="458">
        <f t="shared" si="59"/>
        <v>784</v>
      </c>
      <c r="M83" s="336" t="str">
        <f t="shared" si="54"/>
        <v>-</v>
      </c>
      <c r="N83" s="342">
        <f t="shared" ref="N83:N95" si="60">IFERROR(L83/J83,"-")</f>
        <v>2.5467775467775469E-2</v>
      </c>
      <c r="O83" s="678">
        <v>0</v>
      </c>
      <c r="P83" s="401">
        <f t="shared" si="56"/>
        <v>0</v>
      </c>
      <c r="Q83" s="446">
        <f t="shared" si="57"/>
        <v>0</v>
      </c>
    </row>
    <row r="84" spans="1:17" ht="23.25" customHeight="1" thickBot="1" x14ac:dyDescent="0.3">
      <c r="A84" s="274" t="s">
        <v>103</v>
      </c>
      <c r="B84" s="923" t="s">
        <v>21</v>
      </c>
      <c r="C84" s="878"/>
      <c r="D84" s="319">
        <f>SUM(D79:D83)</f>
        <v>0</v>
      </c>
      <c r="E84" s="284">
        <v>15000</v>
      </c>
      <c r="F84" s="319">
        <f>SUM(F79:F83)</f>
        <v>276710</v>
      </c>
      <c r="G84" s="320">
        <f>SUM(G79:G83)</f>
        <v>262480</v>
      </c>
      <c r="H84" s="320">
        <f>SUM(H79:H83)</f>
        <v>14230</v>
      </c>
      <c r="I84" s="343" t="str">
        <f>IFERROR(F84/#REF!,"-")</f>
        <v>-</v>
      </c>
      <c r="J84" s="319">
        <f>SUM(J79:J83)</f>
        <v>276710</v>
      </c>
      <c r="K84" s="320">
        <f>SUM(K79:K83)</f>
        <v>262480</v>
      </c>
      <c r="L84" s="321">
        <f>SUM(L79:L83)</f>
        <v>14230</v>
      </c>
      <c r="M84" s="337" t="str">
        <f>IFERROR(J84/D84,"-")</f>
        <v>-</v>
      </c>
      <c r="N84" s="343">
        <f t="shared" si="60"/>
        <v>5.1425680315131367E-2</v>
      </c>
      <c r="O84" s="387"/>
      <c r="P84" s="402">
        <f>SUM(P79:P83)</f>
        <v>842806.51199999999</v>
      </c>
      <c r="Q84" s="421">
        <f>SUM(Q79:Q83)</f>
        <v>842806.51199999999</v>
      </c>
    </row>
    <row r="85" spans="1:17" ht="24" x14ac:dyDescent="0.25">
      <c r="A85" s="274" t="s">
        <v>103</v>
      </c>
      <c r="B85" s="435"/>
      <c r="C85" s="269" t="s">
        <v>243</v>
      </c>
      <c r="D85" s="270"/>
      <c r="E85" s="271"/>
      <c r="F85" s="330">
        <f t="shared" ref="F85:F91" si="61">+G85+H85</f>
        <v>4494</v>
      </c>
      <c r="G85" s="272">
        <v>4320</v>
      </c>
      <c r="H85" s="272">
        <v>174</v>
      </c>
      <c r="I85" s="349" t="str">
        <f>IFERROR(F85/#REF!,"-")</f>
        <v>-</v>
      </c>
      <c r="J85" s="453">
        <f t="shared" ref="J85:J91" si="62">+K85+L85</f>
        <v>4494</v>
      </c>
      <c r="K85" s="454">
        <f t="shared" ref="K85:L85" si="63">+G85+K20</f>
        <v>4320</v>
      </c>
      <c r="L85" s="455">
        <f t="shared" si="63"/>
        <v>174</v>
      </c>
      <c r="M85" s="334" t="str">
        <f t="shared" ref="M85:M93" si="64">IFERROR(J85/D85,"-")</f>
        <v>-</v>
      </c>
      <c r="N85" s="344">
        <f t="shared" si="60"/>
        <v>3.8718291054739652E-2</v>
      </c>
      <c r="O85" s="503">
        <v>18.2316</v>
      </c>
      <c r="P85" s="398">
        <f t="shared" ref="P85:P91" si="65">+O85*G85</f>
        <v>78760.512000000002</v>
      </c>
      <c r="Q85" s="443">
        <f t="shared" ref="Q85:Q91" si="66">+O85*K85</f>
        <v>78760.512000000002</v>
      </c>
    </row>
    <row r="86" spans="1:17" ht="24" x14ac:dyDescent="0.25">
      <c r="A86" s="274" t="s">
        <v>103</v>
      </c>
      <c r="B86" s="434"/>
      <c r="C86" s="275" t="s">
        <v>89</v>
      </c>
      <c r="D86" s="276"/>
      <c r="E86" s="277"/>
      <c r="F86" s="331">
        <f t="shared" si="61"/>
        <v>0</v>
      </c>
      <c r="G86" s="278"/>
      <c r="H86" s="278"/>
      <c r="I86" s="350" t="str">
        <f>IFERROR(F86/#REF!,"-")</f>
        <v>-</v>
      </c>
      <c r="J86" s="331">
        <f t="shared" si="62"/>
        <v>0</v>
      </c>
      <c r="K86" s="278">
        <f t="shared" ref="K86:L86" si="67">+G86+K21</f>
        <v>0</v>
      </c>
      <c r="L86" s="432">
        <f t="shared" si="67"/>
        <v>0</v>
      </c>
      <c r="M86" s="335" t="str">
        <f t="shared" si="64"/>
        <v>-</v>
      </c>
      <c r="N86" s="263" t="str">
        <f t="shared" si="60"/>
        <v>-</v>
      </c>
      <c r="O86" s="504">
        <v>1.2824</v>
      </c>
      <c r="P86" s="400">
        <f t="shared" si="65"/>
        <v>0</v>
      </c>
      <c r="Q86" s="445">
        <f t="shared" si="66"/>
        <v>0</v>
      </c>
    </row>
    <row r="87" spans="1:17" ht="24" x14ac:dyDescent="0.25">
      <c r="A87" s="274" t="s">
        <v>103</v>
      </c>
      <c r="B87" s="434"/>
      <c r="C87" s="275" t="s">
        <v>299</v>
      </c>
      <c r="D87" s="276"/>
      <c r="E87" s="277"/>
      <c r="F87" s="331">
        <f t="shared" si="61"/>
        <v>0</v>
      </c>
      <c r="G87" s="278"/>
      <c r="H87" s="278"/>
      <c r="I87" s="350" t="str">
        <f>IFERROR(F87/#REF!,"-")</f>
        <v>-</v>
      </c>
      <c r="J87" s="331">
        <f t="shared" si="62"/>
        <v>0</v>
      </c>
      <c r="K87" s="278">
        <f t="shared" ref="K87:L87" si="68">+G87+K22</f>
        <v>0</v>
      </c>
      <c r="L87" s="432">
        <f t="shared" si="68"/>
        <v>0</v>
      </c>
      <c r="M87" s="335" t="str">
        <f t="shared" si="64"/>
        <v>-</v>
      </c>
      <c r="N87" s="263" t="str">
        <f t="shared" si="60"/>
        <v>-</v>
      </c>
      <c r="O87" s="670">
        <v>5.7342000000000004</v>
      </c>
      <c r="P87" s="400">
        <f t="shared" si="65"/>
        <v>0</v>
      </c>
      <c r="Q87" s="445">
        <f t="shared" si="66"/>
        <v>0</v>
      </c>
    </row>
    <row r="88" spans="1:17" ht="24" x14ac:dyDescent="0.25">
      <c r="A88" s="274" t="s">
        <v>103</v>
      </c>
      <c r="B88" s="434"/>
      <c r="C88" s="275" t="s">
        <v>313</v>
      </c>
      <c r="D88" s="276"/>
      <c r="E88" s="277"/>
      <c r="F88" s="331">
        <f t="shared" si="61"/>
        <v>0</v>
      </c>
      <c r="G88" s="278"/>
      <c r="H88" s="278"/>
      <c r="I88" s="350" t="str">
        <f>IFERROR(F88/#REF!,"-")</f>
        <v>-</v>
      </c>
      <c r="J88" s="331">
        <f t="shared" si="62"/>
        <v>0</v>
      </c>
      <c r="K88" s="278">
        <f t="shared" ref="K88:L88" si="69">+G88+K23</f>
        <v>0</v>
      </c>
      <c r="L88" s="432">
        <f t="shared" si="69"/>
        <v>0</v>
      </c>
      <c r="M88" s="335" t="str">
        <f t="shared" si="64"/>
        <v>-</v>
      </c>
      <c r="N88" s="263" t="str">
        <f t="shared" si="60"/>
        <v>-</v>
      </c>
      <c r="O88" s="504"/>
      <c r="P88" s="400">
        <f t="shared" si="65"/>
        <v>0</v>
      </c>
      <c r="Q88" s="445">
        <f t="shared" si="66"/>
        <v>0</v>
      </c>
    </row>
    <row r="89" spans="1:17" ht="24" x14ac:dyDescent="0.25">
      <c r="A89" s="274" t="s">
        <v>103</v>
      </c>
      <c r="B89" s="434"/>
      <c r="C89" s="275" t="s">
        <v>318</v>
      </c>
      <c r="D89" s="276"/>
      <c r="E89" s="277"/>
      <c r="F89" s="331">
        <f t="shared" si="61"/>
        <v>0</v>
      </c>
      <c r="G89" s="278"/>
      <c r="H89" s="278"/>
      <c r="I89" s="350" t="str">
        <f>IFERROR(F89/#REF!,"-")</f>
        <v>-</v>
      </c>
      <c r="J89" s="331">
        <f t="shared" si="62"/>
        <v>0</v>
      </c>
      <c r="K89" s="278">
        <f t="shared" ref="K89:L89" si="70">+G89+K24</f>
        <v>0</v>
      </c>
      <c r="L89" s="432">
        <f t="shared" si="70"/>
        <v>0</v>
      </c>
      <c r="M89" s="335" t="str">
        <f t="shared" si="64"/>
        <v>-</v>
      </c>
      <c r="N89" s="263" t="str">
        <f t="shared" si="60"/>
        <v>-</v>
      </c>
      <c r="O89" s="504">
        <v>12.029500000000001</v>
      </c>
      <c r="P89" s="400">
        <f t="shared" si="65"/>
        <v>0</v>
      </c>
      <c r="Q89" s="445">
        <f t="shared" si="66"/>
        <v>0</v>
      </c>
    </row>
    <row r="90" spans="1:17" ht="24" x14ac:dyDescent="0.25">
      <c r="A90" s="274" t="s">
        <v>103</v>
      </c>
      <c r="B90" s="434"/>
      <c r="C90" s="275"/>
      <c r="D90" s="276"/>
      <c r="E90" s="277"/>
      <c r="F90" s="331">
        <f t="shared" si="61"/>
        <v>0</v>
      </c>
      <c r="G90" s="278"/>
      <c r="H90" s="278"/>
      <c r="I90" s="350" t="str">
        <f>IFERROR(F90/#REF!,"-")</f>
        <v>-</v>
      </c>
      <c r="J90" s="331">
        <f t="shared" si="62"/>
        <v>0</v>
      </c>
      <c r="K90" s="278">
        <f t="shared" ref="K90:L90" si="71">+G90+K25</f>
        <v>0</v>
      </c>
      <c r="L90" s="432">
        <f t="shared" si="71"/>
        <v>0</v>
      </c>
      <c r="M90" s="335" t="str">
        <f t="shared" si="64"/>
        <v>-</v>
      </c>
      <c r="N90" s="263" t="str">
        <f t="shared" si="60"/>
        <v>-</v>
      </c>
      <c r="O90" s="504"/>
      <c r="P90" s="400">
        <f t="shared" si="65"/>
        <v>0</v>
      </c>
      <c r="Q90" s="445">
        <f t="shared" si="66"/>
        <v>0</v>
      </c>
    </row>
    <row r="91" spans="1:17" ht="24.75" thickBot="1" x14ac:dyDescent="0.3">
      <c r="A91" s="274" t="s">
        <v>103</v>
      </c>
      <c r="B91" s="447"/>
      <c r="C91" s="279"/>
      <c r="D91" s="280">
        <v>0</v>
      </c>
      <c r="E91" s="281"/>
      <c r="F91" s="332">
        <f t="shared" si="61"/>
        <v>0</v>
      </c>
      <c r="G91" s="282"/>
      <c r="H91" s="282"/>
      <c r="I91" s="351" t="str">
        <f>IFERROR(F91/#REF!,"-")</f>
        <v>-</v>
      </c>
      <c r="J91" s="456">
        <f t="shared" si="62"/>
        <v>0</v>
      </c>
      <c r="K91" s="457">
        <f t="shared" ref="K91:L91" si="72">+G91+K26</f>
        <v>0</v>
      </c>
      <c r="L91" s="458">
        <f t="shared" si="72"/>
        <v>0</v>
      </c>
      <c r="M91" s="336" t="str">
        <f t="shared" si="64"/>
        <v>-</v>
      </c>
      <c r="N91" s="345" t="str">
        <f t="shared" si="60"/>
        <v>-</v>
      </c>
      <c r="O91" s="505"/>
      <c r="P91" s="401">
        <f t="shared" si="65"/>
        <v>0</v>
      </c>
      <c r="Q91" s="446">
        <f t="shared" si="66"/>
        <v>0</v>
      </c>
    </row>
    <row r="92" spans="1:17" ht="23.25" customHeight="1" thickBot="1" x14ac:dyDescent="0.3">
      <c r="A92" s="274" t="s">
        <v>103</v>
      </c>
      <c r="B92" s="923" t="s">
        <v>25</v>
      </c>
      <c r="C92" s="878"/>
      <c r="D92" s="319">
        <f t="shared" ref="D92" si="73">SUM(D85:D91)</f>
        <v>0</v>
      </c>
      <c r="E92" s="284">
        <v>100000</v>
      </c>
      <c r="F92" s="319">
        <f>SUM(F85:F91)</f>
        <v>4494</v>
      </c>
      <c r="G92" s="320">
        <f t="shared" ref="G92:H92" si="74">SUM(G85:G91)</f>
        <v>4320</v>
      </c>
      <c r="H92" s="320">
        <f t="shared" si="74"/>
        <v>174</v>
      </c>
      <c r="I92" s="343" t="str">
        <f>IFERROR(F92/#REF!,"-")</f>
        <v>-</v>
      </c>
      <c r="J92" s="319">
        <f t="shared" ref="J92:L92" si="75">SUM(J85:J91)</f>
        <v>4494</v>
      </c>
      <c r="K92" s="320">
        <f t="shared" si="75"/>
        <v>4320</v>
      </c>
      <c r="L92" s="321">
        <f t="shared" si="75"/>
        <v>174</v>
      </c>
      <c r="M92" s="337" t="str">
        <f t="shared" si="64"/>
        <v>-</v>
      </c>
      <c r="N92" s="343">
        <f t="shared" si="60"/>
        <v>3.8718291054739652E-2</v>
      </c>
      <c r="O92" s="387"/>
      <c r="P92" s="402">
        <f t="shared" ref="P92:Q92" si="76">SUM(P85:P91)</f>
        <v>78760.512000000002</v>
      </c>
      <c r="Q92" s="421">
        <f t="shared" si="76"/>
        <v>78760.512000000002</v>
      </c>
    </row>
    <row r="93" spans="1:17" ht="23.25" customHeight="1" thickBot="1" x14ac:dyDescent="0.3">
      <c r="A93" s="274" t="s">
        <v>103</v>
      </c>
      <c r="B93" s="925" t="s">
        <v>172</v>
      </c>
      <c r="C93" s="926"/>
      <c r="D93" s="324">
        <f>+D84+D92</f>
        <v>0</v>
      </c>
      <c r="E93" s="325">
        <f t="shared" ref="E93:H93" si="77">+E84+E92</f>
        <v>115000</v>
      </c>
      <c r="F93" s="324">
        <f t="shared" si="77"/>
        <v>281204</v>
      </c>
      <c r="G93" s="322">
        <f t="shared" si="77"/>
        <v>266800</v>
      </c>
      <c r="H93" s="322">
        <f t="shared" si="77"/>
        <v>14404</v>
      </c>
      <c r="I93" s="347" t="str">
        <f>IFERROR(F93/#REF!,"-")</f>
        <v>-</v>
      </c>
      <c r="J93" s="324">
        <f t="shared" ref="J93:L93" si="78">+J84+J92</f>
        <v>281204</v>
      </c>
      <c r="K93" s="322">
        <f t="shared" si="78"/>
        <v>266800</v>
      </c>
      <c r="L93" s="323">
        <f t="shared" si="78"/>
        <v>14404</v>
      </c>
      <c r="M93" s="339" t="str">
        <f t="shared" si="64"/>
        <v>-</v>
      </c>
      <c r="N93" s="347">
        <f t="shared" si="60"/>
        <v>5.1222599963016174E-2</v>
      </c>
      <c r="O93" s="390"/>
      <c r="P93" s="406">
        <f t="shared" ref="P93:Q93" si="79">+P84+P92</f>
        <v>921567.02399999998</v>
      </c>
      <c r="Q93" s="424">
        <f t="shared" si="79"/>
        <v>921567.02399999998</v>
      </c>
    </row>
    <row r="94" spans="1:17" ht="24" x14ac:dyDescent="0.25">
      <c r="A94" s="244" t="s">
        <v>101</v>
      </c>
      <c r="B94" s="574"/>
      <c r="C94" s="575" t="s">
        <v>282</v>
      </c>
      <c r="D94" s="522"/>
      <c r="E94" s="455"/>
      <c r="F94" s="453">
        <f>+G94+H94</f>
        <v>0</v>
      </c>
      <c r="G94" s="454"/>
      <c r="H94" s="454"/>
      <c r="I94" s="526" t="str">
        <f>IFERROR(F94/#REF!,"-")</f>
        <v>-</v>
      </c>
      <c r="J94" s="453">
        <f>+K94+L94</f>
        <v>0</v>
      </c>
      <c r="K94" s="454">
        <f t="shared" ref="K94:L94" si="80">+G94+K29</f>
        <v>0</v>
      </c>
      <c r="L94" s="455">
        <f t="shared" si="80"/>
        <v>0</v>
      </c>
      <c r="M94" s="579" t="str">
        <f>IFERROR(J94/D94,"-")</f>
        <v>-</v>
      </c>
      <c r="N94" s="528" t="str">
        <f t="shared" si="60"/>
        <v>-</v>
      </c>
      <c r="O94" s="617">
        <v>4.8285999999999998</v>
      </c>
      <c r="P94" s="529">
        <f t="shared" ref="P94:P100" si="81">+O94*G94</f>
        <v>0</v>
      </c>
      <c r="Q94" s="530">
        <f t="shared" ref="Q94:Q100" si="82">+O94*K94</f>
        <v>0</v>
      </c>
    </row>
    <row r="95" spans="1:17" ht="24" x14ac:dyDescent="0.25">
      <c r="A95" s="248" t="s">
        <v>101</v>
      </c>
      <c r="B95" s="576"/>
      <c r="C95" s="275" t="s">
        <v>283</v>
      </c>
      <c r="D95" s="276"/>
      <c r="E95" s="432"/>
      <c r="F95" s="331">
        <f t="shared" ref="F95:F100" si="83">+G95+H95</f>
        <v>0</v>
      </c>
      <c r="G95" s="278"/>
      <c r="H95" s="278"/>
      <c r="I95" s="350" t="str">
        <f>IFERROR(F95/#REF!,"-")</f>
        <v>-</v>
      </c>
      <c r="J95" s="331">
        <f t="shared" ref="J95:J100" si="84">+K95+L95</f>
        <v>0</v>
      </c>
      <c r="K95" s="278">
        <f t="shared" ref="K95:L95" si="85">+G95+K30</f>
        <v>0</v>
      </c>
      <c r="L95" s="432">
        <f t="shared" si="85"/>
        <v>0</v>
      </c>
      <c r="M95" s="335" t="str">
        <f t="shared" ref="M95:M97" si="86">IFERROR(J95/D95,"-")</f>
        <v>-</v>
      </c>
      <c r="N95" s="265" t="str">
        <f t="shared" si="60"/>
        <v>-</v>
      </c>
      <c r="O95" s="618">
        <v>1.4086000000000001</v>
      </c>
      <c r="P95" s="400">
        <f t="shared" si="81"/>
        <v>0</v>
      </c>
      <c r="Q95" s="445">
        <f t="shared" si="82"/>
        <v>0</v>
      </c>
    </row>
    <row r="96" spans="1:17" ht="24" x14ac:dyDescent="0.25">
      <c r="A96" s="248" t="s">
        <v>101</v>
      </c>
      <c r="B96" s="576"/>
      <c r="C96" s="275" t="s">
        <v>314</v>
      </c>
      <c r="D96" s="276"/>
      <c r="E96" s="432"/>
      <c r="F96" s="331">
        <f t="shared" si="83"/>
        <v>0</v>
      </c>
      <c r="G96" s="278"/>
      <c r="H96" s="278"/>
      <c r="I96" s="350" t="str">
        <f>IFERROR(F96/#REF!,"-")</f>
        <v>-</v>
      </c>
      <c r="J96" s="331">
        <f t="shared" si="84"/>
        <v>0</v>
      </c>
      <c r="K96" s="278">
        <f t="shared" ref="K96:L96" si="87">+G96+K31</f>
        <v>0</v>
      </c>
      <c r="L96" s="432">
        <f t="shared" si="87"/>
        <v>0</v>
      </c>
      <c r="M96" s="335" t="str">
        <f t="shared" si="86"/>
        <v>-</v>
      </c>
      <c r="N96" s="265" t="str">
        <f>IFERROR(L96/J96,"-")</f>
        <v>-</v>
      </c>
      <c r="O96" s="618">
        <v>2.2141000000000002</v>
      </c>
      <c r="P96" s="400">
        <f t="shared" si="81"/>
        <v>0</v>
      </c>
      <c r="Q96" s="445">
        <f t="shared" si="82"/>
        <v>0</v>
      </c>
    </row>
    <row r="97" spans="1:17" ht="24" x14ac:dyDescent="0.25">
      <c r="A97" s="248" t="s">
        <v>101</v>
      </c>
      <c r="B97" s="577"/>
      <c r="C97" s="275" t="s">
        <v>442</v>
      </c>
      <c r="D97" s="280"/>
      <c r="E97" s="523"/>
      <c r="F97" s="332">
        <f>+G97+H97</f>
        <v>101391</v>
      </c>
      <c r="G97" s="282">
        <v>100000</v>
      </c>
      <c r="H97" s="282">
        <v>1391</v>
      </c>
      <c r="I97" s="351" t="str">
        <f>IFERROR(F97/#REF!,"-")</f>
        <v>-</v>
      </c>
      <c r="J97" s="331">
        <f t="shared" si="84"/>
        <v>202979</v>
      </c>
      <c r="K97" s="278">
        <f>+G97+K32</f>
        <v>200000</v>
      </c>
      <c r="L97" s="432">
        <f>+H97+L32</f>
        <v>2979</v>
      </c>
      <c r="M97" s="336" t="str">
        <f t="shared" si="86"/>
        <v>-</v>
      </c>
      <c r="N97" s="342">
        <f t="shared" ref="N97:N104" si="88">IFERROR(L97/J97,"-")</f>
        <v>1.4676395095059094E-2</v>
      </c>
      <c r="O97" s="618">
        <v>2.2141000000000002</v>
      </c>
      <c r="P97" s="401">
        <f>+O97*G97</f>
        <v>221410.00000000003</v>
      </c>
      <c r="Q97" s="446">
        <f t="shared" si="82"/>
        <v>442820.00000000006</v>
      </c>
    </row>
    <row r="98" spans="1:17" ht="24" x14ac:dyDescent="0.25">
      <c r="A98" s="248" t="s">
        <v>101</v>
      </c>
      <c r="B98" s="436"/>
      <c r="C98" s="616" t="s">
        <v>351</v>
      </c>
      <c r="D98" s="506"/>
      <c r="E98" s="524"/>
      <c r="F98" s="331">
        <f t="shared" si="83"/>
        <v>0</v>
      </c>
      <c r="G98" s="540"/>
      <c r="H98" s="540"/>
      <c r="I98" s="350" t="str">
        <f>IFERROR(F98/#REF!,"-")</f>
        <v>-</v>
      </c>
      <c r="J98" s="331">
        <f t="shared" si="84"/>
        <v>0</v>
      </c>
      <c r="K98" s="278">
        <f t="shared" ref="K98:L98" si="89">+G98+K33</f>
        <v>0</v>
      </c>
      <c r="L98" s="432">
        <f t="shared" si="89"/>
        <v>0</v>
      </c>
      <c r="M98" s="643"/>
      <c r="N98" s="265" t="str">
        <f t="shared" si="88"/>
        <v>-</v>
      </c>
      <c r="O98" s="535">
        <v>4.8285999999999998</v>
      </c>
      <c r="P98" s="400">
        <f t="shared" si="81"/>
        <v>0</v>
      </c>
      <c r="Q98" s="445">
        <f t="shared" si="82"/>
        <v>0</v>
      </c>
    </row>
    <row r="99" spans="1:17" ht="24" x14ac:dyDescent="0.25">
      <c r="A99" s="248" t="s">
        <v>101</v>
      </c>
      <c r="B99" s="578"/>
      <c r="C99" s="616" t="s">
        <v>347</v>
      </c>
      <c r="D99" s="270"/>
      <c r="E99" s="431"/>
      <c r="F99" s="330">
        <f t="shared" si="83"/>
        <v>0</v>
      </c>
      <c r="G99" s="272"/>
      <c r="H99" s="272"/>
      <c r="I99" s="349" t="str">
        <f>IFERROR(F99/#REF!,"-")</f>
        <v>-</v>
      </c>
      <c r="J99" s="331">
        <f t="shared" si="84"/>
        <v>0</v>
      </c>
      <c r="K99" s="278">
        <f t="shared" ref="K99:L99" si="90">+G99+K34</f>
        <v>0</v>
      </c>
      <c r="L99" s="432">
        <f t="shared" si="90"/>
        <v>0</v>
      </c>
      <c r="M99" s="334" t="str">
        <f t="shared" ref="M99:M100" si="91">IFERROR(J99/D99,"-")</f>
        <v>-</v>
      </c>
      <c r="N99" s="344" t="str">
        <f t="shared" si="88"/>
        <v>-</v>
      </c>
      <c r="O99" s="503">
        <v>4.1712999999999996</v>
      </c>
      <c r="P99" s="398">
        <f t="shared" si="81"/>
        <v>0</v>
      </c>
      <c r="Q99" s="443">
        <f t="shared" si="82"/>
        <v>0</v>
      </c>
    </row>
    <row r="100" spans="1:17" ht="24.75" thickBot="1" x14ac:dyDescent="0.3">
      <c r="A100" s="248" t="s">
        <v>101</v>
      </c>
      <c r="B100" s="576"/>
      <c r="C100" s="275"/>
      <c r="D100" s="276"/>
      <c r="E100" s="432"/>
      <c r="F100" s="331">
        <f t="shared" si="83"/>
        <v>0</v>
      </c>
      <c r="G100" s="278"/>
      <c r="H100" s="278"/>
      <c r="I100" s="350" t="str">
        <f>IFERROR(F100/#REF!,"-")</f>
        <v>-</v>
      </c>
      <c r="J100" s="456">
        <f t="shared" si="84"/>
        <v>0</v>
      </c>
      <c r="K100" s="457">
        <f t="shared" ref="K100:L100" si="92">+G100+K35</f>
        <v>0</v>
      </c>
      <c r="L100" s="458">
        <f t="shared" si="92"/>
        <v>0</v>
      </c>
      <c r="M100" s="335" t="str">
        <f t="shared" si="91"/>
        <v>-</v>
      </c>
      <c r="N100" s="263" t="str">
        <f t="shared" si="88"/>
        <v>-</v>
      </c>
      <c r="O100" s="444"/>
      <c r="P100" s="400">
        <f t="shared" si="81"/>
        <v>0</v>
      </c>
      <c r="Q100" s="445">
        <f t="shared" si="82"/>
        <v>0</v>
      </c>
    </row>
    <row r="101" spans="1:17" ht="23.25" customHeight="1" thickBot="1" x14ac:dyDescent="0.3">
      <c r="A101" s="274" t="s">
        <v>101</v>
      </c>
      <c r="B101" s="923" t="s">
        <v>21</v>
      </c>
      <c r="C101" s="878"/>
      <c r="D101" s="319">
        <v>0</v>
      </c>
      <c r="E101" s="284">
        <v>15000</v>
      </c>
      <c r="F101" s="319">
        <f>SUM(F94:F100)</f>
        <v>101391</v>
      </c>
      <c r="G101" s="320">
        <f t="shared" ref="G101:H101" si="93">SUM(G94:G100)</f>
        <v>100000</v>
      </c>
      <c r="H101" s="320">
        <f t="shared" si="93"/>
        <v>1391</v>
      </c>
      <c r="I101" s="343" t="str">
        <f>IFERROR(F101/#REF!,"-")</f>
        <v>-</v>
      </c>
      <c r="J101" s="509">
        <f t="shared" ref="J101" si="94">SUM(J94:J100)</f>
        <v>202979</v>
      </c>
      <c r="K101" s="515">
        <f>SUM(K94:K100)</f>
        <v>200000</v>
      </c>
      <c r="L101" s="515">
        <f>SUM(L94:L100)</f>
        <v>2979</v>
      </c>
      <c r="M101" s="337" t="str">
        <f>IFERROR(J101/D101,"-")</f>
        <v>-</v>
      </c>
      <c r="N101" s="343">
        <f t="shared" si="88"/>
        <v>1.4676395095059094E-2</v>
      </c>
      <c r="O101" s="387"/>
      <c r="P101" s="402">
        <f>SUM(P94:P100)</f>
        <v>221410.00000000003</v>
      </c>
      <c r="Q101" s="421">
        <f>SUM(Q94:Q100)</f>
        <v>442820.00000000006</v>
      </c>
    </row>
    <row r="102" spans="1:17" ht="23.25" customHeight="1" thickBot="1" x14ac:dyDescent="0.3">
      <c r="A102" s="274" t="s">
        <v>101</v>
      </c>
      <c r="B102" s="925" t="s">
        <v>247</v>
      </c>
      <c r="C102" s="926"/>
      <c r="D102" s="508">
        <f>+D98+D101</f>
        <v>0</v>
      </c>
      <c r="E102" s="520">
        <f>+E98+E101</f>
        <v>15000</v>
      </c>
      <c r="F102" s="508">
        <f>+F98+F101</f>
        <v>101391</v>
      </c>
      <c r="G102" s="510">
        <f>+G98+G101</f>
        <v>100000</v>
      </c>
      <c r="H102" s="510">
        <f>+H98+H101</f>
        <v>1391</v>
      </c>
      <c r="I102" s="511" t="str">
        <f>IFERROR(F102/#REF!,"-")</f>
        <v>-</v>
      </c>
      <c r="J102" s="508">
        <f>+J98+J101</f>
        <v>202979</v>
      </c>
      <c r="K102" s="510">
        <f>+K101</f>
        <v>200000</v>
      </c>
      <c r="L102" s="510">
        <f>+L101</f>
        <v>2979</v>
      </c>
      <c r="M102" s="512" t="str">
        <f t="shared" ref="M102" si="95">IFERROR(J102/D102,"-")</f>
        <v>-</v>
      </c>
      <c r="N102" s="511">
        <f t="shared" si="88"/>
        <v>1.4676395095059094E-2</v>
      </c>
      <c r="O102" s="513"/>
      <c r="P102" s="514">
        <f>+P101</f>
        <v>221410.00000000003</v>
      </c>
      <c r="Q102" s="514">
        <f>+Q101</f>
        <v>442820.00000000006</v>
      </c>
    </row>
    <row r="103" spans="1:17" ht="24" x14ac:dyDescent="0.35">
      <c r="A103" s="244" t="s">
        <v>101</v>
      </c>
      <c r="B103" s="927" t="s">
        <v>249</v>
      </c>
      <c r="C103" s="536" t="s">
        <v>71</v>
      </c>
      <c r="D103" s="522"/>
      <c r="E103" s="455"/>
      <c r="F103" s="453">
        <f>+G103+H103</f>
        <v>9098</v>
      </c>
      <c r="G103" s="454">
        <v>9000</v>
      </c>
      <c r="H103" s="454">
        <v>98</v>
      </c>
      <c r="I103" s="526" t="str">
        <f>IFERROR(F103/#REF!,"-")</f>
        <v>-</v>
      </c>
      <c r="J103" s="453">
        <f>+K103+L103</f>
        <v>9098</v>
      </c>
      <c r="K103" s="454">
        <f t="shared" ref="K103:L103" si="96">+G103+K38</f>
        <v>9000</v>
      </c>
      <c r="L103" s="455">
        <f t="shared" si="96"/>
        <v>98</v>
      </c>
      <c r="M103" s="579" t="str">
        <f>IFERROR(J103/D103,"-")</f>
        <v>-</v>
      </c>
      <c r="N103" s="528">
        <f t="shared" si="88"/>
        <v>1.0771598153440316E-2</v>
      </c>
      <c r="O103" s="533">
        <v>32.946300000000001</v>
      </c>
      <c r="P103" s="529">
        <f t="shared" ref="P103:P136" si="97">+O103*G103</f>
        <v>296516.7</v>
      </c>
      <c r="Q103" s="530">
        <f t="shared" ref="Q103:Q136" si="98">+O103*K103</f>
        <v>296516.7</v>
      </c>
    </row>
    <row r="104" spans="1:17" ht="24" x14ac:dyDescent="0.35">
      <c r="A104" s="248" t="s">
        <v>101</v>
      </c>
      <c r="B104" s="928"/>
      <c r="C104" s="537" t="s">
        <v>72</v>
      </c>
      <c r="D104" s="507"/>
      <c r="E104" s="432"/>
      <c r="F104" s="331">
        <f t="shared" ref="F104:F136" si="99">+G104+H104</f>
        <v>0</v>
      </c>
      <c r="G104" s="278"/>
      <c r="H104" s="278"/>
      <c r="I104" s="350" t="str">
        <f>IFERROR(F104/#REF!,"-")</f>
        <v>-</v>
      </c>
      <c r="J104" s="331">
        <f t="shared" ref="J104:J136" si="100">+K104+L104</f>
        <v>0</v>
      </c>
      <c r="K104" s="278">
        <f t="shared" ref="K104:L104" si="101">+G104+K39</f>
        <v>0</v>
      </c>
      <c r="L104" s="432">
        <f t="shared" si="101"/>
        <v>0</v>
      </c>
      <c r="M104" s="335" t="str">
        <f t="shared" ref="M104:M106" si="102">IFERROR(J104/D104,"-")</f>
        <v>-</v>
      </c>
      <c r="N104" s="265" t="str">
        <f t="shared" si="88"/>
        <v>-</v>
      </c>
      <c r="O104" s="504">
        <v>35.398400000000002</v>
      </c>
      <c r="P104" s="400">
        <f t="shared" si="97"/>
        <v>0</v>
      </c>
      <c r="Q104" s="445">
        <f t="shared" si="98"/>
        <v>0</v>
      </c>
    </row>
    <row r="105" spans="1:17" ht="24.75" thickBot="1" x14ac:dyDescent="0.4">
      <c r="A105" s="248" t="s">
        <v>101</v>
      </c>
      <c r="B105" s="929"/>
      <c r="C105" s="537" t="s">
        <v>450</v>
      </c>
      <c r="D105" s="276"/>
      <c r="E105" s="432"/>
      <c r="F105" s="331">
        <f t="shared" si="99"/>
        <v>0</v>
      </c>
      <c r="G105" s="278"/>
      <c r="H105" s="278"/>
      <c r="I105" s="350" t="str">
        <f>IFERROR(F105/#REF!,"-")</f>
        <v>-</v>
      </c>
      <c r="J105" s="331">
        <f t="shared" si="100"/>
        <v>0</v>
      </c>
      <c r="K105" s="278">
        <f t="shared" ref="K105:L105" si="103">+G105+K40</f>
        <v>0</v>
      </c>
      <c r="L105" s="432">
        <f t="shared" si="103"/>
        <v>0</v>
      </c>
      <c r="M105" s="335" t="str">
        <f t="shared" si="102"/>
        <v>-</v>
      </c>
      <c r="N105" s="265" t="str">
        <f>IFERROR(L105/J105,"-")</f>
        <v>-</v>
      </c>
      <c r="O105" s="504">
        <v>35.398400000000002</v>
      </c>
      <c r="P105" s="400">
        <f t="shared" si="97"/>
        <v>0</v>
      </c>
      <c r="Q105" s="445">
        <f t="shared" si="98"/>
        <v>0</v>
      </c>
    </row>
    <row r="106" spans="1:17" ht="24" x14ac:dyDescent="0.35">
      <c r="A106" s="248" t="s">
        <v>101</v>
      </c>
      <c r="B106" s="927" t="s">
        <v>250</v>
      </c>
      <c r="C106" s="538" t="s">
        <v>75</v>
      </c>
      <c r="D106" s="276"/>
      <c r="E106" s="523"/>
      <c r="F106" s="332">
        <f t="shared" si="99"/>
        <v>0</v>
      </c>
      <c r="G106" s="278"/>
      <c r="H106" s="278"/>
      <c r="I106" s="350" t="str">
        <f>IFERROR(F106/#REF!,"-")</f>
        <v>-</v>
      </c>
      <c r="J106" s="331">
        <f t="shared" si="100"/>
        <v>0</v>
      </c>
      <c r="K106" s="278">
        <f t="shared" ref="K106:L106" si="104">+G106+K41</f>
        <v>0</v>
      </c>
      <c r="L106" s="432">
        <f t="shared" si="104"/>
        <v>0</v>
      </c>
      <c r="M106" s="335" t="str">
        <f t="shared" si="102"/>
        <v>-</v>
      </c>
      <c r="N106" s="265" t="str">
        <f t="shared" ref="N106" si="105">IFERROR(L106/J106,"-")</f>
        <v>-</v>
      </c>
      <c r="O106" s="504">
        <v>55.4758</v>
      </c>
      <c r="P106" s="400">
        <f t="shared" si="97"/>
        <v>0</v>
      </c>
      <c r="Q106" s="445">
        <f t="shared" si="98"/>
        <v>0</v>
      </c>
    </row>
    <row r="107" spans="1:17" ht="24" x14ac:dyDescent="0.35">
      <c r="A107" s="248" t="s">
        <v>101</v>
      </c>
      <c r="B107" s="928"/>
      <c r="C107" s="538" t="s">
        <v>72</v>
      </c>
      <c r="D107" s="276"/>
      <c r="E107" s="524"/>
      <c r="F107" s="332">
        <f t="shared" si="99"/>
        <v>0</v>
      </c>
      <c r="G107" s="278"/>
      <c r="H107" s="278"/>
      <c r="I107" s="350" t="str">
        <f>IFERROR(F107/#REF!,"-")</f>
        <v>-</v>
      </c>
      <c r="J107" s="331">
        <f t="shared" si="100"/>
        <v>0</v>
      </c>
      <c r="K107" s="278">
        <f t="shared" ref="K107:L107" si="106">+G107+K42</f>
        <v>0</v>
      </c>
      <c r="L107" s="432">
        <f t="shared" si="106"/>
        <v>0</v>
      </c>
      <c r="M107" s="643"/>
      <c r="N107" s="370"/>
      <c r="O107" s="535">
        <v>58.836300000000001</v>
      </c>
      <c r="P107" s="400">
        <f t="shared" si="97"/>
        <v>0</v>
      </c>
      <c r="Q107" s="445">
        <f t="shared" si="98"/>
        <v>0</v>
      </c>
    </row>
    <row r="108" spans="1:17" ht="24" x14ac:dyDescent="0.35">
      <c r="A108" s="248" t="s">
        <v>101</v>
      </c>
      <c r="B108" s="928"/>
      <c r="C108" s="538" t="s">
        <v>345</v>
      </c>
      <c r="D108" s="276"/>
      <c r="E108" s="431"/>
      <c r="F108" s="332">
        <f t="shared" si="99"/>
        <v>0</v>
      </c>
      <c r="G108" s="278"/>
      <c r="H108" s="278"/>
      <c r="I108" s="350" t="str">
        <f>IFERROR(F108/#REF!,"-")</f>
        <v>-</v>
      </c>
      <c r="J108" s="331">
        <f t="shared" si="100"/>
        <v>0</v>
      </c>
      <c r="K108" s="278">
        <f t="shared" ref="K108:L108" si="107">+G108+K43</f>
        <v>0</v>
      </c>
      <c r="L108" s="432">
        <f t="shared" si="107"/>
        <v>0</v>
      </c>
      <c r="M108" s="335" t="str">
        <f t="shared" ref="M108" si="108">IFERROR(J108/D108,"-")</f>
        <v>-</v>
      </c>
      <c r="N108" s="263" t="str">
        <f t="shared" ref="N108" si="109">IFERROR(L108/J108,"-")</f>
        <v>-</v>
      </c>
      <c r="O108" s="670">
        <v>58.836300000000001</v>
      </c>
      <c r="P108" s="400">
        <f t="shared" si="97"/>
        <v>0</v>
      </c>
      <c r="Q108" s="445">
        <f t="shared" si="98"/>
        <v>0</v>
      </c>
    </row>
    <row r="109" spans="1:17" ht="24.75" thickBot="1" x14ac:dyDescent="0.4">
      <c r="A109" s="248"/>
      <c r="B109" s="929"/>
      <c r="C109" s="538" t="s">
        <v>359</v>
      </c>
      <c r="D109" s="276"/>
      <c r="E109" s="431"/>
      <c r="F109" s="332">
        <f t="shared" si="99"/>
        <v>0</v>
      </c>
      <c r="G109" s="278"/>
      <c r="H109" s="278"/>
      <c r="I109" s="350"/>
      <c r="J109" s="331">
        <f t="shared" si="100"/>
        <v>0</v>
      </c>
      <c r="K109" s="278">
        <f t="shared" ref="K109:L109" si="110">+G109+K44</f>
        <v>0</v>
      </c>
      <c r="L109" s="432">
        <f t="shared" si="110"/>
        <v>0</v>
      </c>
      <c r="M109" s="335"/>
      <c r="N109" s="263" t="str">
        <f>IFERROR(L109/J109,"-")</f>
        <v>-</v>
      </c>
      <c r="O109" s="504">
        <v>55.4758</v>
      </c>
      <c r="P109" s="400">
        <f t="shared" si="97"/>
        <v>0</v>
      </c>
      <c r="Q109" s="445">
        <f t="shared" si="98"/>
        <v>0</v>
      </c>
    </row>
    <row r="110" spans="1:17" ht="24" x14ac:dyDescent="0.35">
      <c r="A110" s="248" t="s">
        <v>101</v>
      </c>
      <c r="B110" s="927" t="s">
        <v>407</v>
      </c>
      <c r="C110" s="537" t="s">
        <v>77</v>
      </c>
      <c r="D110" s="276"/>
      <c r="E110" s="432"/>
      <c r="F110" s="331">
        <f t="shared" si="99"/>
        <v>0</v>
      </c>
      <c r="G110" s="278"/>
      <c r="H110" s="278"/>
      <c r="I110" s="350" t="str">
        <f>IFERROR(F110/#REF!,"-")</f>
        <v>-</v>
      </c>
      <c r="J110" s="331">
        <f t="shared" si="100"/>
        <v>0</v>
      </c>
      <c r="K110" s="647">
        <f t="shared" ref="K110:L110" si="111">+G110+K45</f>
        <v>0</v>
      </c>
      <c r="L110" s="648">
        <f t="shared" si="111"/>
        <v>0</v>
      </c>
      <c r="M110" s="335" t="str">
        <f t="shared" ref="M110:M139" si="112">IFERROR(J110/D110,"-")</f>
        <v>-</v>
      </c>
      <c r="N110" s="263" t="str">
        <f t="shared" ref="N110:N138" si="113">IFERROR(L110/J110,"-")</f>
        <v>-</v>
      </c>
      <c r="O110" s="504">
        <v>25.687200000000001</v>
      </c>
      <c r="P110" s="400">
        <f t="shared" si="97"/>
        <v>0</v>
      </c>
      <c r="Q110" s="445">
        <f t="shared" si="98"/>
        <v>0</v>
      </c>
    </row>
    <row r="111" spans="1:17" ht="24.75" thickBot="1" x14ac:dyDescent="0.4">
      <c r="A111" s="248" t="s">
        <v>101</v>
      </c>
      <c r="B111" s="929"/>
      <c r="C111" s="537" t="s">
        <v>117</v>
      </c>
      <c r="D111" s="276"/>
      <c r="E111" s="432"/>
      <c r="F111" s="331">
        <f t="shared" si="99"/>
        <v>0</v>
      </c>
      <c r="G111" s="278"/>
      <c r="H111" s="278"/>
      <c r="I111" s="350" t="str">
        <f>IFERROR(F111/#REF!,"-")</f>
        <v>-</v>
      </c>
      <c r="J111" s="331">
        <f t="shared" si="100"/>
        <v>0</v>
      </c>
      <c r="K111" s="278">
        <f t="shared" ref="K111:L111" si="114">+G111+K46</f>
        <v>0</v>
      </c>
      <c r="L111" s="432">
        <f t="shared" si="114"/>
        <v>0</v>
      </c>
      <c r="M111" s="335" t="str">
        <f t="shared" si="112"/>
        <v>-</v>
      </c>
      <c r="N111" s="263" t="str">
        <f t="shared" si="113"/>
        <v>-</v>
      </c>
      <c r="O111" s="504">
        <v>25.033899999999999</v>
      </c>
      <c r="P111" s="400">
        <f t="shared" si="97"/>
        <v>0</v>
      </c>
      <c r="Q111" s="445">
        <f t="shared" si="98"/>
        <v>0</v>
      </c>
    </row>
    <row r="112" spans="1:17" ht="24" x14ac:dyDescent="0.35">
      <c r="A112" s="248"/>
      <c r="B112" s="927" t="s">
        <v>408</v>
      </c>
      <c r="C112" s="537" t="s">
        <v>79</v>
      </c>
      <c r="D112" s="276"/>
      <c r="E112" s="432"/>
      <c r="F112" s="331">
        <f t="shared" si="99"/>
        <v>0</v>
      </c>
      <c r="G112" s="278"/>
      <c r="H112" s="278"/>
      <c r="I112" s="350" t="str">
        <f>IFERROR(F112/#REF!,"-")</f>
        <v>-</v>
      </c>
      <c r="J112" s="331">
        <f t="shared" si="100"/>
        <v>0</v>
      </c>
      <c r="K112" s="278">
        <f t="shared" ref="K112:L112" si="115">+G112+K47</f>
        <v>0</v>
      </c>
      <c r="L112" s="432">
        <f t="shared" si="115"/>
        <v>0</v>
      </c>
      <c r="M112" s="335" t="str">
        <f t="shared" si="112"/>
        <v>-</v>
      </c>
      <c r="N112" s="263" t="str">
        <f t="shared" si="113"/>
        <v>-</v>
      </c>
      <c r="O112" s="504">
        <v>41.992699999999999</v>
      </c>
      <c r="P112" s="400">
        <f t="shared" si="97"/>
        <v>0</v>
      </c>
      <c r="Q112" s="445">
        <f t="shared" si="98"/>
        <v>0</v>
      </c>
    </row>
    <row r="113" spans="1:17" ht="24" x14ac:dyDescent="0.35">
      <c r="A113" s="248"/>
      <c r="B113" s="928"/>
      <c r="C113" s="537" t="s">
        <v>72</v>
      </c>
      <c r="D113" s="276"/>
      <c r="E113" s="432"/>
      <c r="F113" s="331">
        <f t="shared" si="99"/>
        <v>0</v>
      </c>
      <c r="G113" s="278"/>
      <c r="H113" s="278"/>
      <c r="I113" s="350" t="str">
        <f>IFERROR(F113/#REF!,"-")</f>
        <v>-</v>
      </c>
      <c r="J113" s="331">
        <f t="shared" si="100"/>
        <v>0</v>
      </c>
      <c r="K113" s="278">
        <f t="shared" ref="K113:L113" si="116">+G113+K48</f>
        <v>0</v>
      </c>
      <c r="L113" s="432">
        <f t="shared" si="116"/>
        <v>0</v>
      </c>
      <c r="M113" s="335" t="str">
        <f t="shared" si="112"/>
        <v>-</v>
      </c>
      <c r="N113" s="263" t="str">
        <f t="shared" si="113"/>
        <v>-</v>
      </c>
      <c r="O113" s="504">
        <v>42.283799999999999</v>
      </c>
      <c r="P113" s="400">
        <f t="shared" si="97"/>
        <v>0</v>
      </c>
      <c r="Q113" s="445">
        <f t="shared" si="98"/>
        <v>0</v>
      </c>
    </row>
    <row r="114" spans="1:17" ht="24" x14ac:dyDescent="0.35">
      <c r="A114" s="248"/>
      <c r="B114" s="928"/>
      <c r="C114" s="537" t="s">
        <v>378</v>
      </c>
      <c r="D114" s="276"/>
      <c r="E114" s="432"/>
      <c r="F114" s="331">
        <f t="shared" si="99"/>
        <v>0</v>
      </c>
      <c r="G114" s="278"/>
      <c r="H114" s="278"/>
      <c r="I114" s="350" t="str">
        <f>IFERROR(F114/#REF!,"-")</f>
        <v>-</v>
      </c>
      <c r="J114" s="331">
        <f t="shared" si="100"/>
        <v>0</v>
      </c>
      <c r="K114" s="278">
        <f t="shared" ref="K114:L114" si="117">+G114+K49</f>
        <v>0</v>
      </c>
      <c r="L114" s="432">
        <f t="shared" si="117"/>
        <v>0</v>
      </c>
      <c r="M114" s="335" t="str">
        <f t="shared" si="112"/>
        <v>-</v>
      </c>
      <c r="N114" s="263" t="str">
        <f t="shared" si="113"/>
        <v>-</v>
      </c>
      <c r="O114" s="670">
        <v>41.992699999999999</v>
      </c>
      <c r="P114" s="400">
        <f t="shared" si="97"/>
        <v>0</v>
      </c>
      <c r="Q114" s="445">
        <f t="shared" si="98"/>
        <v>0</v>
      </c>
    </row>
    <row r="115" spans="1:17" ht="24.75" thickBot="1" x14ac:dyDescent="0.4">
      <c r="A115" s="248"/>
      <c r="B115" s="929"/>
      <c r="C115" s="537" t="s">
        <v>379</v>
      </c>
      <c r="D115" s="276"/>
      <c r="E115" s="432"/>
      <c r="F115" s="331">
        <f t="shared" si="99"/>
        <v>0</v>
      </c>
      <c r="G115" s="278"/>
      <c r="H115" s="278"/>
      <c r="I115" s="350" t="str">
        <f>IFERROR(F115/#REF!,"-")</f>
        <v>-</v>
      </c>
      <c r="J115" s="331">
        <f t="shared" si="100"/>
        <v>0</v>
      </c>
      <c r="K115" s="278">
        <f t="shared" ref="K115:L115" si="118">+G115+K50</f>
        <v>0</v>
      </c>
      <c r="L115" s="432">
        <f t="shared" si="118"/>
        <v>0</v>
      </c>
      <c r="M115" s="335" t="str">
        <f t="shared" si="112"/>
        <v>-</v>
      </c>
      <c r="N115" s="263" t="str">
        <f t="shared" si="113"/>
        <v>-</v>
      </c>
      <c r="O115" s="670">
        <v>42.283799999999999</v>
      </c>
      <c r="P115" s="400">
        <f t="shared" si="97"/>
        <v>0</v>
      </c>
      <c r="Q115" s="445">
        <f t="shared" si="98"/>
        <v>0</v>
      </c>
    </row>
    <row r="116" spans="1:17" ht="24.75" thickBot="1" x14ac:dyDescent="0.4">
      <c r="A116" s="248"/>
      <c r="B116" s="677" t="s">
        <v>80</v>
      </c>
      <c r="C116" s="537" t="s">
        <v>81</v>
      </c>
      <c r="D116" s="276"/>
      <c r="E116" s="432"/>
      <c r="F116" s="331">
        <f t="shared" si="99"/>
        <v>0</v>
      </c>
      <c r="G116" s="278"/>
      <c r="H116" s="278"/>
      <c r="I116" s="350" t="str">
        <f>IFERROR(F116/#REF!,"-")</f>
        <v>-</v>
      </c>
      <c r="J116" s="331">
        <f t="shared" si="100"/>
        <v>0</v>
      </c>
      <c r="K116" s="278">
        <f t="shared" ref="K116:L116" si="119">+G116+K51</f>
        <v>0</v>
      </c>
      <c r="L116" s="432">
        <f t="shared" si="119"/>
        <v>0</v>
      </c>
      <c r="M116" s="335" t="str">
        <f t="shared" si="112"/>
        <v>-</v>
      </c>
      <c r="N116" s="263" t="str">
        <f t="shared" si="113"/>
        <v>-</v>
      </c>
      <c r="O116" s="504">
        <v>4.3535000000000004</v>
      </c>
      <c r="P116" s="400">
        <f t="shared" si="97"/>
        <v>0</v>
      </c>
      <c r="Q116" s="445">
        <f t="shared" si="98"/>
        <v>0</v>
      </c>
    </row>
    <row r="117" spans="1:17" ht="24" x14ac:dyDescent="0.35">
      <c r="A117" s="248"/>
      <c r="B117" s="927" t="s">
        <v>252</v>
      </c>
      <c r="C117" s="537" t="s">
        <v>77</v>
      </c>
      <c r="D117" s="276"/>
      <c r="E117" s="432"/>
      <c r="F117" s="331">
        <f t="shared" si="99"/>
        <v>51941</v>
      </c>
      <c r="G117" s="278">
        <v>51700</v>
      </c>
      <c r="H117" s="278">
        <v>241</v>
      </c>
      <c r="I117" s="350" t="str">
        <f>IFERROR(F117/#REF!,"-")</f>
        <v>-</v>
      </c>
      <c r="J117" s="331">
        <f t="shared" si="100"/>
        <v>89574</v>
      </c>
      <c r="K117" s="278">
        <f t="shared" ref="K117:L117" si="120">+G117+K52</f>
        <v>89100</v>
      </c>
      <c r="L117" s="432">
        <f t="shared" si="120"/>
        <v>474</v>
      </c>
      <c r="M117" s="335" t="str">
        <f t="shared" si="112"/>
        <v>-</v>
      </c>
      <c r="N117" s="263">
        <f t="shared" si="113"/>
        <v>5.2917141134704269E-3</v>
      </c>
      <c r="O117" s="504">
        <v>4.6184000000000003</v>
      </c>
      <c r="P117" s="400">
        <f t="shared" si="97"/>
        <v>238771.28000000003</v>
      </c>
      <c r="Q117" s="445">
        <f t="shared" si="98"/>
        <v>411499.44</v>
      </c>
    </row>
    <row r="118" spans="1:17" ht="24" x14ac:dyDescent="0.35">
      <c r="A118" s="248"/>
      <c r="B118" s="928"/>
      <c r="C118" s="537" t="s">
        <v>338</v>
      </c>
      <c r="D118" s="276"/>
      <c r="E118" s="432"/>
      <c r="F118" s="331">
        <f t="shared" si="99"/>
        <v>0</v>
      </c>
      <c r="G118" s="278"/>
      <c r="H118" s="278"/>
      <c r="I118" s="350" t="str">
        <f>IFERROR(F118/#REF!,"-")</f>
        <v>-</v>
      </c>
      <c r="J118" s="331">
        <f t="shared" si="100"/>
        <v>0</v>
      </c>
      <c r="K118" s="278">
        <f t="shared" ref="K118:L118" si="121">+G118+K53</f>
        <v>0</v>
      </c>
      <c r="L118" s="432">
        <f t="shared" si="121"/>
        <v>0</v>
      </c>
      <c r="M118" s="335" t="str">
        <f t="shared" si="112"/>
        <v>-</v>
      </c>
      <c r="N118" s="263" t="str">
        <f t="shared" si="113"/>
        <v>-</v>
      </c>
      <c r="O118" s="504">
        <v>4.6184000000000003</v>
      </c>
      <c r="P118" s="400">
        <f t="shared" si="97"/>
        <v>0</v>
      </c>
      <c r="Q118" s="445">
        <f t="shared" si="98"/>
        <v>0</v>
      </c>
    </row>
    <row r="119" spans="1:17" ht="24" x14ac:dyDescent="0.35">
      <c r="A119" s="248"/>
      <c r="B119" s="928"/>
      <c r="C119" s="537" t="s">
        <v>251</v>
      </c>
      <c r="D119" s="276"/>
      <c r="E119" s="432"/>
      <c r="F119" s="331">
        <f t="shared" si="99"/>
        <v>0</v>
      </c>
      <c r="G119" s="278"/>
      <c r="H119" s="278"/>
      <c r="I119" s="350" t="str">
        <f>IFERROR(F119/#REF!,"-")</f>
        <v>-</v>
      </c>
      <c r="J119" s="331">
        <f t="shared" si="100"/>
        <v>0</v>
      </c>
      <c r="K119" s="278">
        <f t="shared" ref="K119:L119" si="122">+G119+K54</f>
        <v>0</v>
      </c>
      <c r="L119" s="432">
        <f t="shared" si="122"/>
        <v>0</v>
      </c>
      <c r="M119" s="335" t="str">
        <f t="shared" si="112"/>
        <v>-</v>
      </c>
      <c r="N119" s="263" t="str">
        <f t="shared" si="113"/>
        <v>-</v>
      </c>
      <c r="O119" s="504">
        <v>4.6184000000000003</v>
      </c>
      <c r="P119" s="400">
        <f t="shared" si="97"/>
        <v>0</v>
      </c>
      <c r="Q119" s="445">
        <f t="shared" si="98"/>
        <v>0</v>
      </c>
    </row>
    <row r="120" spans="1:17" ht="24" x14ac:dyDescent="0.35">
      <c r="A120" s="248"/>
      <c r="B120" s="928"/>
      <c r="C120" s="537" t="s">
        <v>348</v>
      </c>
      <c r="D120" s="276"/>
      <c r="E120" s="432"/>
      <c r="F120" s="331">
        <f t="shared" si="99"/>
        <v>0</v>
      </c>
      <c r="G120" s="278"/>
      <c r="H120" s="278"/>
      <c r="I120" s="350" t="str">
        <f>IFERROR(F120/#REF!,"-")</f>
        <v>-</v>
      </c>
      <c r="J120" s="331">
        <f t="shared" si="100"/>
        <v>0</v>
      </c>
      <c r="K120" s="647">
        <f t="shared" ref="K120:L120" si="123">+G120+K55</f>
        <v>0</v>
      </c>
      <c r="L120" s="648">
        <f t="shared" si="123"/>
        <v>0</v>
      </c>
      <c r="M120" s="335" t="str">
        <f t="shared" si="112"/>
        <v>-</v>
      </c>
      <c r="N120" s="263" t="str">
        <f t="shared" si="113"/>
        <v>-</v>
      </c>
      <c r="O120" s="504">
        <v>4.7636000000000003</v>
      </c>
      <c r="P120" s="400">
        <f t="shared" si="97"/>
        <v>0</v>
      </c>
      <c r="Q120" s="445">
        <f t="shared" si="98"/>
        <v>0</v>
      </c>
    </row>
    <row r="121" spans="1:17" ht="24.75" thickBot="1" x14ac:dyDescent="0.4">
      <c r="A121" s="248"/>
      <c r="B121" s="929"/>
      <c r="C121" s="537" t="s">
        <v>344</v>
      </c>
      <c r="D121" s="276"/>
      <c r="E121" s="432"/>
      <c r="F121" s="331">
        <f t="shared" si="99"/>
        <v>0</v>
      </c>
      <c r="G121" s="278"/>
      <c r="H121" s="278"/>
      <c r="I121" s="350" t="str">
        <f>IFERROR(F121/#REF!,"-")</f>
        <v>-</v>
      </c>
      <c r="J121" s="331">
        <f t="shared" si="100"/>
        <v>0</v>
      </c>
      <c r="K121" s="278">
        <f t="shared" ref="K121:L121" si="124">+G121+K56</f>
        <v>0</v>
      </c>
      <c r="L121" s="432">
        <f t="shared" si="124"/>
        <v>0</v>
      </c>
      <c r="M121" s="335" t="str">
        <f t="shared" si="112"/>
        <v>-</v>
      </c>
      <c r="N121" s="263" t="str">
        <f t="shared" si="113"/>
        <v>-</v>
      </c>
      <c r="O121" s="504">
        <v>4.8738000000000001</v>
      </c>
      <c r="P121" s="400">
        <f t="shared" si="97"/>
        <v>0</v>
      </c>
      <c r="Q121" s="445">
        <f t="shared" si="98"/>
        <v>0</v>
      </c>
    </row>
    <row r="122" spans="1:17" ht="24.75" thickBot="1" x14ac:dyDescent="0.4">
      <c r="A122" s="248"/>
      <c r="B122" s="677" t="s">
        <v>253</v>
      </c>
      <c r="C122" s="537" t="s">
        <v>124</v>
      </c>
      <c r="D122" s="276"/>
      <c r="E122" s="432"/>
      <c r="F122" s="331">
        <f t="shared" si="99"/>
        <v>0</v>
      </c>
      <c r="G122" s="278"/>
      <c r="H122" s="278"/>
      <c r="I122" s="350" t="str">
        <f>IFERROR(F122/#REF!,"-")</f>
        <v>-</v>
      </c>
      <c r="J122" s="331">
        <f t="shared" si="100"/>
        <v>0</v>
      </c>
      <c r="K122" s="278">
        <f t="shared" ref="K122:L122" si="125">+G122+K57</f>
        <v>0</v>
      </c>
      <c r="L122" s="432">
        <f t="shared" si="125"/>
        <v>0</v>
      </c>
      <c r="M122" s="335" t="str">
        <f t="shared" si="112"/>
        <v>-</v>
      </c>
      <c r="N122" s="263" t="str">
        <f t="shared" si="113"/>
        <v>-</v>
      </c>
      <c r="O122" s="504">
        <v>4.8738000000000001</v>
      </c>
      <c r="P122" s="400">
        <f t="shared" si="97"/>
        <v>0</v>
      </c>
      <c r="Q122" s="445">
        <f t="shared" si="98"/>
        <v>0</v>
      </c>
    </row>
    <row r="123" spans="1:17" ht="24" x14ac:dyDescent="0.35">
      <c r="A123" s="248"/>
      <c r="B123" s="927" t="s">
        <v>255</v>
      </c>
      <c r="C123" s="537" t="s">
        <v>77</v>
      </c>
      <c r="D123" s="276"/>
      <c r="E123" s="432"/>
      <c r="F123" s="331">
        <f t="shared" si="99"/>
        <v>43660</v>
      </c>
      <c r="G123" s="278">
        <v>42840</v>
      </c>
      <c r="H123" s="278">
        <v>820</v>
      </c>
      <c r="I123" s="350" t="str">
        <f>IFERROR(F123/#REF!,"-")</f>
        <v>-</v>
      </c>
      <c r="J123" s="331">
        <f t="shared" si="100"/>
        <v>87891</v>
      </c>
      <c r="K123" s="647">
        <f t="shared" ref="K123:L123" si="126">+G123+K58</f>
        <v>86520</v>
      </c>
      <c r="L123" s="648">
        <f t="shared" si="126"/>
        <v>1371</v>
      </c>
      <c r="M123" s="335" t="str">
        <f t="shared" si="112"/>
        <v>-</v>
      </c>
      <c r="N123" s="263">
        <f t="shared" si="113"/>
        <v>1.5598866778168413E-2</v>
      </c>
      <c r="O123" s="504">
        <v>4.9344999999999999</v>
      </c>
      <c r="P123" s="400">
        <f t="shared" si="97"/>
        <v>211393.97999999998</v>
      </c>
      <c r="Q123" s="445">
        <f t="shared" si="98"/>
        <v>426932.94</v>
      </c>
    </row>
    <row r="124" spans="1:17" ht="24" x14ac:dyDescent="0.35">
      <c r="A124" s="248"/>
      <c r="B124" s="928"/>
      <c r="C124" s="537" t="s">
        <v>135</v>
      </c>
      <c r="D124" s="276"/>
      <c r="E124" s="432"/>
      <c r="F124" s="331">
        <f t="shared" si="99"/>
        <v>0</v>
      </c>
      <c r="G124" s="278"/>
      <c r="H124" s="278"/>
      <c r="I124" s="350" t="str">
        <f>IFERROR(F124/#REF!,"-")</f>
        <v>-</v>
      </c>
      <c r="J124" s="331">
        <f t="shared" si="100"/>
        <v>0</v>
      </c>
      <c r="K124" s="278">
        <f t="shared" ref="K124:L124" si="127">+G124+K59</f>
        <v>0</v>
      </c>
      <c r="L124" s="432">
        <f t="shared" si="127"/>
        <v>0</v>
      </c>
      <c r="M124" s="335" t="str">
        <f t="shared" si="112"/>
        <v>-</v>
      </c>
      <c r="N124" s="263" t="str">
        <f t="shared" si="113"/>
        <v>-</v>
      </c>
      <c r="O124" s="504">
        <v>4.9344999999999999</v>
      </c>
      <c r="P124" s="400">
        <f t="shared" si="97"/>
        <v>0</v>
      </c>
      <c r="Q124" s="445">
        <f t="shared" si="98"/>
        <v>0</v>
      </c>
    </row>
    <row r="125" spans="1:17" ht="24" x14ac:dyDescent="0.35">
      <c r="A125" s="248"/>
      <c r="B125" s="928"/>
      <c r="C125" s="537" t="s">
        <v>129</v>
      </c>
      <c r="D125" s="276"/>
      <c r="E125" s="432"/>
      <c r="F125" s="331">
        <f t="shared" si="99"/>
        <v>0</v>
      </c>
      <c r="G125" s="278"/>
      <c r="H125" s="278"/>
      <c r="I125" s="350" t="str">
        <f>IFERROR(F125/#REF!,"-")</f>
        <v>-</v>
      </c>
      <c r="J125" s="331">
        <f t="shared" si="100"/>
        <v>0</v>
      </c>
      <c r="K125" s="278">
        <f t="shared" ref="K125:L125" si="128">+G125+K60</f>
        <v>0</v>
      </c>
      <c r="L125" s="432">
        <f t="shared" si="128"/>
        <v>0</v>
      </c>
      <c r="M125" s="335" t="str">
        <f t="shared" si="112"/>
        <v>-</v>
      </c>
      <c r="N125" s="263" t="str">
        <f t="shared" si="113"/>
        <v>-</v>
      </c>
      <c r="O125" s="504">
        <v>4.9344999999999999</v>
      </c>
      <c r="P125" s="400">
        <f t="shared" si="97"/>
        <v>0</v>
      </c>
      <c r="Q125" s="445">
        <f t="shared" si="98"/>
        <v>0</v>
      </c>
    </row>
    <row r="126" spans="1:17" ht="24.75" thickBot="1" x14ac:dyDescent="0.4">
      <c r="A126" s="248"/>
      <c r="B126" s="929"/>
      <c r="C126" s="792" t="s">
        <v>254</v>
      </c>
      <c r="D126" s="276"/>
      <c r="E126" s="432"/>
      <c r="F126" s="331">
        <f t="shared" si="99"/>
        <v>0</v>
      </c>
      <c r="G126" s="278"/>
      <c r="H126" s="278"/>
      <c r="I126" s="350" t="str">
        <f>IFERROR(F126/#REF!,"-")</f>
        <v>-</v>
      </c>
      <c r="J126" s="331">
        <f t="shared" si="100"/>
        <v>0</v>
      </c>
      <c r="K126" s="278">
        <f t="shared" ref="K126:L126" si="129">+G126+K61</f>
        <v>0</v>
      </c>
      <c r="L126" s="432">
        <f t="shared" si="129"/>
        <v>0</v>
      </c>
      <c r="M126" s="335" t="str">
        <f t="shared" si="112"/>
        <v>-</v>
      </c>
      <c r="N126" s="263" t="str">
        <f t="shared" si="113"/>
        <v>-</v>
      </c>
      <c r="O126" s="504">
        <v>5.5069999999999997</v>
      </c>
      <c r="P126" s="400">
        <f t="shared" si="97"/>
        <v>0</v>
      </c>
      <c r="Q126" s="445">
        <f t="shared" si="98"/>
        <v>0</v>
      </c>
    </row>
    <row r="127" spans="1:17" ht="24" x14ac:dyDescent="0.35">
      <c r="A127" s="248"/>
      <c r="B127" s="872" t="s">
        <v>260</v>
      </c>
      <c r="C127" s="536" t="s">
        <v>256</v>
      </c>
      <c r="D127" s="507"/>
      <c r="E127" s="432"/>
      <c r="F127" s="331">
        <f t="shared" si="99"/>
        <v>32045</v>
      </c>
      <c r="G127" s="278">
        <v>31850</v>
      </c>
      <c r="H127" s="278">
        <v>195</v>
      </c>
      <c r="I127" s="350" t="str">
        <f>IFERROR(F127/#REF!,"-")</f>
        <v>-</v>
      </c>
      <c r="J127" s="331">
        <f t="shared" si="100"/>
        <v>61644</v>
      </c>
      <c r="K127" s="278">
        <f t="shared" ref="K127:L127" si="130">+G127+K62</f>
        <v>61250</v>
      </c>
      <c r="L127" s="432">
        <f t="shared" si="130"/>
        <v>394</v>
      </c>
      <c r="M127" s="335" t="str">
        <f t="shared" si="112"/>
        <v>-</v>
      </c>
      <c r="N127" s="263">
        <f t="shared" si="113"/>
        <v>6.3915385114528579E-3</v>
      </c>
      <c r="O127" s="670">
        <v>5.5069999999999997</v>
      </c>
      <c r="P127" s="400">
        <f t="shared" si="97"/>
        <v>175397.94999999998</v>
      </c>
      <c r="Q127" s="445">
        <f t="shared" si="98"/>
        <v>337303.75</v>
      </c>
    </row>
    <row r="128" spans="1:17" ht="24" x14ac:dyDescent="0.35">
      <c r="A128" s="248"/>
      <c r="B128" s="873"/>
      <c r="C128" s="537" t="s">
        <v>257</v>
      </c>
      <c r="D128" s="507"/>
      <c r="E128" s="432"/>
      <c r="F128" s="331">
        <f t="shared" si="99"/>
        <v>0</v>
      </c>
      <c r="G128" s="278"/>
      <c r="H128" s="278"/>
      <c r="I128" s="350" t="str">
        <f>IFERROR(F128/#REF!,"-")</f>
        <v>-</v>
      </c>
      <c r="J128" s="331">
        <f t="shared" si="100"/>
        <v>0</v>
      </c>
      <c r="K128" s="278">
        <f t="shared" ref="K128:L128" si="131">+G128+K63</f>
        <v>0</v>
      </c>
      <c r="L128" s="432">
        <f t="shared" si="131"/>
        <v>0</v>
      </c>
      <c r="M128" s="335" t="str">
        <f t="shared" si="112"/>
        <v>-</v>
      </c>
      <c r="N128" s="263" t="str">
        <f t="shared" si="113"/>
        <v>-</v>
      </c>
      <c r="O128" s="504">
        <v>5.6550000000000002</v>
      </c>
      <c r="P128" s="400">
        <f t="shared" si="97"/>
        <v>0</v>
      </c>
      <c r="Q128" s="445">
        <f t="shared" si="98"/>
        <v>0</v>
      </c>
    </row>
    <row r="129" spans="1:17" ht="24" x14ac:dyDescent="0.35">
      <c r="A129" s="248"/>
      <c r="B129" s="873"/>
      <c r="C129" s="537" t="s">
        <v>319</v>
      </c>
      <c r="D129" s="507"/>
      <c r="E129" s="432"/>
      <c r="F129" s="331">
        <f t="shared" si="99"/>
        <v>0</v>
      </c>
      <c r="G129" s="278"/>
      <c r="H129" s="278"/>
      <c r="I129" s="350" t="str">
        <f>IFERROR(F129/#REF!,"-")</f>
        <v>-</v>
      </c>
      <c r="J129" s="331">
        <f t="shared" si="100"/>
        <v>0</v>
      </c>
      <c r="K129" s="647">
        <f t="shared" ref="K129:L129" si="132">+G129+K64</f>
        <v>0</v>
      </c>
      <c r="L129" s="648">
        <f t="shared" si="132"/>
        <v>0</v>
      </c>
      <c r="M129" s="335" t="str">
        <f t="shared" si="112"/>
        <v>-</v>
      </c>
      <c r="N129" s="263" t="str">
        <f t="shared" si="113"/>
        <v>-</v>
      </c>
      <c r="O129" s="504">
        <v>5.6550000000000002</v>
      </c>
      <c r="P129" s="400">
        <f t="shared" si="97"/>
        <v>0</v>
      </c>
      <c r="Q129" s="445">
        <f t="shared" si="98"/>
        <v>0</v>
      </c>
    </row>
    <row r="130" spans="1:17" ht="24" x14ac:dyDescent="0.35">
      <c r="A130" s="248"/>
      <c r="B130" s="873"/>
      <c r="C130" s="537" t="s">
        <v>258</v>
      </c>
      <c r="D130" s="507"/>
      <c r="E130" s="432"/>
      <c r="F130" s="331">
        <f t="shared" si="99"/>
        <v>0</v>
      </c>
      <c r="G130" s="278"/>
      <c r="H130" s="278"/>
      <c r="I130" s="350" t="str">
        <f>IFERROR(F130/#REF!,"-")</f>
        <v>-</v>
      </c>
      <c r="J130" s="331">
        <f t="shared" si="100"/>
        <v>0</v>
      </c>
      <c r="K130" s="278">
        <f t="shared" ref="K130:L130" si="133">+G130+K65</f>
        <v>0</v>
      </c>
      <c r="L130" s="432">
        <f t="shared" si="133"/>
        <v>0</v>
      </c>
      <c r="M130" s="335" t="str">
        <f t="shared" si="112"/>
        <v>-</v>
      </c>
      <c r="N130" s="263" t="str">
        <f t="shared" si="113"/>
        <v>-</v>
      </c>
      <c r="O130" s="504">
        <v>5.6550000000000002</v>
      </c>
      <c r="P130" s="400">
        <f t="shared" si="97"/>
        <v>0</v>
      </c>
      <c r="Q130" s="445">
        <f t="shared" si="98"/>
        <v>0</v>
      </c>
    </row>
    <row r="131" spans="1:17" ht="24" x14ac:dyDescent="0.35">
      <c r="A131" s="248" t="s">
        <v>101</v>
      </c>
      <c r="B131" s="873"/>
      <c r="C131" s="537" t="s">
        <v>259</v>
      </c>
      <c r="D131" s="507"/>
      <c r="E131" s="432"/>
      <c r="F131" s="331">
        <f t="shared" si="99"/>
        <v>0</v>
      </c>
      <c r="G131" s="278"/>
      <c r="H131" s="278"/>
      <c r="I131" s="350" t="str">
        <f>IFERROR(F131/#REF!,"-")</f>
        <v>-</v>
      </c>
      <c r="J131" s="331">
        <f t="shared" si="100"/>
        <v>0</v>
      </c>
      <c r="K131" s="278">
        <f t="shared" ref="K131:L131" si="134">+G131+K66</f>
        <v>0</v>
      </c>
      <c r="L131" s="432">
        <f t="shared" si="134"/>
        <v>0</v>
      </c>
      <c r="M131" s="335" t="str">
        <f t="shared" si="112"/>
        <v>-</v>
      </c>
      <c r="N131" s="263" t="str">
        <f t="shared" si="113"/>
        <v>-</v>
      </c>
      <c r="O131" s="504">
        <v>3.2963</v>
      </c>
      <c r="P131" s="400">
        <f t="shared" si="97"/>
        <v>0</v>
      </c>
      <c r="Q131" s="445">
        <f t="shared" si="98"/>
        <v>0</v>
      </c>
    </row>
    <row r="132" spans="1:17" ht="24.75" thickBot="1" x14ac:dyDescent="0.4">
      <c r="A132" s="248" t="s">
        <v>101</v>
      </c>
      <c r="B132" s="874"/>
      <c r="C132" s="794" t="s">
        <v>254</v>
      </c>
      <c r="D132" s="507"/>
      <c r="E132" s="432"/>
      <c r="F132" s="331">
        <f t="shared" si="99"/>
        <v>0</v>
      </c>
      <c r="G132" s="278"/>
      <c r="H132" s="278"/>
      <c r="I132" s="350" t="str">
        <f>IFERROR(F132/#REF!,"-")</f>
        <v>-</v>
      </c>
      <c r="J132" s="331">
        <f t="shared" si="100"/>
        <v>0</v>
      </c>
      <c r="K132" s="278">
        <f t="shared" ref="K132:L132" si="135">+G132+K67</f>
        <v>0</v>
      </c>
      <c r="L132" s="432">
        <f t="shared" si="135"/>
        <v>0</v>
      </c>
      <c r="M132" s="335" t="str">
        <f t="shared" si="112"/>
        <v>-</v>
      </c>
      <c r="N132" s="263" t="str">
        <f t="shared" si="113"/>
        <v>-</v>
      </c>
      <c r="O132" s="504">
        <v>3.2963</v>
      </c>
      <c r="P132" s="400">
        <f t="shared" si="97"/>
        <v>0</v>
      </c>
      <c r="Q132" s="445">
        <f t="shared" si="98"/>
        <v>0</v>
      </c>
    </row>
    <row r="133" spans="1:17" ht="24" x14ac:dyDescent="0.35">
      <c r="A133" s="248"/>
      <c r="B133" s="784"/>
      <c r="C133" s="793" t="s">
        <v>497</v>
      </c>
      <c r="D133" s="507"/>
      <c r="E133" s="432"/>
      <c r="F133" s="331">
        <f t="shared" si="99"/>
        <v>9178</v>
      </c>
      <c r="G133" s="278">
        <v>8900</v>
      </c>
      <c r="H133" s="278">
        <v>278</v>
      </c>
      <c r="I133" s="350" t="str">
        <f>IFERROR(F133/#REF!,"-")</f>
        <v>-</v>
      </c>
      <c r="J133" s="331">
        <f t="shared" si="100"/>
        <v>19578</v>
      </c>
      <c r="K133" s="278">
        <f t="shared" ref="K133:L133" si="136">+G133+K68</f>
        <v>18400</v>
      </c>
      <c r="L133" s="432">
        <f t="shared" si="136"/>
        <v>1178</v>
      </c>
      <c r="M133" s="335" t="str">
        <f t="shared" si="112"/>
        <v>-</v>
      </c>
      <c r="N133" s="263">
        <f t="shared" si="113"/>
        <v>6.0169578097864954E-2</v>
      </c>
      <c r="O133" s="504">
        <v>3.2963</v>
      </c>
      <c r="P133" s="400">
        <f t="shared" si="97"/>
        <v>29337.07</v>
      </c>
      <c r="Q133" s="445">
        <f t="shared" si="98"/>
        <v>60651.92</v>
      </c>
    </row>
    <row r="134" spans="1:17" ht="24" x14ac:dyDescent="0.35">
      <c r="A134" s="248"/>
      <c r="B134" s="784"/>
      <c r="C134" s="537" t="s">
        <v>498</v>
      </c>
      <c r="D134" s="507"/>
      <c r="E134" s="432"/>
      <c r="F134" s="331">
        <f t="shared" si="99"/>
        <v>9060</v>
      </c>
      <c r="G134" s="278">
        <v>8900</v>
      </c>
      <c r="H134" s="278">
        <v>160</v>
      </c>
      <c r="I134" s="350" t="str">
        <f>IFERROR(F134/#REF!,"-")</f>
        <v>-</v>
      </c>
      <c r="J134" s="331">
        <f t="shared" si="100"/>
        <v>19160</v>
      </c>
      <c r="K134" s="278">
        <f t="shared" ref="K134:L134" si="137">+G134+K69</f>
        <v>18400</v>
      </c>
      <c r="L134" s="432">
        <f t="shared" si="137"/>
        <v>760</v>
      </c>
      <c r="M134" s="335" t="str">
        <f t="shared" si="112"/>
        <v>-</v>
      </c>
      <c r="N134" s="263">
        <f t="shared" si="113"/>
        <v>3.9665970772442591E-2</v>
      </c>
      <c r="O134" s="504">
        <v>3.2963</v>
      </c>
      <c r="P134" s="400">
        <f t="shared" si="97"/>
        <v>29337.07</v>
      </c>
      <c r="Q134" s="445">
        <f t="shared" si="98"/>
        <v>60651.92</v>
      </c>
    </row>
    <row r="135" spans="1:17" ht="24" x14ac:dyDescent="0.35">
      <c r="A135" s="248" t="s">
        <v>101</v>
      </c>
      <c r="B135" s="539"/>
      <c r="C135" s="537" t="s">
        <v>89</v>
      </c>
      <c r="D135" s="507"/>
      <c r="E135" s="432"/>
      <c r="F135" s="331">
        <f t="shared" si="99"/>
        <v>0</v>
      </c>
      <c r="G135" s="278"/>
      <c r="H135" s="278"/>
      <c r="I135" s="350" t="str">
        <f>IFERROR(F135/#REF!,"-")</f>
        <v>-</v>
      </c>
      <c r="J135" s="331">
        <f t="shared" si="100"/>
        <v>0</v>
      </c>
      <c r="K135" s="278">
        <f t="shared" ref="K135:L135" si="138">+G135+K70</f>
        <v>0</v>
      </c>
      <c r="L135" s="432">
        <f t="shared" si="138"/>
        <v>0</v>
      </c>
      <c r="M135" s="335" t="str">
        <f t="shared" si="112"/>
        <v>-</v>
      </c>
      <c r="N135" s="263" t="str">
        <f t="shared" si="113"/>
        <v>-</v>
      </c>
      <c r="O135" s="504">
        <v>2.3201000000000001</v>
      </c>
      <c r="P135" s="400">
        <f t="shared" si="97"/>
        <v>0</v>
      </c>
      <c r="Q135" s="445">
        <f t="shared" si="98"/>
        <v>0</v>
      </c>
    </row>
    <row r="136" spans="1:17" ht="24.75" thickBot="1" x14ac:dyDescent="0.3">
      <c r="A136" s="248" t="s">
        <v>101</v>
      </c>
      <c r="B136" s="791"/>
      <c r="C136" s="633"/>
      <c r="D136" s="746"/>
      <c r="E136" s="458"/>
      <c r="F136" s="456">
        <f t="shared" si="99"/>
        <v>0</v>
      </c>
      <c r="G136" s="457"/>
      <c r="H136" s="457"/>
      <c r="I136" s="527" t="str">
        <f>IFERROR(F136/#REF!,"-")</f>
        <v>-</v>
      </c>
      <c r="J136" s="456">
        <f t="shared" si="100"/>
        <v>0</v>
      </c>
      <c r="K136" s="457">
        <f t="shared" ref="K136:L136" si="139">+G136+K71</f>
        <v>0</v>
      </c>
      <c r="L136" s="458">
        <f t="shared" si="139"/>
        <v>0</v>
      </c>
      <c r="M136" s="644" t="str">
        <f t="shared" si="112"/>
        <v>-</v>
      </c>
      <c r="N136" s="264" t="str">
        <f t="shared" si="113"/>
        <v>-</v>
      </c>
      <c r="O136" s="534"/>
      <c r="P136" s="531">
        <f t="shared" si="97"/>
        <v>0</v>
      </c>
      <c r="Q136" s="532">
        <f t="shared" si="98"/>
        <v>0</v>
      </c>
    </row>
    <row r="137" spans="1:17" ht="23.25" customHeight="1" thickBot="1" x14ac:dyDescent="0.3">
      <c r="A137" s="274" t="s">
        <v>101</v>
      </c>
      <c r="B137" s="923" t="s">
        <v>25</v>
      </c>
      <c r="C137" s="924"/>
      <c r="D137" s="509">
        <f>SUM(D108:D136)</f>
        <v>0</v>
      </c>
      <c r="E137" s="521">
        <v>100000</v>
      </c>
      <c r="F137" s="515">
        <f>SUM(F103:F136)</f>
        <v>154982</v>
      </c>
      <c r="G137" s="515">
        <f>SUM(G103:G136)</f>
        <v>153190</v>
      </c>
      <c r="H137" s="515">
        <f>SUM(H103:H136)</f>
        <v>1792</v>
      </c>
      <c r="I137" s="516" t="str">
        <f>IFERROR(F137/#REF!,"-")</f>
        <v>-</v>
      </c>
      <c r="J137" s="509">
        <f>SUM(J103:J136)</f>
        <v>286945</v>
      </c>
      <c r="K137" s="509">
        <f t="shared" ref="K137:L137" si="140">SUM(K103:K136)</f>
        <v>282670</v>
      </c>
      <c r="L137" s="509">
        <f t="shared" si="140"/>
        <v>4275</v>
      </c>
      <c r="M137" s="517" t="str">
        <f t="shared" si="112"/>
        <v>-</v>
      </c>
      <c r="N137" s="516">
        <f t="shared" si="113"/>
        <v>1.4898325463067835E-2</v>
      </c>
      <c r="O137" s="518"/>
      <c r="P137" s="519">
        <f>SUM(P103:P136)</f>
        <v>980754.04999999981</v>
      </c>
      <c r="Q137" s="519">
        <f>SUM(Q103:Q136)</f>
        <v>1593556.67</v>
      </c>
    </row>
    <row r="138" spans="1:17" ht="23.25" customHeight="1" thickBot="1" x14ac:dyDescent="0.3">
      <c r="A138" s="317" t="s">
        <v>101</v>
      </c>
      <c r="B138" s="925" t="s">
        <v>248</v>
      </c>
      <c r="C138" s="926"/>
      <c r="D138" s="324">
        <f>+D107+D137</f>
        <v>0</v>
      </c>
      <c r="E138" s="325">
        <f>+E107+E137</f>
        <v>100000</v>
      </c>
      <c r="F138" s="324">
        <f>+F137</f>
        <v>154982</v>
      </c>
      <c r="G138" s="324">
        <f t="shared" ref="G138:H138" si="141">+G137</f>
        <v>153190</v>
      </c>
      <c r="H138" s="324">
        <f t="shared" si="141"/>
        <v>1792</v>
      </c>
      <c r="I138" s="347" t="str">
        <f>IFERROR(F138/#REF!,"-")</f>
        <v>-</v>
      </c>
      <c r="J138" s="324">
        <f>+J137</f>
        <v>286945</v>
      </c>
      <c r="K138" s="324">
        <f t="shared" ref="K138:L138" si="142">+K137</f>
        <v>282670</v>
      </c>
      <c r="L138" s="324">
        <f t="shared" si="142"/>
        <v>4275</v>
      </c>
      <c r="M138" s="339" t="str">
        <f t="shared" si="112"/>
        <v>-</v>
      </c>
      <c r="N138" s="347">
        <f t="shared" si="113"/>
        <v>1.4898325463067835E-2</v>
      </c>
      <c r="O138" s="390"/>
      <c r="P138" s="406">
        <f>+P137</f>
        <v>980754.04999999981</v>
      </c>
      <c r="Q138" s="424">
        <f>Q137</f>
        <v>1593556.67</v>
      </c>
    </row>
    <row r="139" spans="1:17" ht="26.25" thickBot="1" x14ac:dyDescent="0.3">
      <c r="A139" s="318"/>
      <c r="B139" s="944" t="s">
        <v>174</v>
      </c>
      <c r="C139" s="945"/>
      <c r="D139" s="372">
        <f>+D138+D102+D93</f>
        <v>0</v>
      </c>
      <c r="E139" s="372">
        <f>+E138+E102+E93</f>
        <v>230000</v>
      </c>
      <c r="F139" s="372">
        <f>+F138+F102+F93</f>
        <v>537577</v>
      </c>
      <c r="G139" s="372">
        <f>+G138+G102+G93</f>
        <v>519990</v>
      </c>
      <c r="H139" s="372">
        <f>+H138+H102+H93</f>
        <v>17587</v>
      </c>
      <c r="I139" s="373" t="str">
        <f>IFERROR(F139/#REF!,"-")</f>
        <v>-</v>
      </c>
      <c r="J139" s="372">
        <f>+J138+J102+J93</f>
        <v>771128</v>
      </c>
      <c r="K139" s="372">
        <f>+K138+K102+K93</f>
        <v>749470</v>
      </c>
      <c r="L139" s="372">
        <f>+L138+L102+L93</f>
        <v>21658</v>
      </c>
      <c r="M139" s="373" t="str">
        <f t="shared" si="112"/>
        <v>-</v>
      </c>
      <c r="N139" s="373">
        <f>IFERROR(L139/J139,"-")</f>
        <v>2.8086128372980881E-2</v>
      </c>
      <c r="O139" s="397"/>
      <c r="P139" s="414">
        <f>+P138+P102+P93</f>
        <v>2123731.074</v>
      </c>
      <c r="Q139" s="414">
        <f>+Q138+Q102+Q93</f>
        <v>2957943.6940000001</v>
      </c>
    </row>
    <row r="140" spans="1:17" ht="24.6" customHeight="1" thickBot="1" x14ac:dyDescent="0.3">
      <c r="A140" s="230"/>
      <c r="B140" s="230"/>
      <c r="C140" s="230"/>
      <c r="D140" s="232"/>
      <c r="E140" s="232"/>
      <c r="F140" s="232"/>
      <c r="G140" s="267"/>
      <c r="H140" s="267"/>
      <c r="I140" s="234"/>
      <c r="J140" s="232"/>
      <c r="K140" s="232"/>
      <c r="L140" s="232"/>
      <c r="M140" s="234"/>
      <c r="N140" s="234"/>
    </row>
    <row r="141" spans="1:17" ht="22.5" customHeight="1" x14ac:dyDescent="0.25">
      <c r="A141" s="935" t="s">
        <v>1</v>
      </c>
      <c r="B141" s="938" t="s">
        <v>2</v>
      </c>
      <c r="C141" s="941" t="s">
        <v>394</v>
      </c>
      <c r="D141" s="890" t="s">
        <v>4</v>
      </c>
      <c r="E141" s="891"/>
      <c r="F141" s="891"/>
      <c r="G141" s="891"/>
      <c r="H141" s="891"/>
      <c r="I141" s="891"/>
      <c r="J141" s="891"/>
      <c r="K141" s="891"/>
      <c r="L141" s="891"/>
      <c r="M141" s="891"/>
      <c r="N141" s="892"/>
      <c r="O141" s="909" t="s">
        <v>167</v>
      </c>
      <c r="P141" s="910"/>
      <c r="Q141" s="930"/>
    </row>
    <row r="142" spans="1:17" ht="22.5" customHeight="1" x14ac:dyDescent="0.25">
      <c r="A142" s="936"/>
      <c r="B142" s="939"/>
      <c r="C142" s="942"/>
      <c r="D142" s="893" t="s">
        <v>7</v>
      </c>
      <c r="E142" s="895" t="s">
        <v>108</v>
      </c>
      <c r="F142" s="931" t="s">
        <v>511</v>
      </c>
      <c r="G142" s="898"/>
      <c r="H142" s="898"/>
      <c r="I142" s="899"/>
      <c r="J142" s="900" t="s">
        <v>8</v>
      </c>
      <c r="K142" s="901"/>
      <c r="L142" s="902"/>
      <c r="M142" s="903" t="s">
        <v>165</v>
      </c>
      <c r="N142" s="905" t="s">
        <v>164</v>
      </c>
      <c r="O142" s="932" t="s">
        <v>169</v>
      </c>
      <c r="P142" s="933"/>
      <c r="Q142" s="934"/>
    </row>
    <row r="143" spans="1:17" ht="45.75" thickBot="1" x14ac:dyDescent="0.3">
      <c r="A143" s="937"/>
      <c r="B143" s="940"/>
      <c r="C143" s="943"/>
      <c r="D143" s="894"/>
      <c r="E143" s="896"/>
      <c r="F143" s="448" t="s">
        <v>13</v>
      </c>
      <c r="G143" s="449" t="s">
        <v>14</v>
      </c>
      <c r="H143" s="449" t="s">
        <v>15</v>
      </c>
      <c r="I143" s="450" t="s">
        <v>166</v>
      </c>
      <c r="J143" s="641" t="s">
        <v>13</v>
      </c>
      <c r="K143" s="639" t="s">
        <v>14</v>
      </c>
      <c r="L143" s="640" t="s">
        <v>15</v>
      </c>
      <c r="M143" s="904"/>
      <c r="N143" s="906"/>
      <c r="O143" s="440" t="s">
        <v>170</v>
      </c>
      <c r="P143" s="441" t="s">
        <v>11</v>
      </c>
      <c r="Q143" s="442" t="s">
        <v>12</v>
      </c>
    </row>
    <row r="144" spans="1:17" ht="24" x14ac:dyDescent="0.25">
      <c r="A144" s="268" t="s">
        <v>103</v>
      </c>
      <c r="B144" s="435"/>
      <c r="C144" s="269" t="s">
        <v>245</v>
      </c>
      <c r="D144" s="270"/>
      <c r="E144" s="271"/>
      <c r="F144" s="330">
        <f>+G144+H144</f>
        <v>66810</v>
      </c>
      <c r="G144" s="272">
        <v>56560</v>
      </c>
      <c r="H144" s="272">
        <v>10250</v>
      </c>
      <c r="I144" s="349" t="str">
        <f>IFERROR(F144/#REF!,"-")</f>
        <v>-</v>
      </c>
      <c r="J144" s="453">
        <f>+K144+L144</f>
        <v>174630</v>
      </c>
      <c r="K144" s="454">
        <f>+G144+K79</f>
        <v>152040</v>
      </c>
      <c r="L144" s="455">
        <f>+H144+L79</f>
        <v>22590</v>
      </c>
      <c r="M144" s="334" t="str">
        <f>IFERROR(J144/D144,"-")</f>
        <v>-</v>
      </c>
      <c r="N144" s="341">
        <f t="shared" ref="N144:N145" si="143">IFERROR(L144/J144,"-")</f>
        <v>0.12935921662944511</v>
      </c>
      <c r="O144" s="503">
        <v>1.5669</v>
      </c>
      <c r="P144" s="398">
        <f>+O144*G144</f>
        <v>88623.864000000001</v>
      </c>
      <c r="Q144" s="443">
        <f>+O144*K144</f>
        <v>238231.476</v>
      </c>
    </row>
    <row r="145" spans="1:17" ht="24" x14ac:dyDescent="0.25">
      <c r="A145" s="274" t="s">
        <v>103</v>
      </c>
      <c r="B145" s="434"/>
      <c r="C145" s="275" t="s">
        <v>244</v>
      </c>
      <c r="D145" s="276"/>
      <c r="E145" s="277"/>
      <c r="F145" s="331">
        <f t="shared" ref="F145:F149" si="144">+G145+H145</f>
        <v>0</v>
      </c>
      <c r="G145" s="679"/>
      <c r="H145" s="679"/>
      <c r="I145" s="350" t="str">
        <f>IFERROR(F145/#REF!,"-")</f>
        <v>-</v>
      </c>
      <c r="J145" s="331">
        <f t="shared" ref="J145:J149" si="145">+K145+L145</f>
        <v>0</v>
      </c>
      <c r="K145" s="278">
        <f t="shared" ref="K145:K147" si="146">+G145+K80</f>
        <v>0</v>
      </c>
      <c r="L145" s="432">
        <f t="shared" ref="L145:L147" si="147">+H145+L80</f>
        <v>0</v>
      </c>
      <c r="M145" s="335" t="str">
        <f t="shared" ref="M145:M149" si="148">IFERROR(J145/D145,"-")</f>
        <v>-</v>
      </c>
      <c r="N145" s="265" t="str">
        <f t="shared" si="143"/>
        <v>-</v>
      </c>
      <c r="O145" s="504">
        <v>2.3978999999999999</v>
      </c>
      <c r="P145" s="400">
        <f>+O145*G145</f>
        <v>0</v>
      </c>
      <c r="Q145" s="445">
        <f>+O145*K145</f>
        <v>0</v>
      </c>
    </row>
    <row r="146" spans="1:17" ht="24" x14ac:dyDescent="0.25">
      <c r="A146" s="274" t="s">
        <v>103</v>
      </c>
      <c r="B146" s="434"/>
      <c r="C146" s="275" t="s">
        <v>393</v>
      </c>
      <c r="D146" s="276"/>
      <c r="E146" s="277"/>
      <c r="F146" s="331">
        <f t="shared" si="144"/>
        <v>58374</v>
      </c>
      <c r="G146" s="278">
        <v>57500</v>
      </c>
      <c r="H146" s="679">
        <v>874</v>
      </c>
      <c r="I146" s="350" t="str">
        <f>IFERROR(F146/#REF!,"-")</f>
        <v>-</v>
      </c>
      <c r="J146" s="331">
        <f t="shared" si="145"/>
        <v>174248</v>
      </c>
      <c r="K146" s="278">
        <f t="shared" si="146"/>
        <v>172500</v>
      </c>
      <c r="L146" s="432">
        <f t="shared" si="147"/>
        <v>1748</v>
      </c>
      <c r="M146" s="335" t="str">
        <f t="shared" si="148"/>
        <v>-</v>
      </c>
      <c r="N146" s="676">
        <f>IFERROR(L146/J146,"-")</f>
        <v>1.0031678986272439E-2</v>
      </c>
      <c r="O146" s="678">
        <v>3.6777000000000002</v>
      </c>
      <c r="P146" s="400">
        <f t="shared" ref="P146:P149" si="149">+O146*G146</f>
        <v>211467.75</v>
      </c>
      <c r="Q146" s="445">
        <f t="shared" ref="Q146:Q149" si="150">+O146*K146</f>
        <v>634403.25</v>
      </c>
    </row>
    <row r="147" spans="1:17" ht="24" x14ac:dyDescent="0.25">
      <c r="A147" s="274"/>
      <c r="B147" s="447"/>
      <c r="C147" s="275" t="s">
        <v>317</v>
      </c>
      <c r="D147" s="280"/>
      <c r="E147" s="281"/>
      <c r="F147" s="331">
        <f t="shared" si="144"/>
        <v>22258</v>
      </c>
      <c r="G147" s="282">
        <v>22000</v>
      </c>
      <c r="H147" s="282">
        <v>258</v>
      </c>
      <c r="I147" s="350" t="str">
        <f>IFERROR(F147/#REF!,"-")</f>
        <v>-</v>
      </c>
      <c r="J147" s="331">
        <f t="shared" si="145"/>
        <v>44490</v>
      </c>
      <c r="K147" s="278">
        <f t="shared" si="146"/>
        <v>44000</v>
      </c>
      <c r="L147" s="432">
        <f t="shared" si="147"/>
        <v>490</v>
      </c>
      <c r="M147" s="335" t="str">
        <f t="shared" si="148"/>
        <v>-</v>
      </c>
      <c r="N147" s="265">
        <f>IFERROR(L147/J147,"-")</f>
        <v>1.1013710946280062E-2</v>
      </c>
      <c r="O147" s="505">
        <v>12.284700000000001</v>
      </c>
      <c r="P147" s="400">
        <f t="shared" si="149"/>
        <v>270263.40000000002</v>
      </c>
      <c r="Q147" s="445">
        <f t="shared" si="150"/>
        <v>540526.80000000005</v>
      </c>
    </row>
    <row r="148" spans="1:17" ht="24.75" thickBot="1" x14ac:dyDescent="0.3">
      <c r="A148" s="274" t="s">
        <v>103</v>
      </c>
      <c r="B148" s="447"/>
      <c r="C148" s="275" t="s">
        <v>517</v>
      </c>
      <c r="D148" s="280"/>
      <c r="E148" s="281"/>
      <c r="F148" s="332">
        <f t="shared" ref="F148" si="151">+G148+H148</f>
        <v>29590</v>
      </c>
      <c r="G148" s="282">
        <v>29250</v>
      </c>
      <c r="H148" s="282">
        <v>340</v>
      </c>
      <c r="I148" s="351" t="str">
        <f>IFERROR(F148/#REF!,"-")</f>
        <v>-</v>
      </c>
      <c r="J148" s="456">
        <f t="shared" ref="J148" si="152">+K148+L148</f>
        <v>29590</v>
      </c>
      <c r="K148" s="457">
        <f>+G148</f>
        <v>29250</v>
      </c>
      <c r="L148" s="458">
        <f>+H148</f>
        <v>340</v>
      </c>
      <c r="M148" s="336" t="str">
        <f t="shared" ref="M148" si="153">IFERROR(J148/D148,"-")</f>
        <v>-</v>
      </c>
      <c r="N148" s="342">
        <f t="shared" ref="N148" si="154">IFERROR(L148/J148,"-")</f>
        <v>1.1490368367691788E-2</v>
      </c>
      <c r="O148" s="678">
        <v>4.6797000000000004</v>
      </c>
      <c r="P148" s="401">
        <f t="shared" ref="P148" si="155">+O148*G148</f>
        <v>136881.22500000001</v>
      </c>
      <c r="Q148" s="446">
        <f t="shared" ref="Q148" si="156">+O148*K148</f>
        <v>136881.22500000001</v>
      </c>
    </row>
    <row r="149" spans="1:17" ht="24.75" thickBot="1" x14ac:dyDescent="0.3">
      <c r="A149" s="274" t="s">
        <v>103</v>
      </c>
      <c r="B149" s="447"/>
      <c r="C149" s="275" t="s">
        <v>507</v>
      </c>
      <c r="D149" s="280"/>
      <c r="E149" s="281"/>
      <c r="F149" s="332">
        <f t="shared" si="144"/>
        <v>0</v>
      </c>
      <c r="G149" s="282"/>
      <c r="H149" s="282"/>
      <c r="I149" s="351" t="str">
        <f>IFERROR(F149/#REF!,"-")</f>
        <v>-</v>
      </c>
      <c r="J149" s="456">
        <f t="shared" si="145"/>
        <v>30784</v>
      </c>
      <c r="K149" s="457">
        <f>+G149+K83</f>
        <v>30000</v>
      </c>
      <c r="L149" s="458">
        <f>+H149+L83</f>
        <v>784</v>
      </c>
      <c r="M149" s="336" t="str">
        <f t="shared" si="148"/>
        <v>-</v>
      </c>
      <c r="N149" s="342">
        <f t="shared" ref="N149:N161" si="157">IFERROR(L149/J149,"-")</f>
        <v>2.5467775467775469E-2</v>
      </c>
      <c r="O149" s="678">
        <v>0</v>
      </c>
      <c r="P149" s="401">
        <f t="shared" si="149"/>
        <v>0</v>
      </c>
      <c r="Q149" s="446">
        <f t="shared" si="150"/>
        <v>0</v>
      </c>
    </row>
    <row r="150" spans="1:17" ht="23.25" customHeight="1" thickBot="1" x14ac:dyDescent="0.3">
      <c r="A150" s="274" t="s">
        <v>103</v>
      </c>
      <c r="B150" s="923" t="s">
        <v>21</v>
      </c>
      <c r="C150" s="878"/>
      <c r="D150" s="319">
        <f>SUM(D144:D149)</f>
        <v>0</v>
      </c>
      <c r="E150" s="284">
        <v>15000</v>
      </c>
      <c r="F150" s="319">
        <f>SUM(F144:F149)</f>
        <v>177032</v>
      </c>
      <c r="G150" s="320">
        <f>SUM(G144:G149)</f>
        <v>165310</v>
      </c>
      <c r="H150" s="320">
        <f>SUM(H144:H149)</f>
        <v>11722</v>
      </c>
      <c r="I150" s="343" t="str">
        <f>IFERROR(F150/#REF!,"-")</f>
        <v>-</v>
      </c>
      <c r="J150" s="319">
        <f>SUM(J144:J149)</f>
        <v>453742</v>
      </c>
      <c r="K150" s="320">
        <f>SUM(K144:K149)</f>
        <v>427790</v>
      </c>
      <c r="L150" s="321">
        <f>SUM(L144:L149)</f>
        <v>25952</v>
      </c>
      <c r="M150" s="337" t="str">
        <f>IFERROR(J150/D150,"-")</f>
        <v>-</v>
      </c>
      <c r="N150" s="343">
        <f t="shared" si="157"/>
        <v>5.7195498763614565E-2</v>
      </c>
      <c r="O150" s="387"/>
      <c r="P150" s="402">
        <f>SUM(P144:P149)</f>
        <v>707236.23899999994</v>
      </c>
      <c r="Q150" s="421">
        <f>SUM(Q144:Q149)</f>
        <v>1550042.7510000002</v>
      </c>
    </row>
    <row r="151" spans="1:17" ht="24" x14ac:dyDescent="0.25">
      <c r="A151" s="274" t="s">
        <v>103</v>
      </c>
      <c r="B151" s="435"/>
      <c r="C151" s="269" t="s">
        <v>243</v>
      </c>
      <c r="D151" s="270"/>
      <c r="E151" s="271"/>
      <c r="F151" s="330">
        <f t="shared" ref="F151:F157" si="158">+G151+H151</f>
        <v>8874</v>
      </c>
      <c r="G151" s="272">
        <v>8640</v>
      </c>
      <c r="H151" s="272">
        <v>234</v>
      </c>
      <c r="I151" s="349" t="str">
        <f>IFERROR(F151/#REF!,"-")</f>
        <v>-</v>
      </c>
      <c r="J151" s="453">
        <f t="shared" ref="J151:J157" si="159">+K151+L151</f>
        <v>13368</v>
      </c>
      <c r="K151" s="454">
        <f t="shared" ref="K151:L157" si="160">+G151+K85</f>
        <v>12960</v>
      </c>
      <c r="L151" s="455">
        <f t="shared" si="160"/>
        <v>408</v>
      </c>
      <c r="M151" s="334" t="str">
        <f t="shared" ref="M151:M159" si="161">IFERROR(J151/D151,"-")</f>
        <v>-</v>
      </c>
      <c r="N151" s="344">
        <f t="shared" si="157"/>
        <v>3.052064631956912E-2</v>
      </c>
      <c r="O151" s="503">
        <v>18.2316</v>
      </c>
      <c r="P151" s="398">
        <f t="shared" ref="P151:P157" si="162">+O151*G151</f>
        <v>157521.024</v>
      </c>
      <c r="Q151" s="443">
        <f t="shared" ref="Q151:Q157" si="163">+O151*K151</f>
        <v>236281.53599999999</v>
      </c>
    </row>
    <row r="152" spans="1:17" ht="24" x14ac:dyDescent="0.25">
      <c r="A152" s="274" t="s">
        <v>103</v>
      </c>
      <c r="B152" s="434"/>
      <c r="C152" s="275" t="s">
        <v>89</v>
      </c>
      <c r="D152" s="276"/>
      <c r="E152" s="277"/>
      <c r="F152" s="331">
        <f t="shared" si="158"/>
        <v>0</v>
      </c>
      <c r="G152" s="278"/>
      <c r="H152" s="278"/>
      <c r="I152" s="350" t="str">
        <f>IFERROR(F152/#REF!,"-")</f>
        <v>-</v>
      </c>
      <c r="J152" s="331">
        <f t="shared" si="159"/>
        <v>0</v>
      </c>
      <c r="K152" s="278">
        <f t="shared" si="160"/>
        <v>0</v>
      </c>
      <c r="L152" s="432">
        <f t="shared" si="160"/>
        <v>0</v>
      </c>
      <c r="M152" s="335" t="str">
        <f t="shared" si="161"/>
        <v>-</v>
      </c>
      <c r="N152" s="263" t="str">
        <f t="shared" si="157"/>
        <v>-</v>
      </c>
      <c r="O152" s="504">
        <v>1.2824</v>
      </c>
      <c r="P152" s="400">
        <f t="shared" si="162"/>
        <v>0</v>
      </c>
      <c r="Q152" s="445">
        <f t="shared" si="163"/>
        <v>0</v>
      </c>
    </row>
    <row r="153" spans="1:17" ht="24" x14ac:dyDescent="0.25">
      <c r="A153" s="274" t="s">
        <v>103</v>
      </c>
      <c r="B153" s="434"/>
      <c r="C153" s="275" t="s">
        <v>299</v>
      </c>
      <c r="D153" s="276"/>
      <c r="E153" s="277"/>
      <c r="F153" s="331">
        <f t="shared" si="158"/>
        <v>0</v>
      </c>
      <c r="G153" s="278"/>
      <c r="H153" s="278"/>
      <c r="I153" s="350" t="str">
        <f>IFERROR(F153/#REF!,"-")</f>
        <v>-</v>
      </c>
      <c r="J153" s="331">
        <f t="shared" si="159"/>
        <v>0</v>
      </c>
      <c r="K153" s="278">
        <f t="shared" si="160"/>
        <v>0</v>
      </c>
      <c r="L153" s="432">
        <f t="shared" si="160"/>
        <v>0</v>
      </c>
      <c r="M153" s="335" t="str">
        <f t="shared" si="161"/>
        <v>-</v>
      </c>
      <c r="N153" s="263" t="str">
        <f t="shared" si="157"/>
        <v>-</v>
      </c>
      <c r="O153" s="670">
        <v>5.7342000000000004</v>
      </c>
      <c r="P153" s="400">
        <f t="shared" si="162"/>
        <v>0</v>
      </c>
      <c r="Q153" s="445">
        <f t="shared" si="163"/>
        <v>0</v>
      </c>
    </row>
    <row r="154" spans="1:17" ht="24" x14ac:dyDescent="0.25">
      <c r="A154" s="274" t="s">
        <v>103</v>
      </c>
      <c r="B154" s="434"/>
      <c r="C154" s="275" t="s">
        <v>313</v>
      </c>
      <c r="D154" s="276"/>
      <c r="E154" s="277"/>
      <c r="F154" s="331">
        <f t="shared" si="158"/>
        <v>0</v>
      </c>
      <c r="G154" s="278"/>
      <c r="H154" s="278"/>
      <c r="I154" s="350" t="str">
        <f>IFERROR(F154/#REF!,"-")</f>
        <v>-</v>
      </c>
      <c r="J154" s="331">
        <f t="shared" si="159"/>
        <v>0</v>
      </c>
      <c r="K154" s="278">
        <f t="shared" si="160"/>
        <v>0</v>
      </c>
      <c r="L154" s="432">
        <f t="shared" si="160"/>
        <v>0</v>
      </c>
      <c r="M154" s="335" t="str">
        <f t="shared" si="161"/>
        <v>-</v>
      </c>
      <c r="N154" s="263" t="str">
        <f t="shared" si="157"/>
        <v>-</v>
      </c>
      <c r="O154" s="504"/>
      <c r="P154" s="400">
        <f t="shared" si="162"/>
        <v>0</v>
      </c>
      <c r="Q154" s="445">
        <f t="shared" si="163"/>
        <v>0</v>
      </c>
    </row>
    <row r="155" spans="1:17" ht="24" x14ac:dyDescent="0.25">
      <c r="A155" s="274" t="s">
        <v>103</v>
      </c>
      <c r="B155" s="434"/>
      <c r="C155" s="275" t="s">
        <v>318</v>
      </c>
      <c r="D155" s="276"/>
      <c r="E155" s="277"/>
      <c r="F155" s="331">
        <f t="shared" si="158"/>
        <v>0</v>
      </c>
      <c r="G155" s="278"/>
      <c r="H155" s="278"/>
      <c r="I155" s="350" t="str">
        <f>IFERROR(F155/#REF!,"-")</f>
        <v>-</v>
      </c>
      <c r="J155" s="331">
        <f t="shared" si="159"/>
        <v>0</v>
      </c>
      <c r="K155" s="278">
        <f t="shared" si="160"/>
        <v>0</v>
      </c>
      <c r="L155" s="432">
        <f t="shared" si="160"/>
        <v>0</v>
      </c>
      <c r="M155" s="335" t="str">
        <f t="shared" si="161"/>
        <v>-</v>
      </c>
      <c r="N155" s="263" t="str">
        <f t="shared" si="157"/>
        <v>-</v>
      </c>
      <c r="O155" s="504">
        <v>12.029500000000001</v>
      </c>
      <c r="P155" s="400">
        <f t="shared" si="162"/>
        <v>0</v>
      </c>
      <c r="Q155" s="445">
        <f t="shared" si="163"/>
        <v>0</v>
      </c>
    </row>
    <row r="156" spans="1:17" ht="24" x14ac:dyDescent="0.25">
      <c r="A156" s="274" t="s">
        <v>103</v>
      </c>
      <c r="B156" s="434"/>
      <c r="C156" s="275"/>
      <c r="D156" s="276"/>
      <c r="E156" s="277"/>
      <c r="F156" s="331">
        <f t="shared" si="158"/>
        <v>0</v>
      </c>
      <c r="G156" s="278"/>
      <c r="H156" s="278"/>
      <c r="I156" s="350" t="str">
        <f>IFERROR(F156/#REF!,"-")</f>
        <v>-</v>
      </c>
      <c r="J156" s="331">
        <f t="shared" si="159"/>
        <v>0</v>
      </c>
      <c r="K156" s="278">
        <f t="shared" si="160"/>
        <v>0</v>
      </c>
      <c r="L156" s="432">
        <f t="shared" si="160"/>
        <v>0</v>
      </c>
      <c r="M156" s="335" t="str">
        <f t="shared" si="161"/>
        <v>-</v>
      </c>
      <c r="N156" s="263" t="str">
        <f t="shared" si="157"/>
        <v>-</v>
      </c>
      <c r="O156" s="504"/>
      <c r="P156" s="400">
        <f t="shared" si="162"/>
        <v>0</v>
      </c>
      <c r="Q156" s="445">
        <f t="shared" si="163"/>
        <v>0</v>
      </c>
    </row>
    <row r="157" spans="1:17" ht="24.75" thickBot="1" x14ac:dyDescent="0.3">
      <c r="A157" s="274" t="s">
        <v>103</v>
      </c>
      <c r="B157" s="447"/>
      <c r="C157" s="279"/>
      <c r="D157" s="280">
        <v>0</v>
      </c>
      <c r="E157" s="281"/>
      <c r="F157" s="332">
        <f t="shared" si="158"/>
        <v>0</v>
      </c>
      <c r="G157" s="282"/>
      <c r="H157" s="282"/>
      <c r="I157" s="351" t="str">
        <f>IFERROR(F157/#REF!,"-")</f>
        <v>-</v>
      </c>
      <c r="J157" s="456">
        <f t="shared" si="159"/>
        <v>0</v>
      </c>
      <c r="K157" s="457">
        <f t="shared" si="160"/>
        <v>0</v>
      </c>
      <c r="L157" s="458">
        <f t="shared" si="160"/>
        <v>0</v>
      </c>
      <c r="M157" s="336" t="str">
        <f t="shared" si="161"/>
        <v>-</v>
      </c>
      <c r="N157" s="345" t="str">
        <f t="shared" si="157"/>
        <v>-</v>
      </c>
      <c r="O157" s="505"/>
      <c r="P157" s="401">
        <f t="shared" si="162"/>
        <v>0</v>
      </c>
      <c r="Q157" s="446">
        <f t="shared" si="163"/>
        <v>0</v>
      </c>
    </row>
    <row r="158" spans="1:17" ht="23.25" customHeight="1" thickBot="1" x14ac:dyDescent="0.3">
      <c r="A158" s="274" t="s">
        <v>103</v>
      </c>
      <c r="B158" s="923" t="s">
        <v>25</v>
      </c>
      <c r="C158" s="878"/>
      <c r="D158" s="319">
        <f t="shared" ref="D158" si="164">SUM(D151:D157)</f>
        <v>0</v>
      </c>
      <c r="E158" s="284">
        <v>100000</v>
      </c>
      <c r="F158" s="319">
        <f>SUM(F151:F157)</f>
        <v>8874</v>
      </c>
      <c r="G158" s="320">
        <f t="shared" ref="G158:H158" si="165">SUM(G151:G157)</f>
        <v>8640</v>
      </c>
      <c r="H158" s="320">
        <f t="shared" si="165"/>
        <v>234</v>
      </c>
      <c r="I158" s="343" t="str">
        <f>IFERROR(F158/#REF!,"-")</f>
        <v>-</v>
      </c>
      <c r="J158" s="319">
        <f t="shared" ref="J158:L158" si="166">SUM(J151:J157)</f>
        <v>13368</v>
      </c>
      <c r="K158" s="320">
        <f t="shared" si="166"/>
        <v>12960</v>
      </c>
      <c r="L158" s="321">
        <f t="shared" si="166"/>
        <v>408</v>
      </c>
      <c r="M158" s="337" t="str">
        <f t="shared" si="161"/>
        <v>-</v>
      </c>
      <c r="N158" s="343">
        <f t="shared" si="157"/>
        <v>3.052064631956912E-2</v>
      </c>
      <c r="O158" s="387"/>
      <c r="P158" s="402">
        <f t="shared" ref="P158:Q158" si="167">SUM(P151:P157)</f>
        <v>157521.024</v>
      </c>
      <c r="Q158" s="421">
        <f t="shared" si="167"/>
        <v>236281.53599999999</v>
      </c>
    </row>
    <row r="159" spans="1:17" ht="23.25" customHeight="1" thickBot="1" x14ac:dyDescent="0.3">
      <c r="A159" s="274" t="s">
        <v>103</v>
      </c>
      <c r="B159" s="925" t="s">
        <v>172</v>
      </c>
      <c r="C159" s="926"/>
      <c r="D159" s="324">
        <f>+D150+D158</f>
        <v>0</v>
      </c>
      <c r="E159" s="325">
        <f t="shared" ref="E159:H159" si="168">+E150+E158</f>
        <v>115000</v>
      </c>
      <c r="F159" s="324">
        <f t="shared" si="168"/>
        <v>185906</v>
      </c>
      <c r="G159" s="322">
        <f t="shared" si="168"/>
        <v>173950</v>
      </c>
      <c r="H159" s="322">
        <f t="shared" si="168"/>
        <v>11956</v>
      </c>
      <c r="I159" s="347" t="str">
        <f>IFERROR(F159/#REF!,"-")</f>
        <v>-</v>
      </c>
      <c r="J159" s="324">
        <f t="shared" ref="J159:L159" si="169">+J150+J158</f>
        <v>467110</v>
      </c>
      <c r="K159" s="322">
        <f t="shared" si="169"/>
        <v>440750</v>
      </c>
      <c r="L159" s="323">
        <f t="shared" si="169"/>
        <v>26360</v>
      </c>
      <c r="M159" s="339" t="str">
        <f t="shared" si="161"/>
        <v>-</v>
      </c>
      <c r="N159" s="347">
        <f t="shared" si="157"/>
        <v>5.6432103787116522E-2</v>
      </c>
      <c r="O159" s="390"/>
      <c r="P159" s="406">
        <f t="shared" ref="P159:Q159" si="170">+P150+P158</f>
        <v>864757.26299999992</v>
      </c>
      <c r="Q159" s="424">
        <f t="shared" si="170"/>
        <v>1786324.2870000002</v>
      </c>
    </row>
    <row r="160" spans="1:17" ht="24" x14ac:dyDescent="0.25">
      <c r="A160" s="244" t="s">
        <v>101</v>
      </c>
      <c r="B160" s="574"/>
      <c r="C160" s="575" t="s">
        <v>282</v>
      </c>
      <c r="D160" s="522"/>
      <c r="E160" s="455"/>
      <c r="F160" s="453">
        <f>+G160+H160</f>
        <v>0</v>
      </c>
      <c r="G160" s="454"/>
      <c r="H160" s="454"/>
      <c r="I160" s="526" t="str">
        <f>IFERROR(F160/#REF!,"-")</f>
        <v>-</v>
      </c>
      <c r="J160" s="453">
        <f>+K160+L160</f>
        <v>0</v>
      </c>
      <c r="K160" s="454">
        <f t="shared" ref="K160:L166" si="171">+G160+K94</f>
        <v>0</v>
      </c>
      <c r="L160" s="455">
        <f t="shared" si="171"/>
        <v>0</v>
      </c>
      <c r="M160" s="579" t="str">
        <f>IFERROR(J160/D160,"-")</f>
        <v>-</v>
      </c>
      <c r="N160" s="528" t="str">
        <f t="shared" si="157"/>
        <v>-</v>
      </c>
      <c r="O160" s="617">
        <v>4.8285999999999998</v>
      </c>
      <c r="P160" s="529">
        <f t="shared" ref="P160:P162" si="172">+O160*G160</f>
        <v>0</v>
      </c>
      <c r="Q160" s="530">
        <f t="shared" ref="Q160:Q166" si="173">+O160*K160</f>
        <v>0</v>
      </c>
    </row>
    <row r="161" spans="1:17" ht="24" x14ac:dyDescent="0.25">
      <c r="A161" s="248" t="s">
        <v>101</v>
      </c>
      <c r="B161" s="576"/>
      <c r="C161" s="275" t="s">
        <v>283</v>
      </c>
      <c r="D161" s="276"/>
      <c r="E161" s="432"/>
      <c r="F161" s="331">
        <f t="shared" ref="F161:F162" si="174">+G161+H161</f>
        <v>0</v>
      </c>
      <c r="G161" s="278"/>
      <c r="H161" s="278"/>
      <c r="I161" s="350" t="str">
        <f>IFERROR(F161/#REF!,"-")</f>
        <v>-</v>
      </c>
      <c r="J161" s="331">
        <f t="shared" ref="J161:J166" si="175">+K161+L161</f>
        <v>0</v>
      </c>
      <c r="K161" s="278">
        <f t="shared" si="171"/>
        <v>0</v>
      </c>
      <c r="L161" s="432">
        <f t="shared" si="171"/>
        <v>0</v>
      </c>
      <c r="M161" s="335" t="str">
        <f t="shared" ref="M161:M163" si="176">IFERROR(J161/D161,"-")</f>
        <v>-</v>
      </c>
      <c r="N161" s="265" t="str">
        <f t="shared" si="157"/>
        <v>-</v>
      </c>
      <c r="O161" s="618">
        <v>1.4086000000000001</v>
      </c>
      <c r="P161" s="400">
        <f t="shared" si="172"/>
        <v>0</v>
      </c>
      <c r="Q161" s="445">
        <f t="shared" si="173"/>
        <v>0</v>
      </c>
    </row>
    <row r="162" spans="1:17" ht="24" x14ac:dyDescent="0.25">
      <c r="A162" s="248" t="s">
        <v>101</v>
      </c>
      <c r="B162" s="576"/>
      <c r="C162" s="275" t="s">
        <v>314</v>
      </c>
      <c r="D162" s="276"/>
      <c r="E162" s="432"/>
      <c r="F162" s="331">
        <f t="shared" si="174"/>
        <v>0</v>
      </c>
      <c r="G162" s="278"/>
      <c r="H162" s="278"/>
      <c r="I162" s="350" t="str">
        <f>IFERROR(F162/#REF!,"-")</f>
        <v>-</v>
      </c>
      <c r="J162" s="331">
        <f t="shared" si="175"/>
        <v>0</v>
      </c>
      <c r="K162" s="278">
        <f t="shared" si="171"/>
        <v>0</v>
      </c>
      <c r="L162" s="432">
        <f t="shared" si="171"/>
        <v>0</v>
      </c>
      <c r="M162" s="335" t="str">
        <f t="shared" si="176"/>
        <v>-</v>
      </c>
      <c r="N162" s="265" t="str">
        <f>IFERROR(L162/J162,"-")</f>
        <v>-</v>
      </c>
      <c r="O162" s="618">
        <v>2.2141000000000002</v>
      </c>
      <c r="P162" s="400">
        <f t="shared" si="172"/>
        <v>0</v>
      </c>
      <c r="Q162" s="445">
        <f t="shared" si="173"/>
        <v>0</v>
      </c>
    </row>
    <row r="163" spans="1:17" ht="24" x14ac:dyDescent="0.25">
      <c r="A163" s="248" t="s">
        <v>101</v>
      </c>
      <c r="B163" s="577"/>
      <c r="C163" s="275" t="s">
        <v>442</v>
      </c>
      <c r="D163" s="280"/>
      <c r="E163" s="523"/>
      <c r="F163" s="332">
        <f>+G163+H163</f>
        <v>184165</v>
      </c>
      <c r="G163" s="282">
        <f>100000+81750</f>
        <v>181750</v>
      </c>
      <c r="H163" s="282">
        <f>1325+1090</f>
        <v>2415</v>
      </c>
      <c r="I163" s="351" t="str">
        <f>IFERROR(F163/#REF!,"-")</f>
        <v>-</v>
      </c>
      <c r="J163" s="331">
        <f t="shared" si="175"/>
        <v>387144</v>
      </c>
      <c r="K163" s="278">
        <f t="shared" si="171"/>
        <v>381750</v>
      </c>
      <c r="L163" s="432">
        <f t="shared" si="171"/>
        <v>5394</v>
      </c>
      <c r="M163" s="336" t="str">
        <f t="shared" si="176"/>
        <v>-</v>
      </c>
      <c r="N163" s="342">
        <f t="shared" ref="N163:N170" si="177">IFERROR(L163/J163,"-")</f>
        <v>1.3932800198375799E-2</v>
      </c>
      <c r="O163" s="618">
        <v>2.2141000000000002</v>
      </c>
      <c r="P163" s="401">
        <f>+O163*G163</f>
        <v>402412.67500000005</v>
      </c>
      <c r="Q163" s="446">
        <f t="shared" si="173"/>
        <v>845232.67500000005</v>
      </c>
    </row>
    <row r="164" spans="1:17" ht="24" x14ac:dyDescent="0.25">
      <c r="A164" s="248" t="s">
        <v>101</v>
      </c>
      <c r="B164" s="436"/>
      <c r="C164" s="616" t="s">
        <v>351</v>
      </c>
      <c r="D164" s="506"/>
      <c r="E164" s="524"/>
      <c r="F164" s="331">
        <f t="shared" ref="F164:F166" si="178">+G164+H164</f>
        <v>0</v>
      </c>
      <c r="G164" s="540"/>
      <c r="H164" s="540"/>
      <c r="I164" s="350" t="str">
        <f>IFERROR(F164/#REF!,"-")</f>
        <v>-</v>
      </c>
      <c r="J164" s="331">
        <f t="shared" si="175"/>
        <v>0</v>
      </c>
      <c r="K164" s="278">
        <f t="shared" si="171"/>
        <v>0</v>
      </c>
      <c r="L164" s="432">
        <f t="shared" si="171"/>
        <v>0</v>
      </c>
      <c r="M164" s="643"/>
      <c r="N164" s="265" t="str">
        <f t="shared" si="177"/>
        <v>-</v>
      </c>
      <c r="O164" s="535">
        <v>4.8285999999999998</v>
      </c>
      <c r="P164" s="400">
        <f t="shared" ref="P164:P166" si="179">+O164*G164</f>
        <v>0</v>
      </c>
      <c r="Q164" s="445">
        <f t="shared" si="173"/>
        <v>0</v>
      </c>
    </row>
    <row r="165" spans="1:17" ht="24" x14ac:dyDescent="0.25">
      <c r="A165" s="248" t="s">
        <v>101</v>
      </c>
      <c r="B165" s="578"/>
      <c r="C165" s="616" t="s">
        <v>347</v>
      </c>
      <c r="D165" s="270"/>
      <c r="E165" s="431"/>
      <c r="F165" s="330">
        <f t="shared" si="178"/>
        <v>0</v>
      </c>
      <c r="G165" s="272"/>
      <c r="H165" s="272"/>
      <c r="I165" s="349" t="str">
        <f>IFERROR(F165/#REF!,"-")</f>
        <v>-</v>
      </c>
      <c r="J165" s="331">
        <f t="shared" si="175"/>
        <v>0</v>
      </c>
      <c r="K165" s="278">
        <f t="shared" si="171"/>
        <v>0</v>
      </c>
      <c r="L165" s="432">
        <f t="shared" si="171"/>
        <v>0</v>
      </c>
      <c r="M165" s="334" t="str">
        <f t="shared" ref="M165:M166" si="180">IFERROR(J165/D165,"-")</f>
        <v>-</v>
      </c>
      <c r="N165" s="344" t="str">
        <f t="shared" si="177"/>
        <v>-</v>
      </c>
      <c r="O165" s="503">
        <v>4.1712999999999996</v>
      </c>
      <c r="P165" s="398">
        <f t="shared" si="179"/>
        <v>0</v>
      </c>
      <c r="Q165" s="443">
        <f t="shared" si="173"/>
        <v>0</v>
      </c>
    </row>
    <row r="166" spans="1:17" ht="24.75" thickBot="1" x14ac:dyDescent="0.3">
      <c r="A166" s="248" t="s">
        <v>101</v>
      </c>
      <c r="B166" s="576"/>
      <c r="C166" s="275"/>
      <c r="D166" s="276"/>
      <c r="E166" s="432"/>
      <c r="F166" s="331">
        <f t="shared" si="178"/>
        <v>0</v>
      </c>
      <c r="G166" s="278"/>
      <c r="H166" s="278"/>
      <c r="I166" s="350" t="str">
        <f>IFERROR(F166/#REF!,"-")</f>
        <v>-</v>
      </c>
      <c r="J166" s="456">
        <f t="shared" si="175"/>
        <v>0</v>
      </c>
      <c r="K166" s="457">
        <f t="shared" si="171"/>
        <v>0</v>
      </c>
      <c r="L166" s="458">
        <f t="shared" si="171"/>
        <v>0</v>
      </c>
      <c r="M166" s="335" t="str">
        <f t="shared" si="180"/>
        <v>-</v>
      </c>
      <c r="N166" s="263" t="str">
        <f t="shared" si="177"/>
        <v>-</v>
      </c>
      <c r="O166" s="444"/>
      <c r="P166" s="400">
        <f t="shared" si="179"/>
        <v>0</v>
      </c>
      <c r="Q166" s="445">
        <f t="shared" si="173"/>
        <v>0</v>
      </c>
    </row>
    <row r="167" spans="1:17" ht="23.25" customHeight="1" thickBot="1" x14ac:dyDescent="0.3">
      <c r="A167" s="274" t="s">
        <v>101</v>
      </c>
      <c r="B167" s="923" t="s">
        <v>21</v>
      </c>
      <c r="C167" s="878"/>
      <c r="D167" s="319">
        <v>0</v>
      </c>
      <c r="E167" s="284">
        <v>15000</v>
      </c>
      <c r="F167" s="319">
        <f>SUM(F160:F166)</f>
        <v>184165</v>
      </c>
      <c r="G167" s="320">
        <f t="shared" ref="G167:H167" si="181">SUM(G160:G166)</f>
        <v>181750</v>
      </c>
      <c r="H167" s="320">
        <f t="shared" si="181"/>
        <v>2415</v>
      </c>
      <c r="I167" s="343" t="str">
        <f>IFERROR(F167/#REF!,"-")</f>
        <v>-</v>
      </c>
      <c r="J167" s="509">
        <f t="shared" ref="J167" si="182">SUM(J160:J166)</f>
        <v>387144</v>
      </c>
      <c r="K167" s="515">
        <f>SUM(K160:K166)</f>
        <v>381750</v>
      </c>
      <c r="L167" s="515">
        <f>SUM(L160:L166)</f>
        <v>5394</v>
      </c>
      <c r="M167" s="337" t="str">
        <f>IFERROR(J167/D167,"-")</f>
        <v>-</v>
      </c>
      <c r="N167" s="343">
        <f t="shared" si="177"/>
        <v>1.3932800198375799E-2</v>
      </c>
      <c r="O167" s="387"/>
      <c r="P167" s="402">
        <f>SUM(P160:P166)</f>
        <v>402412.67500000005</v>
      </c>
      <c r="Q167" s="421">
        <f>SUM(Q160:Q166)</f>
        <v>845232.67500000005</v>
      </c>
    </row>
    <row r="168" spans="1:17" ht="23.25" customHeight="1" thickBot="1" x14ac:dyDescent="0.3">
      <c r="A168" s="274" t="s">
        <v>101</v>
      </c>
      <c r="B168" s="925" t="s">
        <v>247</v>
      </c>
      <c r="C168" s="926"/>
      <c r="D168" s="508">
        <f>+D164+D167</f>
        <v>0</v>
      </c>
      <c r="E168" s="520">
        <f>+E164+E167</f>
        <v>15000</v>
      </c>
      <c r="F168" s="508">
        <f>+F164+F167</f>
        <v>184165</v>
      </c>
      <c r="G168" s="510">
        <f>+G164+G167</f>
        <v>181750</v>
      </c>
      <c r="H168" s="510">
        <f>+H164+H167</f>
        <v>2415</v>
      </c>
      <c r="I168" s="511" t="str">
        <f>IFERROR(F168/#REF!,"-")</f>
        <v>-</v>
      </c>
      <c r="J168" s="508">
        <f>+J164+J167</f>
        <v>387144</v>
      </c>
      <c r="K168" s="510">
        <f>+K167</f>
        <v>381750</v>
      </c>
      <c r="L168" s="510">
        <f>+L167</f>
        <v>5394</v>
      </c>
      <c r="M168" s="512" t="str">
        <f t="shared" ref="M168" si="183">IFERROR(J168/D168,"-")</f>
        <v>-</v>
      </c>
      <c r="N168" s="511">
        <f t="shared" si="177"/>
        <v>1.3932800198375799E-2</v>
      </c>
      <c r="O168" s="513"/>
      <c r="P168" s="514">
        <f>+P167</f>
        <v>402412.67500000005</v>
      </c>
      <c r="Q168" s="514">
        <f>+Q167</f>
        <v>845232.67500000005</v>
      </c>
    </row>
    <row r="169" spans="1:17" ht="24" x14ac:dyDescent="0.35">
      <c r="A169" s="244" t="s">
        <v>101</v>
      </c>
      <c r="B169" s="927" t="s">
        <v>249</v>
      </c>
      <c r="C169" s="536" t="s">
        <v>71</v>
      </c>
      <c r="D169" s="522"/>
      <c r="E169" s="455"/>
      <c r="F169" s="453">
        <f>+G169+H169</f>
        <v>0</v>
      </c>
      <c r="G169" s="454"/>
      <c r="H169" s="454"/>
      <c r="I169" s="526" t="str">
        <f>IFERROR(F169/#REF!,"-")</f>
        <v>-</v>
      </c>
      <c r="J169" s="453">
        <f>+K169+L169</f>
        <v>9098</v>
      </c>
      <c r="K169" s="454">
        <f t="shared" ref="K169:K202" si="184">+G169+K103</f>
        <v>9000</v>
      </c>
      <c r="L169" s="455">
        <f t="shared" ref="L169:L202" si="185">+H169+L103</f>
        <v>98</v>
      </c>
      <c r="M169" s="579" t="str">
        <f>IFERROR(J169/D169,"-")</f>
        <v>-</v>
      </c>
      <c r="N169" s="528">
        <f t="shared" si="177"/>
        <v>1.0771598153440316E-2</v>
      </c>
      <c r="O169" s="533">
        <v>32.946300000000001</v>
      </c>
      <c r="P169" s="529">
        <f t="shared" ref="P169:P202" si="186">+O169*G169</f>
        <v>0</v>
      </c>
      <c r="Q169" s="530">
        <f t="shared" ref="Q169:Q202" si="187">+O169*K169</f>
        <v>296516.7</v>
      </c>
    </row>
    <row r="170" spans="1:17" ht="24" x14ac:dyDescent="0.35">
      <c r="A170" s="248" t="s">
        <v>101</v>
      </c>
      <c r="B170" s="928"/>
      <c r="C170" s="537" t="s">
        <v>72</v>
      </c>
      <c r="D170" s="507"/>
      <c r="E170" s="432"/>
      <c r="F170" s="331">
        <f t="shared" ref="F170:F202" si="188">+G170+H170</f>
        <v>0</v>
      </c>
      <c r="G170" s="278"/>
      <c r="H170" s="278"/>
      <c r="I170" s="350" t="str">
        <f>IFERROR(F170/#REF!,"-")</f>
        <v>-</v>
      </c>
      <c r="J170" s="331">
        <f t="shared" ref="J170:J202" si="189">+K170+L170</f>
        <v>0</v>
      </c>
      <c r="K170" s="278">
        <f t="shared" si="184"/>
        <v>0</v>
      </c>
      <c r="L170" s="432">
        <f t="shared" si="185"/>
        <v>0</v>
      </c>
      <c r="M170" s="335" t="str">
        <f t="shared" ref="M170:M172" si="190">IFERROR(J170/D170,"-")</f>
        <v>-</v>
      </c>
      <c r="N170" s="265" t="str">
        <f t="shared" si="177"/>
        <v>-</v>
      </c>
      <c r="O170" s="504">
        <v>35.398400000000002</v>
      </c>
      <c r="P170" s="400">
        <f t="shared" si="186"/>
        <v>0</v>
      </c>
      <c r="Q170" s="445">
        <f t="shared" si="187"/>
        <v>0</v>
      </c>
    </row>
    <row r="171" spans="1:17" ht="24.75" thickBot="1" x14ac:dyDescent="0.4">
      <c r="A171" s="248" t="s">
        <v>101</v>
      </c>
      <c r="B171" s="929"/>
      <c r="C171" s="537" t="s">
        <v>450</v>
      </c>
      <c r="D171" s="276"/>
      <c r="E171" s="432"/>
      <c r="F171" s="331">
        <f t="shared" si="188"/>
        <v>0</v>
      </c>
      <c r="G171" s="278"/>
      <c r="H171" s="278"/>
      <c r="I171" s="350" t="str">
        <f>IFERROR(F171/#REF!,"-")</f>
        <v>-</v>
      </c>
      <c r="J171" s="331">
        <f t="shared" si="189"/>
        <v>0</v>
      </c>
      <c r="K171" s="278">
        <f t="shared" si="184"/>
        <v>0</v>
      </c>
      <c r="L171" s="432">
        <f t="shared" si="185"/>
        <v>0</v>
      </c>
      <c r="M171" s="335" t="str">
        <f t="shared" si="190"/>
        <v>-</v>
      </c>
      <c r="N171" s="265" t="str">
        <f>IFERROR(L171/J171,"-")</f>
        <v>-</v>
      </c>
      <c r="O171" s="504">
        <v>35.398400000000002</v>
      </c>
      <c r="P171" s="400">
        <f t="shared" si="186"/>
        <v>0</v>
      </c>
      <c r="Q171" s="445">
        <f t="shared" si="187"/>
        <v>0</v>
      </c>
    </row>
    <row r="172" spans="1:17" ht="24" x14ac:dyDescent="0.35">
      <c r="A172" s="248" t="s">
        <v>101</v>
      </c>
      <c r="B172" s="927" t="s">
        <v>250</v>
      </c>
      <c r="C172" s="538" t="s">
        <v>75</v>
      </c>
      <c r="D172" s="276"/>
      <c r="E172" s="523"/>
      <c r="F172" s="332">
        <f t="shared" si="188"/>
        <v>681</v>
      </c>
      <c r="G172" s="278">
        <v>592</v>
      </c>
      <c r="H172" s="278">
        <v>89</v>
      </c>
      <c r="I172" s="350" t="str">
        <f>IFERROR(F172/#REF!,"-")</f>
        <v>-</v>
      </c>
      <c r="J172" s="331">
        <f t="shared" si="189"/>
        <v>681</v>
      </c>
      <c r="K172" s="278">
        <f t="shared" si="184"/>
        <v>592</v>
      </c>
      <c r="L172" s="432">
        <f t="shared" si="185"/>
        <v>89</v>
      </c>
      <c r="M172" s="335" t="str">
        <f t="shared" si="190"/>
        <v>-</v>
      </c>
      <c r="N172" s="265">
        <f t="shared" ref="N172" si="191">IFERROR(L172/J172,"-")</f>
        <v>0.13069016152716592</v>
      </c>
      <c r="O172" s="504">
        <v>55.4758</v>
      </c>
      <c r="P172" s="400">
        <f t="shared" si="186"/>
        <v>32841.673600000002</v>
      </c>
      <c r="Q172" s="445">
        <f t="shared" si="187"/>
        <v>32841.673600000002</v>
      </c>
    </row>
    <row r="173" spans="1:17" ht="24" x14ac:dyDescent="0.35">
      <c r="A173" s="248" t="s">
        <v>101</v>
      </c>
      <c r="B173" s="928"/>
      <c r="C173" s="538" t="s">
        <v>72</v>
      </c>
      <c r="D173" s="276"/>
      <c r="E173" s="524"/>
      <c r="F173" s="332">
        <f t="shared" si="188"/>
        <v>0</v>
      </c>
      <c r="G173" s="278"/>
      <c r="H173" s="278"/>
      <c r="I173" s="350" t="str">
        <f>IFERROR(F173/#REF!,"-")</f>
        <v>-</v>
      </c>
      <c r="J173" s="331">
        <f t="shared" si="189"/>
        <v>0</v>
      </c>
      <c r="K173" s="278">
        <f t="shared" si="184"/>
        <v>0</v>
      </c>
      <c r="L173" s="432">
        <f t="shared" si="185"/>
        <v>0</v>
      </c>
      <c r="M173" s="643"/>
      <c r="N173" s="370"/>
      <c r="O173" s="535">
        <v>58.836300000000001</v>
      </c>
      <c r="P173" s="400">
        <f t="shared" si="186"/>
        <v>0</v>
      </c>
      <c r="Q173" s="445">
        <f t="shared" si="187"/>
        <v>0</v>
      </c>
    </row>
    <row r="174" spans="1:17" ht="24" x14ac:dyDescent="0.35">
      <c r="A174" s="248" t="s">
        <v>101</v>
      </c>
      <c r="B174" s="928"/>
      <c r="C174" s="538" t="s">
        <v>345</v>
      </c>
      <c r="D174" s="276"/>
      <c r="E174" s="431"/>
      <c r="F174" s="332">
        <f t="shared" si="188"/>
        <v>0</v>
      </c>
      <c r="G174" s="278"/>
      <c r="H174" s="278"/>
      <c r="I174" s="350" t="str">
        <f>IFERROR(F174/#REF!,"-")</f>
        <v>-</v>
      </c>
      <c r="J174" s="331">
        <f t="shared" si="189"/>
        <v>0</v>
      </c>
      <c r="K174" s="278">
        <f t="shared" si="184"/>
        <v>0</v>
      </c>
      <c r="L174" s="432">
        <f t="shared" si="185"/>
        <v>0</v>
      </c>
      <c r="M174" s="335" t="str">
        <f t="shared" ref="M174" si="192">IFERROR(J174/D174,"-")</f>
        <v>-</v>
      </c>
      <c r="N174" s="263" t="str">
        <f t="shared" ref="N174" si="193">IFERROR(L174/J174,"-")</f>
        <v>-</v>
      </c>
      <c r="O174" s="670">
        <v>58.836300000000001</v>
      </c>
      <c r="P174" s="400">
        <f t="shared" si="186"/>
        <v>0</v>
      </c>
      <c r="Q174" s="445">
        <f t="shared" si="187"/>
        <v>0</v>
      </c>
    </row>
    <row r="175" spans="1:17" ht="24.75" thickBot="1" x14ac:dyDescent="0.4">
      <c r="A175" s="248"/>
      <c r="B175" s="929"/>
      <c r="C175" s="538" t="s">
        <v>359</v>
      </c>
      <c r="D175" s="276"/>
      <c r="E175" s="431"/>
      <c r="F175" s="332">
        <f t="shared" si="188"/>
        <v>0</v>
      </c>
      <c r="G175" s="278"/>
      <c r="H175" s="278"/>
      <c r="I175" s="350"/>
      <c r="J175" s="331">
        <f t="shared" si="189"/>
        <v>0</v>
      </c>
      <c r="K175" s="278">
        <f t="shared" si="184"/>
        <v>0</v>
      </c>
      <c r="L175" s="432">
        <f t="shared" si="185"/>
        <v>0</v>
      </c>
      <c r="M175" s="335"/>
      <c r="N175" s="263" t="str">
        <f>IFERROR(L175/J175,"-")</f>
        <v>-</v>
      </c>
      <c r="O175" s="504">
        <v>55.4758</v>
      </c>
      <c r="P175" s="400">
        <f t="shared" si="186"/>
        <v>0</v>
      </c>
      <c r="Q175" s="445">
        <f t="shared" si="187"/>
        <v>0</v>
      </c>
    </row>
    <row r="176" spans="1:17" ht="24" x14ac:dyDescent="0.35">
      <c r="A176" s="248" t="s">
        <v>101</v>
      </c>
      <c r="B176" s="927" t="s">
        <v>407</v>
      </c>
      <c r="C176" s="537" t="s">
        <v>77</v>
      </c>
      <c r="D176" s="276"/>
      <c r="E176" s="432"/>
      <c r="F176" s="331">
        <f t="shared" si="188"/>
        <v>0</v>
      </c>
      <c r="G176" s="278"/>
      <c r="H176" s="278"/>
      <c r="I176" s="350" t="str">
        <f>IFERROR(F176/#REF!,"-")</f>
        <v>-</v>
      </c>
      <c r="J176" s="331">
        <f t="shared" si="189"/>
        <v>0</v>
      </c>
      <c r="K176" s="647">
        <f t="shared" si="184"/>
        <v>0</v>
      </c>
      <c r="L176" s="648">
        <f t="shared" si="185"/>
        <v>0</v>
      </c>
      <c r="M176" s="335" t="str">
        <f t="shared" ref="M176:M205" si="194">IFERROR(J176/D176,"-")</f>
        <v>-</v>
      </c>
      <c r="N176" s="263" t="str">
        <f t="shared" ref="N176:N204" si="195">IFERROR(L176/J176,"-")</f>
        <v>-</v>
      </c>
      <c r="O176" s="504">
        <v>25.687200000000001</v>
      </c>
      <c r="P176" s="400">
        <f t="shared" si="186"/>
        <v>0</v>
      </c>
      <c r="Q176" s="445">
        <f t="shared" si="187"/>
        <v>0</v>
      </c>
    </row>
    <row r="177" spans="1:17" ht="24.75" thickBot="1" x14ac:dyDescent="0.4">
      <c r="A177" s="248" t="s">
        <v>101</v>
      </c>
      <c r="B177" s="929"/>
      <c r="C177" s="537" t="s">
        <v>117</v>
      </c>
      <c r="D177" s="276"/>
      <c r="E177" s="432"/>
      <c r="F177" s="331">
        <f t="shared" si="188"/>
        <v>0</v>
      </c>
      <c r="G177" s="278"/>
      <c r="H177" s="278"/>
      <c r="I177" s="350" t="str">
        <f>IFERROR(F177/#REF!,"-")</f>
        <v>-</v>
      </c>
      <c r="J177" s="331">
        <f t="shared" si="189"/>
        <v>0</v>
      </c>
      <c r="K177" s="278">
        <f t="shared" si="184"/>
        <v>0</v>
      </c>
      <c r="L177" s="432">
        <f t="shared" si="185"/>
        <v>0</v>
      </c>
      <c r="M177" s="335" t="str">
        <f t="shared" si="194"/>
        <v>-</v>
      </c>
      <c r="N177" s="263" t="str">
        <f t="shared" si="195"/>
        <v>-</v>
      </c>
      <c r="O177" s="504">
        <v>25.033899999999999</v>
      </c>
      <c r="P177" s="400">
        <f t="shared" si="186"/>
        <v>0</v>
      </c>
      <c r="Q177" s="445">
        <f t="shared" si="187"/>
        <v>0</v>
      </c>
    </row>
    <row r="178" spans="1:17" ht="24" x14ac:dyDescent="0.35">
      <c r="A178" s="248"/>
      <c r="B178" s="927" t="s">
        <v>408</v>
      </c>
      <c r="C178" s="537" t="s">
        <v>79</v>
      </c>
      <c r="D178" s="276"/>
      <c r="E178" s="432"/>
      <c r="F178" s="331">
        <f t="shared" si="188"/>
        <v>2047</v>
      </c>
      <c r="G178" s="278">
        <v>2000</v>
      </c>
      <c r="H178" s="278">
        <v>47</v>
      </c>
      <c r="I178" s="350" t="str">
        <f>IFERROR(F178/#REF!,"-")</f>
        <v>-</v>
      </c>
      <c r="J178" s="331">
        <f t="shared" si="189"/>
        <v>2047</v>
      </c>
      <c r="K178" s="278">
        <f t="shared" si="184"/>
        <v>2000</v>
      </c>
      <c r="L178" s="432">
        <f t="shared" si="185"/>
        <v>47</v>
      </c>
      <c r="M178" s="335" t="str">
        <f t="shared" si="194"/>
        <v>-</v>
      </c>
      <c r="N178" s="263">
        <f t="shared" si="195"/>
        <v>2.2960429897410845E-2</v>
      </c>
      <c r="O178" s="504">
        <v>41.992699999999999</v>
      </c>
      <c r="P178" s="400">
        <f t="shared" si="186"/>
        <v>83985.4</v>
      </c>
      <c r="Q178" s="445">
        <f t="shared" si="187"/>
        <v>83985.4</v>
      </c>
    </row>
    <row r="179" spans="1:17" ht="24" x14ac:dyDescent="0.35">
      <c r="A179" s="248"/>
      <c r="B179" s="928"/>
      <c r="C179" s="537" t="s">
        <v>72</v>
      </c>
      <c r="D179" s="276"/>
      <c r="E179" s="432"/>
      <c r="F179" s="331">
        <f t="shared" si="188"/>
        <v>0</v>
      </c>
      <c r="G179" s="278"/>
      <c r="H179" s="278"/>
      <c r="I179" s="350" t="str">
        <f>IFERROR(F179/#REF!,"-")</f>
        <v>-</v>
      </c>
      <c r="J179" s="331">
        <f t="shared" si="189"/>
        <v>0</v>
      </c>
      <c r="K179" s="278">
        <f t="shared" si="184"/>
        <v>0</v>
      </c>
      <c r="L179" s="432">
        <f t="shared" si="185"/>
        <v>0</v>
      </c>
      <c r="M179" s="335" t="str">
        <f t="shared" si="194"/>
        <v>-</v>
      </c>
      <c r="N179" s="263" t="str">
        <f t="shared" si="195"/>
        <v>-</v>
      </c>
      <c r="O179" s="504">
        <v>42.283799999999999</v>
      </c>
      <c r="P179" s="400">
        <f t="shared" si="186"/>
        <v>0</v>
      </c>
      <c r="Q179" s="445">
        <f t="shared" si="187"/>
        <v>0</v>
      </c>
    </row>
    <row r="180" spans="1:17" ht="24" x14ac:dyDescent="0.35">
      <c r="A180" s="248"/>
      <c r="B180" s="928"/>
      <c r="C180" s="537" t="s">
        <v>378</v>
      </c>
      <c r="D180" s="276"/>
      <c r="E180" s="432"/>
      <c r="F180" s="331">
        <f t="shared" si="188"/>
        <v>0</v>
      </c>
      <c r="G180" s="278"/>
      <c r="H180" s="278"/>
      <c r="I180" s="350" t="str">
        <f>IFERROR(F180/#REF!,"-")</f>
        <v>-</v>
      </c>
      <c r="J180" s="331">
        <f t="shared" si="189"/>
        <v>0</v>
      </c>
      <c r="K180" s="278">
        <f t="shared" si="184"/>
        <v>0</v>
      </c>
      <c r="L180" s="432">
        <f t="shared" si="185"/>
        <v>0</v>
      </c>
      <c r="M180" s="335" t="str">
        <f t="shared" si="194"/>
        <v>-</v>
      </c>
      <c r="N180" s="263" t="str">
        <f t="shared" si="195"/>
        <v>-</v>
      </c>
      <c r="O180" s="670">
        <v>41.992699999999999</v>
      </c>
      <c r="P180" s="400">
        <f t="shared" si="186"/>
        <v>0</v>
      </c>
      <c r="Q180" s="445">
        <f t="shared" si="187"/>
        <v>0</v>
      </c>
    </row>
    <row r="181" spans="1:17" ht="24.75" thickBot="1" x14ac:dyDescent="0.4">
      <c r="A181" s="248"/>
      <c r="B181" s="929"/>
      <c r="C181" s="537" t="s">
        <v>379</v>
      </c>
      <c r="D181" s="276"/>
      <c r="E181" s="432"/>
      <c r="F181" s="331">
        <f t="shared" si="188"/>
        <v>0</v>
      </c>
      <c r="G181" s="278"/>
      <c r="H181" s="278"/>
      <c r="I181" s="350" t="str">
        <f>IFERROR(F181/#REF!,"-")</f>
        <v>-</v>
      </c>
      <c r="J181" s="331">
        <f t="shared" si="189"/>
        <v>0</v>
      </c>
      <c r="K181" s="278">
        <f t="shared" si="184"/>
        <v>0</v>
      </c>
      <c r="L181" s="432">
        <f t="shared" si="185"/>
        <v>0</v>
      </c>
      <c r="M181" s="335" t="str">
        <f t="shared" si="194"/>
        <v>-</v>
      </c>
      <c r="N181" s="263" t="str">
        <f t="shared" si="195"/>
        <v>-</v>
      </c>
      <c r="O181" s="670">
        <v>42.283799999999999</v>
      </c>
      <c r="P181" s="400">
        <f t="shared" si="186"/>
        <v>0</v>
      </c>
      <c r="Q181" s="445">
        <f t="shared" si="187"/>
        <v>0</v>
      </c>
    </row>
    <row r="182" spans="1:17" ht="24.75" thickBot="1" x14ac:dyDescent="0.4">
      <c r="A182" s="248"/>
      <c r="B182" s="677" t="s">
        <v>80</v>
      </c>
      <c r="C182" s="537" t="s">
        <v>81</v>
      </c>
      <c r="D182" s="276"/>
      <c r="E182" s="432"/>
      <c r="F182" s="331">
        <f t="shared" si="188"/>
        <v>0</v>
      </c>
      <c r="G182" s="278"/>
      <c r="H182" s="278"/>
      <c r="I182" s="350" t="str">
        <f>IFERROR(F182/#REF!,"-")</f>
        <v>-</v>
      </c>
      <c r="J182" s="331">
        <f t="shared" si="189"/>
        <v>0</v>
      </c>
      <c r="K182" s="278">
        <f t="shared" si="184"/>
        <v>0</v>
      </c>
      <c r="L182" s="432">
        <f t="shared" si="185"/>
        <v>0</v>
      </c>
      <c r="M182" s="335" t="str">
        <f t="shared" si="194"/>
        <v>-</v>
      </c>
      <c r="N182" s="263" t="str">
        <f t="shared" si="195"/>
        <v>-</v>
      </c>
      <c r="O182" s="504">
        <v>4.3535000000000004</v>
      </c>
      <c r="P182" s="400">
        <f t="shared" si="186"/>
        <v>0</v>
      </c>
      <c r="Q182" s="445">
        <f t="shared" si="187"/>
        <v>0</v>
      </c>
    </row>
    <row r="183" spans="1:17" ht="24" x14ac:dyDescent="0.35">
      <c r="A183" s="248"/>
      <c r="B183" s="927" t="s">
        <v>252</v>
      </c>
      <c r="C183" s="537" t="s">
        <v>77</v>
      </c>
      <c r="D183" s="276"/>
      <c r="E183" s="432"/>
      <c r="F183" s="331">
        <f t="shared" si="188"/>
        <v>76411</v>
      </c>
      <c r="G183" s="278">
        <f>58300+16500</f>
        <v>74800</v>
      </c>
      <c r="H183" s="278">
        <f>888+723</f>
        <v>1611</v>
      </c>
      <c r="I183" s="350" t="str">
        <f>IFERROR(F183/#REF!,"-")</f>
        <v>-</v>
      </c>
      <c r="J183" s="331">
        <f t="shared" si="189"/>
        <v>165985</v>
      </c>
      <c r="K183" s="278">
        <f t="shared" si="184"/>
        <v>163900</v>
      </c>
      <c r="L183" s="432">
        <f t="shared" si="185"/>
        <v>2085</v>
      </c>
      <c r="M183" s="335" t="str">
        <f t="shared" si="194"/>
        <v>-</v>
      </c>
      <c r="N183" s="263">
        <f t="shared" si="195"/>
        <v>1.2561376027954332E-2</v>
      </c>
      <c r="O183" s="504">
        <v>4.6184000000000003</v>
      </c>
      <c r="P183" s="400">
        <f t="shared" si="186"/>
        <v>345456.32</v>
      </c>
      <c r="Q183" s="445">
        <f t="shared" si="187"/>
        <v>756955.76</v>
      </c>
    </row>
    <row r="184" spans="1:17" ht="24" x14ac:dyDescent="0.35">
      <c r="A184" s="248"/>
      <c r="B184" s="928"/>
      <c r="C184" s="537" t="s">
        <v>338</v>
      </c>
      <c r="D184" s="276"/>
      <c r="E184" s="432"/>
      <c r="F184" s="331">
        <f t="shared" si="188"/>
        <v>0</v>
      </c>
      <c r="G184" s="278"/>
      <c r="H184" s="278"/>
      <c r="I184" s="350" t="str">
        <f>IFERROR(F184/#REF!,"-")</f>
        <v>-</v>
      </c>
      <c r="J184" s="331">
        <f t="shared" si="189"/>
        <v>0</v>
      </c>
      <c r="K184" s="278">
        <f t="shared" si="184"/>
        <v>0</v>
      </c>
      <c r="L184" s="432">
        <f t="shared" si="185"/>
        <v>0</v>
      </c>
      <c r="M184" s="335" t="str">
        <f t="shared" si="194"/>
        <v>-</v>
      </c>
      <c r="N184" s="263" t="str">
        <f t="shared" si="195"/>
        <v>-</v>
      </c>
      <c r="O184" s="504">
        <v>4.6184000000000003</v>
      </c>
      <c r="P184" s="400">
        <f t="shared" si="186"/>
        <v>0</v>
      </c>
      <c r="Q184" s="445">
        <f t="shared" si="187"/>
        <v>0</v>
      </c>
    </row>
    <row r="185" spans="1:17" ht="24" x14ac:dyDescent="0.35">
      <c r="A185" s="248"/>
      <c r="B185" s="928"/>
      <c r="C185" s="537" t="s">
        <v>251</v>
      </c>
      <c r="D185" s="276"/>
      <c r="E185" s="432"/>
      <c r="F185" s="331">
        <f t="shared" si="188"/>
        <v>0</v>
      </c>
      <c r="G185" s="278"/>
      <c r="H185" s="278"/>
      <c r="I185" s="350" t="str">
        <f>IFERROR(F185/#REF!,"-")</f>
        <v>-</v>
      </c>
      <c r="J185" s="331">
        <f t="shared" si="189"/>
        <v>0</v>
      </c>
      <c r="K185" s="278">
        <f t="shared" si="184"/>
        <v>0</v>
      </c>
      <c r="L185" s="432">
        <f t="shared" si="185"/>
        <v>0</v>
      </c>
      <c r="M185" s="335" t="str">
        <f t="shared" si="194"/>
        <v>-</v>
      </c>
      <c r="N185" s="263" t="str">
        <f t="shared" si="195"/>
        <v>-</v>
      </c>
      <c r="O185" s="504">
        <v>4.6184000000000003</v>
      </c>
      <c r="P185" s="400">
        <f t="shared" si="186"/>
        <v>0</v>
      </c>
      <c r="Q185" s="445">
        <f t="shared" si="187"/>
        <v>0</v>
      </c>
    </row>
    <row r="186" spans="1:17" ht="24" x14ac:dyDescent="0.35">
      <c r="A186" s="248"/>
      <c r="B186" s="928"/>
      <c r="C186" s="537" t="s">
        <v>348</v>
      </c>
      <c r="D186" s="276"/>
      <c r="E186" s="432"/>
      <c r="F186" s="331">
        <f t="shared" si="188"/>
        <v>0</v>
      </c>
      <c r="G186" s="278"/>
      <c r="H186" s="278"/>
      <c r="I186" s="350" t="str">
        <f>IFERROR(F186/#REF!,"-")</f>
        <v>-</v>
      </c>
      <c r="J186" s="331">
        <f t="shared" si="189"/>
        <v>0</v>
      </c>
      <c r="K186" s="647">
        <f t="shared" si="184"/>
        <v>0</v>
      </c>
      <c r="L186" s="648">
        <f t="shared" si="185"/>
        <v>0</v>
      </c>
      <c r="M186" s="335" t="str">
        <f t="shared" si="194"/>
        <v>-</v>
      </c>
      <c r="N186" s="263" t="str">
        <f t="shared" si="195"/>
        <v>-</v>
      </c>
      <c r="O186" s="504">
        <v>4.7636000000000003</v>
      </c>
      <c r="P186" s="400">
        <f t="shared" si="186"/>
        <v>0</v>
      </c>
      <c r="Q186" s="445">
        <f t="shared" si="187"/>
        <v>0</v>
      </c>
    </row>
    <row r="187" spans="1:17" ht="24.75" thickBot="1" x14ac:dyDescent="0.4">
      <c r="A187" s="248"/>
      <c r="B187" s="929"/>
      <c r="C187" s="537" t="s">
        <v>344</v>
      </c>
      <c r="D187" s="276"/>
      <c r="E187" s="432"/>
      <c r="F187" s="331">
        <f t="shared" si="188"/>
        <v>0</v>
      </c>
      <c r="G187" s="278"/>
      <c r="H187" s="278"/>
      <c r="I187" s="350" t="str">
        <f>IFERROR(F187/#REF!,"-")</f>
        <v>-</v>
      </c>
      <c r="J187" s="331">
        <f t="shared" si="189"/>
        <v>0</v>
      </c>
      <c r="K187" s="278">
        <f t="shared" si="184"/>
        <v>0</v>
      </c>
      <c r="L187" s="432">
        <f t="shared" si="185"/>
        <v>0</v>
      </c>
      <c r="M187" s="335" t="str">
        <f t="shared" si="194"/>
        <v>-</v>
      </c>
      <c r="N187" s="263" t="str">
        <f t="shared" si="195"/>
        <v>-</v>
      </c>
      <c r="O187" s="504">
        <v>4.8738000000000001</v>
      </c>
      <c r="P187" s="400">
        <f t="shared" si="186"/>
        <v>0</v>
      </c>
      <c r="Q187" s="445">
        <f t="shared" si="187"/>
        <v>0</v>
      </c>
    </row>
    <row r="188" spans="1:17" ht="24.75" thickBot="1" x14ac:dyDescent="0.4">
      <c r="A188" s="248"/>
      <c r="B188" s="677" t="s">
        <v>253</v>
      </c>
      <c r="C188" s="537" t="s">
        <v>124</v>
      </c>
      <c r="D188" s="276"/>
      <c r="E188" s="432"/>
      <c r="F188" s="331">
        <f t="shared" si="188"/>
        <v>0</v>
      </c>
      <c r="G188" s="278"/>
      <c r="H188" s="278"/>
      <c r="I188" s="350" t="str">
        <f>IFERROR(F188/#REF!,"-")</f>
        <v>-</v>
      </c>
      <c r="J188" s="331">
        <f t="shared" si="189"/>
        <v>0</v>
      </c>
      <c r="K188" s="278">
        <f t="shared" si="184"/>
        <v>0</v>
      </c>
      <c r="L188" s="432">
        <f t="shared" si="185"/>
        <v>0</v>
      </c>
      <c r="M188" s="335" t="str">
        <f t="shared" si="194"/>
        <v>-</v>
      </c>
      <c r="N188" s="263" t="str">
        <f t="shared" si="195"/>
        <v>-</v>
      </c>
      <c r="O188" s="504">
        <v>4.8738000000000001</v>
      </c>
      <c r="P188" s="400">
        <f t="shared" si="186"/>
        <v>0</v>
      </c>
      <c r="Q188" s="445">
        <f t="shared" si="187"/>
        <v>0</v>
      </c>
    </row>
    <row r="189" spans="1:17" ht="24" x14ac:dyDescent="0.35">
      <c r="A189" s="248"/>
      <c r="B189" s="927" t="s">
        <v>255</v>
      </c>
      <c r="C189" s="537" t="s">
        <v>77</v>
      </c>
      <c r="D189" s="276"/>
      <c r="E189" s="432"/>
      <c r="F189" s="331">
        <f t="shared" si="188"/>
        <v>58541</v>
      </c>
      <c r="G189" s="278">
        <f>42980+13860</f>
        <v>56840</v>
      </c>
      <c r="H189" s="278">
        <f>822+879</f>
        <v>1701</v>
      </c>
      <c r="I189" s="350" t="str">
        <f>IFERROR(F189/#REF!,"-")</f>
        <v>-</v>
      </c>
      <c r="J189" s="331">
        <f t="shared" si="189"/>
        <v>146432</v>
      </c>
      <c r="K189" s="679">
        <f t="shared" si="184"/>
        <v>143360</v>
      </c>
      <c r="L189" s="807">
        <f t="shared" si="185"/>
        <v>3072</v>
      </c>
      <c r="M189" s="335" t="str">
        <f t="shared" si="194"/>
        <v>-</v>
      </c>
      <c r="N189" s="263">
        <f t="shared" si="195"/>
        <v>2.097902097902098E-2</v>
      </c>
      <c r="O189" s="504">
        <v>4.9344999999999999</v>
      </c>
      <c r="P189" s="400">
        <f t="shared" si="186"/>
        <v>280476.98</v>
      </c>
      <c r="Q189" s="445">
        <f t="shared" si="187"/>
        <v>707409.91999999993</v>
      </c>
    </row>
    <row r="190" spans="1:17" ht="24" x14ac:dyDescent="0.35">
      <c r="A190" s="248"/>
      <c r="B190" s="928"/>
      <c r="C190" s="537" t="s">
        <v>135</v>
      </c>
      <c r="D190" s="276"/>
      <c r="E190" s="432"/>
      <c r="F190" s="331">
        <f t="shared" si="188"/>
        <v>0</v>
      </c>
      <c r="G190" s="278"/>
      <c r="H190" s="278"/>
      <c r="I190" s="350" t="str">
        <f>IFERROR(F190/#REF!,"-")</f>
        <v>-</v>
      </c>
      <c r="J190" s="331">
        <f t="shared" si="189"/>
        <v>0</v>
      </c>
      <c r="K190" s="278">
        <f t="shared" si="184"/>
        <v>0</v>
      </c>
      <c r="L190" s="432">
        <f t="shared" si="185"/>
        <v>0</v>
      </c>
      <c r="M190" s="335" t="str">
        <f t="shared" si="194"/>
        <v>-</v>
      </c>
      <c r="N190" s="263" t="str">
        <f t="shared" si="195"/>
        <v>-</v>
      </c>
      <c r="O190" s="504">
        <v>4.9344999999999999</v>
      </c>
      <c r="P190" s="400">
        <f t="shared" si="186"/>
        <v>0</v>
      </c>
      <c r="Q190" s="445">
        <f t="shared" si="187"/>
        <v>0</v>
      </c>
    </row>
    <row r="191" spans="1:17" ht="24" x14ac:dyDescent="0.35">
      <c r="A191" s="248"/>
      <c r="B191" s="928"/>
      <c r="C191" s="537" t="s">
        <v>129</v>
      </c>
      <c r="D191" s="276"/>
      <c r="E191" s="432"/>
      <c r="F191" s="331">
        <f t="shared" si="188"/>
        <v>0</v>
      </c>
      <c r="G191" s="278"/>
      <c r="H191" s="278"/>
      <c r="I191" s="350" t="str">
        <f>IFERROR(F191/#REF!,"-")</f>
        <v>-</v>
      </c>
      <c r="J191" s="331">
        <f t="shared" si="189"/>
        <v>0</v>
      </c>
      <c r="K191" s="278">
        <f t="shared" si="184"/>
        <v>0</v>
      </c>
      <c r="L191" s="432">
        <f t="shared" si="185"/>
        <v>0</v>
      </c>
      <c r="M191" s="335" t="str">
        <f t="shared" si="194"/>
        <v>-</v>
      </c>
      <c r="N191" s="263" t="str">
        <f t="shared" si="195"/>
        <v>-</v>
      </c>
      <c r="O191" s="504">
        <v>4.9344999999999999</v>
      </c>
      <c r="P191" s="400">
        <f t="shared" si="186"/>
        <v>0</v>
      </c>
      <c r="Q191" s="445">
        <f t="shared" si="187"/>
        <v>0</v>
      </c>
    </row>
    <row r="192" spans="1:17" ht="24.75" thickBot="1" x14ac:dyDescent="0.4">
      <c r="A192" s="248"/>
      <c r="B192" s="929"/>
      <c r="C192" s="792" t="s">
        <v>254</v>
      </c>
      <c r="D192" s="276"/>
      <c r="E192" s="432"/>
      <c r="F192" s="331">
        <f t="shared" si="188"/>
        <v>0</v>
      </c>
      <c r="G192" s="278"/>
      <c r="H192" s="278"/>
      <c r="I192" s="350" t="str">
        <f>IFERROR(F192/#REF!,"-")</f>
        <v>-</v>
      </c>
      <c r="J192" s="331">
        <f t="shared" si="189"/>
        <v>0</v>
      </c>
      <c r="K192" s="278">
        <f t="shared" si="184"/>
        <v>0</v>
      </c>
      <c r="L192" s="432">
        <f t="shared" si="185"/>
        <v>0</v>
      </c>
      <c r="M192" s="335" t="str">
        <f t="shared" si="194"/>
        <v>-</v>
      </c>
      <c r="N192" s="263" t="str">
        <f t="shared" si="195"/>
        <v>-</v>
      </c>
      <c r="O192" s="504">
        <v>5.5069999999999997</v>
      </c>
      <c r="P192" s="400">
        <f t="shared" si="186"/>
        <v>0</v>
      </c>
      <c r="Q192" s="445">
        <f t="shared" si="187"/>
        <v>0</v>
      </c>
    </row>
    <row r="193" spans="1:17" ht="24" x14ac:dyDescent="0.35">
      <c r="A193" s="248"/>
      <c r="B193" s="872" t="s">
        <v>260</v>
      </c>
      <c r="C193" s="536" t="s">
        <v>256</v>
      </c>
      <c r="D193" s="507"/>
      <c r="E193" s="432"/>
      <c r="F193" s="331">
        <f t="shared" si="188"/>
        <v>59723</v>
      </c>
      <c r="G193" s="278">
        <f>42000+15750</f>
        <v>57750</v>
      </c>
      <c r="H193" s="278">
        <f>988+985</f>
        <v>1973</v>
      </c>
      <c r="I193" s="350" t="str">
        <f>IFERROR(F193/#REF!,"-")</f>
        <v>-</v>
      </c>
      <c r="J193" s="331">
        <f t="shared" si="189"/>
        <v>121367</v>
      </c>
      <c r="K193" s="278">
        <f t="shared" si="184"/>
        <v>119000</v>
      </c>
      <c r="L193" s="432">
        <f t="shared" si="185"/>
        <v>2367</v>
      </c>
      <c r="M193" s="335" t="str">
        <f t="shared" si="194"/>
        <v>-</v>
      </c>
      <c r="N193" s="263">
        <f t="shared" si="195"/>
        <v>1.9502830258637027E-2</v>
      </c>
      <c r="O193" s="670">
        <v>5.5069999999999997</v>
      </c>
      <c r="P193" s="400">
        <f t="shared" si="186"/>
        <v>318029.25</v>
      </c>
      <c r="Q193" s="445">
        <f t="shared" si="187"/>
        <v>655333</v>
      </c>
    </row>
    <row r="194" spans="1:17" ht="24" x14ac:dyDescent="0.35">
      <c r="A194" s="248"/>
      <c r="B194" s="873"/>
      <c r="C194" s="537" t="s">
        <v>257</v>
      </c>
      <c r="D194" s="507"/>
      <c r="E194" s="432"/>
      <c r="F194" s="331">
        <f t="shared" si="188"/>
        <v>0</v>
      </c>
      <c r="G194" s="278"/>
      <c r="H194" s="278"/>
      <c r="I194" s="350" t="str">
        <f>IFERROR(F194/#REF!,"-")</f>
        <v>-</v>
      </c>
      <c r="J194" s="331">
        <f t="shared" si="189"/>
        <v>0</v>
      </c>
      <c r="K194" s="278">
        <f t="shared" si="184"/>
        <v>0</v>
      </c>
      <c r="L194" s="432">
        <f t="shared" si="185"/>
        <v>0</v>
      </c>
      <c r="M194" s="335" t="str">
        <f t="shared" si="194"/>
        <v>-</v>
      </c>
      <c r="N194" s="263" t="str">
        <f t="shared" si="195"/>
        <v>-</v>
      </c>
      <c r="O194" s="504">
        <v>5.6550000000000002</v>
      </c>
      <c r="P194" s="400">
        <f t="shared" si="186"/>
        <v>0</v>
      </c>
      <c r="Q194" s="445">
        <f t="shared" si="187"/>
        <v>0</v>
      </c>
    </row>
    <row r="195" spans="1:17" ht="24" x14ac:dyDescent="0.35">
      <c r="A195" s="248"/>
      <c r="B195" s="873"/>
      <c r="C195" s="537" t="s">
        <v>319</v>
      </c>
      <c r="D195" s="507"/>
      <c r="E195" s="432"/>
      <c r="F195" s="331">
        <f t="shared" si="188"/>
        <v>0</v>
      </c>
      <c r="G195" s="278"/>
      <c r="H195" s="278"/>
      <c r="I195" s="350" t="str">
        <f>IFERROR(F195/#REF!,"-")</f>
        <v>-</v>
      </c>
      <c r="J195" s="331">
        <f t="shared" si="189"/>
        <v>0</v>
      </c>
      <c r="K195" s="647">
        <f t="shared" si="184"/>
        <v>0</v>
      </c>
      <c r="L195" s="648">
        <f t="shared" si="185"/>
        <v>0</v>
      </c>
      <c r="M195" s="335" t="str">
        <f t="shared" si="194"/>
        <v>-</v>
      </c>
      <c r="N195" s="263" t="str">
        <f t="shared" si="195"/>
        <v>-</v>
      </c>
      <c r="O195" s="504">
        <v>5.6550000000000002</v>
      </c>
      <c r="P195" s="400">
        <f t="shared" si="186"/>
        <v>0</v>
      </c>
      <c r="Q195" s="445">
        <f t="shared" si="187"/>
        <v>0</v>
      </c>
    </row>
    <row r="196" spans="1:17" ht="24" x14ac:dyDescent="0.35">
      <c r="A196" s="248"/>
      <c r="B196" s="873"/>
      <c r="C196" s="537" t="s">
        <v>258</v>
      </c>
      <c r="D196" s="507"/>
      <c r="E196" s="432"/>
      <c r="F196" s="331">
        <f t="shared" si="188"/>
        <v>0</v>
      </c>
      <c r="G196" s="278"/>
      <c r="H196" s="278"/>
      <c r="I196" s="350" t="str">
        <f>IFERROR(F196/#REF!,"-")</f>
        <v>-</v>
      </c>
      <c r="J196" s="331">
        <f t="shared" si="189"/>
        <v>0</v>
      </c>
      <c r="K196" s="278">
        <f t="shared" si="184"/>
        <v>0</v>
      </c>
      <c r="L196" s="432">
        <f t="shared" si="185"/>
        <v>0</v>
      </c>
      <c r="M196" s="335" t="str">
        <f t="shared" si="194"/>
        <v>-</v>
      </c>
      <c r="N196" s="263" t="str">
        <f t="shared" si="195"/>
        <v>-</v>
      </c>
      <c r="O196" s="504">
        <v>5.6550000000000002</v>
      </c>
      <c r="P196" s="400">
        <f t="shared" si="186"/>
        <v>0</v>
      </c>
      <c r="Q196" s="445">
        <f t="shared" si="187"/>
        <v>0</v>
      </c>
    </row>
    <row r="197" spans="1:17" ht="24" x14ac:dyDescent="0.35">
      <c r="A197" s="248" t="s">
        <v>101</v>
      </c>
      <c r="B197" s="873"/>
      <c r="C197" s="537" t="s">
        <v>259</v>
      </c>
      <c r="D197" s="507"/>
      <c r="E197" s="432"/>
      <c r="F197" s="331">
        <f t="shared" si="188"/>
        <v>0</v>
      </c>
      <c r="G197" s="278"/>
      <c r="H197" s="278"/>
      <c r="I197" s="350" t="str">
        <f>IFERROR(F197/#REF!,"-")</f>
        <v>-</v>
      </c>
      <c r="J197" s="331">
        <f t="shared" si="189"/>
        <v>0</v>
      </c>
      <c r="K197" s="278">
        <f t="shared" si="184"/>
        <v>0</v>
      </c>
      <c r="L197" s="432">
        <f t="shared" si="185"/>
        <v>0</v>
      </c>
      <c r="M197" s="335" t="str">
        <f t="shared" si="194"/>
        <v>-</v>
      </c>
      <c r="N197" s="263" t="str">
        <f t="shared" si="195"/>
        <v>-</v>
      </c>
      <c r="O197" s="504">
        <v>3.2963</v>
      </c>
      <c r="P197" s="400">
        <f t="shared" si="186"/>
        <v>0</v>
      </c>
      <c r="Q197" s="445">
        <f t="shared" si="187"/>
        <v>0</v>
      </c>
    </row>
    <row r="198" spans="1:17" ht="24.75" thickBot="1" x14ac:dyDescent="0.4">
      <c r="A198" s="248" t="s">
        <v>101</v>
      </c>
      <c r="B198" s="874"/>
      <c r="C198" s="794" t="s">
        <v>254</v>
      </c>
      <c r="D198" s="507"/>
      <c r="E198" s="432"/>
      <c r="F198" s="331">
        <f t="shared" si="188"/>
        <v>0</v>
      </c>
      <c r="G198" s="278"/>
      <c r="H198" s="278"/>
      <c r="I198" s="350" t="str">
        <f>IFERROR(F198/#REF!,"-")</f>
        <v>-</v>
      </c>
      <c r="J198" s="331">
        <f t="shared" si="189"/>
        <v>0</v>
      </c>
      <c r="K198" s="278">
        <f t="shared" si="184"/>
        <v>0</v>
      </c>
      <c r="L198" s="432">
        <f t="shared" si="185"/>
        <v>0</v>
      </c>
      <c r="M198" s="335" t="str">
        <f t="shared" si="194"/>
        <v>-</v>
      </c>
      <c r="N198" s="263" t="str">
        <f t="shared" si="195"/>
        <v>-</v>
      </c>
      <c r="O198" s="504">
        <v>3.2963</v>
      </c>
      <c r="P198" s="400">
        <f t="shared" si="186"/>
        <v>0</v>
      </c>
      <c r="Q198" s="445">
        <f t="shared" si="187"/>
        <v>0</v>
      </c>
    </row>
    <row r="199" spans="1:17" ht="24" x14ac:dyDescent="0.35">
      <c r="A199" s="248"/>
      <c r="B199" s="802"/>
      <c r="C199" s="793" t="s">
        <v>497</v>
      </c>
      <c r="D199" s="507"/>
      <c r="E199" s="432"/>
      <c r="F199" s="331">
        <f t="shared" si="188"/>
        <v>0</v>
      </c>
      <c r="G199" s="278"/>
      <c r="H199" s="278"/>
      <c r="I199" s="350" t="str">
        <f>IFERROR(F199/#REF!,"-")</f>
        <v>-</v>
      </c>
      <c r="J199" s="331">
        <f t="shared" si="189"/>
        <v>19578</v>
      </c>
      <c r="K199" s="278">
        <f t="shared" si="184"/>
        <v>18400</v>
      </c>
      <c r="L199" s="432">
        <f t="shared" si="185"/>
        <v>1178</v>
      </c>
      <c r="M199" s="335" t="str">
        <f t="shared" si="194"/>
        <v>-</v>
      </c>
      <c r="N199" s="263">
        <f t="shared" si="195"/>
        <v>6.0169578097864954E-2</v>
      </c>
      <c r="O199" s="504">
        <v>3.2963</v>
      </c>
      <c r="P199" s="400">
        <f t="shared" si="186"/>
        <v>0</v>
      </c>
      <c r="Q199" s="445">
        <f t="shared" si="187"/>
        <v>60651.92</v>
      </c>
    </row>
    <row r="200" spans="1:17" ht="24" x14ac:dyDescent="0.35">
      <c r="A200" s="248"/>
      <c r="B200" s="802"/>
      <c r="C200" s="537" t="s">
        <v>498</v>
      </c>
      <c r="D200" s="507"/>
      <c r="E200" s="432"/>
      <c r="F200" s="331">
        <f t="shared" si="188"/>
        <v>0</v>
      </c>
      <c r="G200" s="278"/>
      <c r="H200" s="278"/>
      <c r="I200" s="350" t="str">
        <f>IFERROR(F200/#REF!,"-")</f>
        <v>-</v>
      </c>
      <c r="J200" s="331">
        <f t="shared" si="189"/>
        <v>19160</v>
      </c>
      <c r="K200" s="278">
        <f t="shared" si="184"/>
        <v>18400</v>
      </c>
      <c r="L200" s="432">
        <f t="shared" si="185"/>
        <v>760</v>
      </c>
      <c r="M200" s="335" t="str">
        <f t="shared" si="194"/>
        <v>-</v>
      </c>
      <c r="N200" s="263">
        <f t="shared" si="195"/>
        <v>3.9665970772442591E-2</v>
      </c>
      <c r="O200" s="504">
        <v>3.2963</v>
      </c>
      <c r="P200" s="400">
        <f t="shared" si="186"/>
        <v>0</v>
      </c>
      <c r="Q200" s="445">
        <f t="shared" si="187"/>
        <v>60651.92</v>
      </c>
    </row>
    <row r="201" spans="1:17" ht="24" x14ac:dyDescent="0.35">
      <c r="A201" s="248" t="s">
        <v>101</v>
      </c>
      <c r="B201" s="539"/>
      <c r="C201" s="537" t="s">
        <v>89</v>
      </c>
      <c r="D201" s="507"/>
      <c r="E201" s="432"/>
      <c r="F201" s="331">
        <f t="shared" si="188"/>
        <v>0</v>
      </c>
      <c r="G201" s="278"/>
      <c r="H201" s="278"/>
      <c r="I201" s="350" t="str">
        <f>IFERROR(F201/#REF!,"-")</f>
        <v>-</v>
      </c>
      <c r="J201" s="331">
        <f t="shared" si="189"/>
        <v>0</v>
      </c>
      <c r="K201" s="278">
        <f t="shared" si="184"/>
        <v>0</v>
      </c>
      <c r="L201" s="432">
        <f t="shared" si="185"/>
        <v>0</v>
      </c>
      <c r="M201" s="335" t="str">
        <f t="shared" si="194"/>
        <v>-</v>
      </c>
      <c r="N201" s="263" t="str">
        <f t="shared" si="195"/>
        <v>-</v>
      </c>
      <c r="O201" s="504">
        <v>2.3201000000000001</v>
      </c>
      <c r="P201" s="400">
        <f t="shared" si="186"/>
        <v>0</v>
      </c>
      <c r="Q201" s="445">
        <f t="shared" si="187"/>
        <v>0</v>
      </c>
    </row>
    <row r="202" spans="1:17" ht="24.75" thickBot="1" x14ac:dyDescent="0.3">
      <c r="A202" s="248" t="s">
        <v>101</v>
      </c>
      <c r="B202" s="791"/>
      <c r="C202" s="633"/>
      <c r="D202" s="746"/>
      <c r="E202" s="458"/>
      <c r="F202" s="456">
        <f t="shared" si="188"/>
        <v>0</v>
      </c>
      <c r="G202" s="457"/>
      <c r="H202" s="457"/>
      <c r="I202" s="527" t="str">
        <f>IFERROR(F202/#REF!,"-")</f>
        <v>-</v>
      </c>
      <c r="J202" s="456">
        <f t="shared" si="189"/>
        <v>0</v>
      </c>
      <c r="K202" s="457">
        <f t="shared" si="184"/>
        <v>0</v>
      </c>
      <c r="L202" s="458">
        <f t="shared" si="185"/>
        <v>0</v>
      </c>
      <c r="M202" s="644" t="str">
        <f t="shared" si="194"/>
        <v>-</v>
      </c>
      <c r="N202" s="264" t="str">
        <f t="shared" si="195"/>
        <v>-</v>
      </c>
      <c r="O202" s="534"/>
      <c r="P202" s="531">
        <f t="shared" si="186"/>
        <v>0</v>
      </c>
      <c r="Q202" s="532">
        <f t="shared" si="187"/>
        <v>0</v>
      </c>
    </row>
    <row r="203" spans="1:17" ht="23.25" customHeight="1" thickBot="1" x14ac:dyDescent="0.3">
      <c r="A203" s="274" t="s">
        <v>101</v>
      </c>
      <c r="B203" s="923" t="s">
        <v>25</v>
      </c>
      <c r="C203" s="924"/>
      <c r="D203" s="509">
        <f>SUM(D174:D202)</f>
        <v>0</v>
      </c>
      <c r="E203" s="521">
        <v>100000</v>
      </c>
      <c r="F203" s="515">
        <f>SUM(F169:F202)</f>
        <v>197403</v>
      </c>
      <c r="G203" s="515">
        <f>SUM(G169:G202)</f>
        <v>191982</v>
      </c>
      <c r="H203" s="515">
        <f>SUM(H169:H202)</f>
        <v>5421</v>
      </c>
      <c r="I203" s="516" t="str">
        <f>IFERROR(F203/#REF!,"-")</f>
        <v>-</v>
      </c>
      <c r="J203" s="509">
        <f>SUM(J169:J202)</f>
        <v>484348</v>
      </c>
      <c r="K203" s="509">
        <f t="shared" ref="K203:L203" si="196">SUM(K169:K202)</f>
        <v>474652</v>
      </c>
      <c r="L203" s="509">
        <f t="shared" si="196"/>
        <v>9696</v>
      </c>
      <c r="M203" s="517" t="str">
        <f t="shared" si="194"/>
        <v>-</v>
      </c>
      <c r="N203" s="516">
        <f t="shared" si="195"/>
        <v>2.0018664266188774E-2</v>
      </c>
      <c r="O203" s="518"/>
      <c r="P203" s="519">
        <f>SUM(P169:P202)</f>
        <v>1060789.6236</v>
      </c>
      <c r="Q203" s="519">
        <f>SUM(Q169:Q202)</f>
        <v>2654346.2935999995</v>
      </c>
    </row>
    <row r="204" spans="1:17" ht="23.25" customHeight="1" thickBot="1" x14ac:dyDescent="0.3">
      <c r="A204" s="317" t="s">
        <v>101</v>
      </c>
      <c r="B204" s="925" t="s">
        <v>248</v>
      </c>
      <c r="C204" s="926"/>
      <c r="D204" s="324">
        <f>+D173+D203</f>
        <v>0</v>
      </c>
      <c r="E204" s="325">
        <f>+E173+E203</f>
        <v>100000</v>
      </c>
      <c r="F204" s="324">
        <f>+F203</f>
        <v>197403</v>
      </c>
      <c r="G204" s="324">
        <f t="shared" ref="G204:H204" si="197">+G203</f>
        <v>191982</v>
      </c>
      <c r="H204" s="324">
        <f t="shared" si="197"/>
        <v>5421</v>
      </c>
      <c r="I204" s="347" t="str">
        <f>IFERROR(F204/#REF!,"-")</f>
        <v>-</v>
      </c>
      <c r="J204" s="324">
        <f>+J203</f>
        <v>484348</v>
      </c>
      <c r="K204" s="324">
        <f t="shared" ref="K204:L204" si="198">+K203</f>
        <v>474652</v>
      </c>
      <c r="L204" s="324">
        <f t="shared" si="198"/>
        <v>9696</v>
      </c>
      <c r="M204" s="339" t="str">
        <f t="shared" si="194"/>
        <v>-</v>
      </c>
      <c r="N204" s="347">
        <f t="shared" si="195"/>
        <v>2.0018664266188774E-2</v>
      </c>
      <c r="O204" s="390"/>
      <c r="P204" s="406">
        <f>+P203</f>
        <v>1060789.6236</v>
      </c>
      <c r="Q204" s="424">
        <f>Q203</f>
        <v>2654346.2935999995</v>
      </c>
    </row>
    <row r="205" spans="1:17" ht="26.25" thickBot="1" x14ac:dyDescent="0.3">
      <c r="A205" s="318"/>
      <c r="B205" s="944" t="s">
        <v>174</v>
      </c>
      <c r="C205" s="945"/>
      <c r="D205" s="372">
        <f>+D204+D168+D159</f>
        <v>0</v>
      </c>
      <c r="E205" s="372">
        <f>+E204+E168+E159</f>
        <v>230000</v>
      </c>
      <c r="F205" s="372">
        <f>+F204+F168+F159</f>
        <v>567474</v>
      </c>
      <c r="G205" s="372">
        <f>+G204+G168+G159</f>
        <v>547682</v>
      </c>
      <c r="H205" s="372">
        <f>+H204+H168+H159</f>
        <v>19792</v>
      </c>
      <c r="I205" s="373" t="str">
        <f>IFERROR(F205/#REF!,"-")</f>
        <v>-</v>
      </c>
      <c r="J205" s="372">
        <f>+J204+J168+J159</f>
        <v>1338602</v>
      </c>
      <c r="K205" s="372">
        <f>+K204+K168+K159</f>
        <v>1297152</v>
      </c>
      <c r="L205" s="372">
        <f>+L204+L168+L159</f>
        <v>41450</v>
      </c>
      <c r="M205" s="373" t="str">
        <f t="shared" si="194"/>
        <v>-</v>
      </c>
      <c r="N205" s="373">
        <f>IFERROR(L205/J205,"-")</f>
        <v>3.096514124437286E-2</v>
      </c>
      <c r="O205" s="397"/>
      <c r="P205" s="414">
        <f>+P204+P168+P159</f>
        <v>2327959.5616000001</v>
      </c>
      <c r="Q205" s="414">
        <f>+Q204+Q168+Q159</f>
        <v>5285903.2555999998</v>
      </c>
    </row>
    <row r="206" spans="1:17" ht="24.6" customHeight="1" thickBot="1" x14ac:dyDescent="0.3">
      <c r="A206" s="230"/>
      <c r="B206" s="230"/>
      <c r="C206" s="230"/>
      <c r="D206" s="232"/>
      <c r="E206" s="232"/>
      <c r="F206" s="232"/>
      <c r="G206" s="267"/>
      <c r="H206" s="267"/>
      <c r="I206" s="234"/>
      <c r="J206" s="232"/>
      <c r="K206" s="232"/>
      <c r="L206" s="232"/>
      <c r="M206" s="234"/>
      <c r="N206" s="234"/>
    </row>
    <row r="207" spans="1:17" ht="22.5" customHeight="1" x14ac:dyDescent="0.25">
      <c r="A207" s="935" t="s">
        <v>1</v>
      </c>
      <c r="B207" s="938" t="s">
        <v>2</v>
      </c>
      <c r="C207" s="941" t="s">
        <v>394</v>
      </c>
      <c r="D207" s="890" t="s">
        <v>4</v>
      </c>
      <c r="E207" s="891"/>
      <c r="F207" s="891"/>
      <c r="G207" s="891"/>
      <c r="H207" s="891"/>
      <c r="I207" s="891"/>
      <c r="J207" s="891"/>
      <c r="K207" s="891"/>
      <c r="L207" s="891"/>
      <c r="M207" s="891"/>
      <c r="N207" s="892"/>
      <c r="O207" s="909" t="s">
        <v>167</v>
      </c>
      <c r="P207" s="910"/>
      <c r="Q207" s="930"/>
    </row>
    <row r="208" spans="1:17" ht="22.5" customHeight="1" x14ac:dyDescent="0.25">
      <c r="A208" s="936"/>
      <c r="B208" s="939"/>
      <c r="C208" s="942"/>
      <c r="D208" s="893" t="s">
        <v>7</v>
      </c>
      <c r="E208" s="895" t="s">
        <v>108</v>
      </c>
      <c r="F208" s="931" t="s">
        <v>521</v>
      </c>
      <c r="G208" s="898"/>
      <c r="H208" s="898"/>
      <c r="I208" s="899"/>
      <c r="J208" s="900" t="s">
        <v>8</v>
      </c>
      <c r="K208" s="901"/>
      <c r="L208" s="902"/>
      <c r="M208" s="903" t="s">
        <v>165</v>
      </c>
      <c r="N208" s="905" t="s">
        <v>164</v>
      </c>
      <c r="O208" s="932" t="s">
        <v>169</v>
      </c>
      <c r="P208" s="933"/>
      <c r="Q208" s="934"/>
    </row>
    <row r="209" spans="1:17" ht="45.75" thickBot="1" x14ac:dyDescent="0.3">
      <c r="A209" s="937"/>
      <c r="B209" s="940"/>
      <c r="C209" s="943"/>
      <c r="D209" s="894"/>
      <c r="E209" s="896"/>
      <c r="F209" s="448" t="s">
        <v>13</v>
      </c>
      <c r="G209" s="449" t="s">
        <v>14</v>
      </c>
      <c r="H209" s="449" t="s">
        <v>15</v>
      </c>
      <c r="I209" s="450" t="s">
        <v>166</v>
      </c>
      <c r="J209" s="641" t="s">
        <v>13</v>
      </c>
      <c r="K209" s="639" t="s">
        <v>14</v>
      </c>
      <c r="L209" s="640" t="s">
        <v>15</v>
      </c>
      <c r="M209" s="904"/>
      <c r="N209" s="906"/>
      <c r="O209" s="440" t="s">
        <v>170</v>
      </c>
      <c r="P209" s="441" t="s">
        <v>11</v>
      </c>
      <c r="Q209" s="442" t="s">
        <v>12</v>
      </c>
    </row>
    <row r="210" spans="1:17" ht="24" x14ac:dyDescent="0.25">
      <c r="A210" s="268" t="s">
        <v>103</v>
      </c>
      <c r="B210" s="435"/>
      <c r="C210" s="269" t="s">
        <v>245</v>
      </c>
      <c r="D210" s="270"/>
      <c r="E210" s="271"/>
      <c r="F210" s="330">
        <f>+G210+H210</f>
        <v>66500</v>
      </c>
      <c r="G210" s="272">
        <v>54040</v>
      </c>
      <c r="H210" s="272">
        <v>12460</v>
      </c>
      <c r="I210" s="349" t="str">
        <f>IFERROR(F210/#REF!,"-")</f>
        <v>-</v>
      </c>
      <c r="J210" s="453">
        <f>+K210+L210</f>
        <v>241130</v>
      </c>
      <c r="K210" s="454">
        <f>+G210+K144</f>
        <v>206080</v>
      </c>
      <c r="L210" s="455">
        <f>+H210+L144</f>
        <v>35050</v>
      </c>
      <c r="M210" s="334" t="str">
        <f>IFERROR(J210/D210,"-")</f>
        <v>-</v>
      </c>
      <c r="N210" s="341">
        <f t="shared" ref="N210:N211" si="199">IFERROR(L210/J210,"-")</f>
        <v>0.14535727615808899</v>
      </c>
      <c r="O210" s="503">
        <v>1.5669</v>
      </c>
      <c r="P210" s="398">
        <f>+O210*G210</f>
        <v>84675.275999999998</v>
      </c>
      <c r="Q210" s="443">
        <f>+O210*K210</f>
        <v>322906.75199999998</v>
      </c>
    </row>
    <row r="211" spans="1:17" ht="24" x14ac:dyDescent="0.25">
      <c r="A211" s="274" t="s">
        <v>103</v>
      </c>
      <c r="B211" s="434"/>
      <c r="C211" s="275" t="s">
        <v>244</v>
      </c>
      <c r="D211" s="276"/>
      <c r="E211" s="277"/>
      <c r="F211" s="331">
        <f t="shared" ref="F211:F215" si="200">+G211+H211</f>
        <v>0</v>
      </c>
      <c r="G211" s="679"/>
      <c r="H211" s="679"/>
      <c r="I211" s="350" t="str">
        <f>IFERROR(F211/#REF!,"-")</f>
        <v>-</v>
      </c>
      <c r="J211" s="331">
        <f t="shared" ref="J211:J215" si="201">+K211+L211</f>
        <v>0</v>
      </c>
      <c r="K211" s="278">
        <f t="shared" ref="K211:L211" si="202">+G211+K145</f>
        <v>0</v>
      </c>
      <c r="L211" s="432">
        <f t="shared" si="202"/>
        <v>0</v>
      </c>
      <c r="M211" s="335" t="str">
        <f t="shared" ref="M211:M215" si="203">IFERROR(J211/D211,"-")</f>
        <v>-</v>
      </c>
      <c r="N211" s="265" t="str">
        <f t="shared" si="199"/>
        <v>-</v>
      </c>
      <c r="O211" s="504">
        <v>2.3978999999999999</v>
      </c>
      <c r="P211" s="400">
        <f>+O211*G211</f>
        <v>0</v>
      </c>
      <c r="Q211" s="445">
        <f>+O211*K211</f>
        <v>0</v>
      </c>
    </row>
    <row r="212" spans="1:17" ht="24" x14ac:dyDescent="0.25">
      <c r="A212" s="274" t="s">
        <v>103</v>
      </c>
      <c r="B212" s="434"/>
      <c r="C212" s="275" t="s">
        <v>393</v>
      </c>
      <c r="D212" s="276"/>
      <c r="E212" s="277"/>
      <c r="F212" s="331">
        <f t="shared" si="200"/>
        <v>115874</v>
      </c>
      <c r="G212" s="278">
        <v>115000</v>
      </c>
      <c r="H212" s="679">
        <v>874</v>
      </c>
      <c r="I212" s="350" t="str">
        <f>IFERROR(F212/#REF!,"-")</f>
        <v>-</v>
      </c>
      <c r="J212" s="331">
        <f t="shared" si="201"/>
        <v>290122</v>
      </c>
      <c r="K212" s="278">
        <f t="shared" ref="K212:L212" si="204">+G212+K146</f>
        <v>287500</v>
      </c>
      <c r="L212" s="432">
        <f t="shared" si="204"/>
        <v>2622</v>
      </c>
      <c r="M212" s="335" t="str">
        <f t="shared" si="203"/>
        <v>-</v>
      </c>
      <c r="N212" s="676">
        <f>IFERROR(L212/J212,"-")</f>
        <v>9.0375772950689708E-3</v>
      </c>
      <c r="O212" s="678">
        <v>3.6777000000000002</v>
      </c>
      <c r="P212" s="400">
        <f t="shared" ref="P212:P215" si="205">+O212*G212</f>
        <v>422935.5</v>
      </c>
      <c r="Q212" s="445">
        <f t="shared" ref="Q212:Q215" si="206">+O212*K212</f>
        <v>1057338.75</v>
      </c>
    </row>
    <row r="213" spans="1:17" ht="24" x14ac:dyDescent="0.25">
      <c r="A213" s="274"/>
      <c r="B213" s="447"/>
      <c r="C213" s="275" t="s">
        <v>317</v>
      </c>
      <c r="D213" s="280"/>
      <c r="E213" s="281"/>
      <c r="F213" s="331">
        <f t="shared" si="200"/>
        <v>44536</v>
      </c>
      <c r="G213" s="282">
        <v>44000</v>
      </c>
      <c r="H213" s="282">
        <v>536</v>
      </c>
      <c r="I213" s="350" t="str">
        <f>IFERROR(F213/#REF!,"-")</f>
        <v>-</v>
      </c>
      <c r="J213" s="331">
        <f t="shared" si="201"/>
        <v>89026</v>
      </c>
      <c r="K213" s="278">
        <f t="shared" ref="K213:L213" si="207">+G213+K147</f>
        <v>88000</v>
      </c>
      <c r="L213" s="432">
        <f t="shared" si="207"/>
        <v>1026</v>
      </c>
      <c r="M213" s="335" t="str">
        <f t="shared" si="203"/>
        <v>-</v>
      </c>
      <c r="N213" s="265">
        <f>IFERROR(L213/J213,"-")</f>
        <v>1.1524723114595736E-2</v>
      </c>
      <c r="O213" s="505">
        <v>12.284700000000001</v>
      </c>
      <c r="P213" s="400">
        <f t="shared" si="205"/>
        <v>540526.80000000005</v>
      </c>
      <c r="Q213" s="445">
        <f t="shared" si="206"/>
        <v>1081053.6000000001</v>
      </c>
    </row>
    <row r="214" spans="1:17" ht="24.75" thickBot="1" x14ac:dyDescent="0.3">
      <c r="A214" s="274" t="s">
        <v>103</v>
      </c>
      <c r="B214" s="447"/>
      <c r="C214" s="275" t="s">
        <v>517</v>
      </c>
      <c r="D214" s="280"/>
      <c r="E214" s="281"/>
      <c r="F214" s="332">
        <f t="shared" si="200"/>
        <v>0</v>
      </c>
      <c r="G214" s="282"/>
      <c r="H214" s="282"/>
      <c r="I214" s="351" t="str">
        <f>IFERROR(F214/#REF!,"-")</f>
        <v>-</v>
      </c>
      <c r="J214" s="456">
        <f t="shared" si="201"/>
        <v>29590</v>
      </c>
      <c r="K214" s="457">
        <f t="shared" ref="K214:L214" si="208">+G214+K148</f>
        <v>29250</v>
      </c>
      <c r="L214" s="458">
        <f t="shared" si="208"/>
        <v>340</v>
      </c>
      <c r="M214" s="336" t="str">
        <f t="shared" si="203"/>
        <v>-</v>
      </c>
      <c r="N214" s="342">
        <f t="shared" ref="N214:N227" si="209">IFERROR(L214/J214,"-")</f>
        <v>1.1490368367691788E-2</v>
      </c>
      <c r="O214" s="678">
        <v>4.6797000000000004</v>
      </c>
      <c r="P214" s="401">
        <f t="shared" si="205"/>
        <v>0</v>
      </c>
      <c r="Q214" s="446">
        <f t="shared" si="206"/>
        <v>136881.22500000001</v>
      </c>
    </row>
    <row r="215" spans="1:17" ht="24.75" thickBot="1" x14ac:dyDescent="0.3">
      <c r="A215" s="274" t="s">
        <v>103</v>
      </c>
      <c r="B215" s="447"/>
      <c r="C215" s="275" t="s">
        <v>507</v>
      </c>
      <c r="D215" s="280"/>
      <c r="E215" s="281"/>
      <c r="F215" s="332">
        <f t="shared" si="200"/>
        <v>0</v>
      </c>
      <c r="G215" s="282"/>
      <c r="H215" s="282"/>
      <c r="I215" s="351" t="str">
        <f>IFERROR(F215/#REF!,"-")</f>
        <v>-</v>
      </c>
      <c r="J215" s="456">
        <f t="shared" si="201"/>
        <v>30784</v>
      </c>
      <c r="K215" s="457">
        <f t="shared" ref="K215:L215" si="210">+G215+K149</f>
        <v>30000</v>
      </c>
      <c r="L215" s="458">
        <f t="shared" si="210"/>
        <v>784</v>
      </c>
      <c r="M215" s="336" t="str">
        <f t="shared" si="203"/>
        <v>-</v>
      </c>
      <c r="N215" s="342">
        <f t="shared" si="209"/>
        <v>2.5467775467775469E-2</v>
      </c>
      <c r="O215" s="678">
        <v>0</v>
      </c>
      <c r="P215" s="401">
        <f t="shared" si="205"/>
        <v>0</v>
      </c>
      <c r="Q215" s="446">
        <f t="shared" si="206"/>
        <v>0</v>
      </c>
    </row>
    <row r="216" spans="1:17" ht="23.25" customHeight="1" thickBot="1" x14ac:dyDescent="0.3">
      <c r="A216" s="274" t="s">
        <v>103</v>
      </c>
      <c r="B216" s="923" t="s">
        <v>21</v>
      </c>
      <c r="C216" s="878"/>
      <c r="D216" s="319">
        <f>SUM(D210:D215)</f>
        <v>0</v>
      </c>
      <c r="E216" s="284">
        <v>15000</v>
      </c>
      <c r="F216" s="319">
        <f>SUM(F210:F215)</f>
        <v>226910</v>
      </c>
      <c r="G216" s="320">
        <f>SUM(G210:G215)</f>
        <v>213040</v>
      </c>
      <c r="H216" s="320">
        <f>SUM(H210:H215)</f>
        <v>13870</v>
      </c>
      <c r="I216" s="343" t="str">
        <f>IFERROR(F216/#REF!,"-")</f>
        <v>-</v>
      </c>
      <c r="J216" s="319">
        <f>SUM(J210:J215)</f>
        <v>680652</v>
      </c>
      <c r="K216" s="320">
        <f>SUM(K210:K215)</f>
        <v>640830</v>
      </c>
      <c r="L216" s="321">
        <f>SUM(L210:L215)</f>
        <v>39822</v>
      </c>
      <c r="M216" s="337" t="str">
        <f>IFERROR(J216/D216,"-")</f>
        <v>-</v>
      </c>
      <c r="N216" s="343">
        <f t="shared" si="209"/>
        <v>5.8505668094709189E-2</v>
      </c>
      <c r="O216" s="387"/>
      <c r="P216" s="402">
        <f>SUM(P210:P215)</f>
        <v>1048137.5760000001</v>
      </c>
      <c r="Q216" s="421">
        <f>SUM(Q210:Q215)</f>
        <v>2598180.327</v>
      </c>
    </row>
    <row r="217" spans="1:17" ht="24" x14ac:dyDescent="0.25">
      <c r="A217" s="274" t="s">
        <v>103</v>
      </c>
      <c r="B217" s="435"/>
      <c r="C217" s="269" t="s">
        <v>243</v>
      </c>
      <c r="D217" s="270"/>
      <c r="E217" s="271"/>
      <c r="F217" s="330">
        <f t="shared" ref="F217:F223" si="211">+G217+H217</f>
        <v>4504</v>
      </c>
      <c r="G217" s="272">
        <v>4320</v>
      </c>
      <c r="H217" s="272">
        <v>184</v>
      </c>
      <c r="I217" s="349" t="str">
        <f>IFERROR(F217/#REF!,"-")</f>
        <v>-</v>
      </c>
      <c r="J217" s="453">
        <f t="shared" ref="J217:J223" si="212">+K217+L217</f>
        <v>17872</v>
      </c>
      <c r="K217" s="454">
        <f t="shared" ref="K217:K223" si="213">+G217+K151</f>
        <v>17280</v>
      </c>
      <c r="L217" s="455">
        <f t="shared" ref="L217:L223" si="214">+H217+L151</f>
        <v>592</v>
      </c>
      <c r="M217" s="334" t="str">
        <f t="shared" ref="M217:M225" si="215">IFERROR(J217/D217,"-")</f>
        <v>-</v>
      </c>
      <c r="N217" s="344">
        <f t="shared" si="209"/>
        <v>3.312444046553268E-2</v>
      </c>
      <c r="O217" s="503">
        <v>18.2316</v>
      </c>
      <c r="P217" s="398">
        <f t="shared" ref="P217:P223" si="216">+O217*G217</f>
        <v>78760.512000000002</v>
      </c>
      <c r="Q217" s="443">
        <f t="shared" ref="Q217:Q223" si="217">+O217*K217</f>
        <v>315042.04800000001</v>
      </c>
    </row>
    <row r="218" spans="1:17" ht="24" x14ac:dyDescent="0.25">
      <c r="A218" s="274" t="s">
        <v>103</v>
      </c>
      <c r="B218" s="434"/>
      <c r="C218" s="275" t="s">
        <v>89</v>
      </c>
      <c r="D218" s="276"/>
      <c r="E218" s="277"/>
      <c r="F218" s="331">
        <f t="shared" si="211"/>
        <v>0</v>
      </c>
      <c r="G218" s="278"/>
      <c r="H218" s="278"/>
      <c r="I218" s="350" t="str">
        <f>IFERROR(F218/#REF!,"-")</f>
        <v>-</v>
      </c>
      <c r="J218" s="331">
        <f t="shared" si="212"/>
        <v>0</v>
      </c>
      <c r="K218" s="278">
        <f t="shared" si="213"/>
        <v>0</v>
      </c>
      <c r="L218" s="432">
        <f t="shared" si="214"/>
        <v>0</v>
      </c>
      <c r="M218" s="335" t="str">
        <f t="shared" si="215"/>
        <v>-</v>
      </c>
      <c r="N218" s="263" t="str">
        <f t="shared" si="209"/>
        <v>-</v>
      </c>
      <c r="O218" s="504">
        <v>1.2824</v>
      </c>
      <c r="P218" s="400">
        <f t="shared" si="216"/>
        <v>0</v>
      </c>
      <c r="Q218" s="445">
        <f t="shared" si="217"/>
        <v>0</v>
      </c>
    </row>
    <row r="219" spans="1:17" ht="24" x14ac:dyDescent="0.25">
      <c r="A219" s="274" t="s">
        <v>103</v>
      </c>
      <c r="B219" s="434"/>
      <c r="C219" s="275" t="s">
        <v>299</v>
      </c>
      <c r="D219" s="276"/>
      <c r="E219" s="277"/>
      <c r="F219" s="331">
        <f t="shared" si="211"/>
        <v>0</v>
      </c>
      <c r="G219" s="278"/>
      <c r="H219" s="278"/>
      <c r="I219" s="350" t="str">
        <f>IFERROR(F219/#REF!,"-")</f>
        <v>-</v>
      </c>
      <c r="J219" s="331">
        <f t="shared" si="212"/>
        <v>0</v>
      </c>
      <c r="K219" s="278">
        <f t="shared" si="213"/>
        <v>0</v>
      </c>
      <c r="L219" s="432">
        <f t="shared" si="214"/>
        <v>0</v>
      </c>
      <c r="M219" s="335" t="str">
        <f t="shared" si="215"/>
        <v>-</v>
      </c>
      <c r="N219" s="263" t="str">
        <f t="shared" si="209"/>
        <v>-</v>
      </c>
      <c r="O219" s="670">
        <v>5.7342000000000004</v>
      </c>
      <c r="P219" s="400">
        <f t="shared" si="216"/>
        <v>0</v>
      </c>
      <c r="Q219" s="445">
        <f t="shared" si="217"/>
        <v>0</v>
      </c>
    </row>
    <row r="220" spans="1:17" ht="24" x14ac:dyDescent="0.25">
      <c r="A220" s="274" t="s">
        <v>103</v>
      </c>
      <c r="B220" s="434"/>
      <c r="C220" s="275" t="s">
        <v>313</v>
      </c>
      <c r="D220" s="276"/>
      <c r="E220" s="277"/>
      <c r="F220" s="331">
        <f t="shared" si="211"/>
        <v>0</v>
      </c>
      <c r="G220" s="278"/>
      <c r="H220" s="278"/>
      <c r="I220" s="350" t="str">
        <f>IFERROR(F220/#REF!,"-")</f>
        <v>-</v>
      </c>
      <c r="J220" s="331">
        <f t="shared" si="212"/>
        <v>0</v>
      </c>
      <c r="K220" s="278">
        <f t="shared" si="213"/>
        <v>0</v>
      </c>
      <c r="L220" s="432">
        <f t="shared" si="214"/>
        <v>0</v>
      </c>
      <c r="M220" s="335" t="str">
        <f t="shared" si="215"/>
        <v>-</v>
      </c>
      <c r="N220" s="263" t="str">
        <f t="shared" si="209"/>
        <v>-</v>
      </c>
      <c r="O220" s="504"/>
      <c r="P220" s="400">
        <f t="shared" si="216"/>
        <v>0</v>
      </c>
      <c r="Q220" s="445">
        <f t="shared" si="217"/>
        <v>0</v>
      </c>
    </row>
    <row r="221" spans="1:17" ht="24" x14ac:dyDescent="0.25">
      <c r="A221" s="274" t="s">
        <v>103</v>
      </c>
      <c r="B221" s="434"/>
      <c r="C221" s="275" t="s">
        <v>318</v>
      </c>
      <c r="D221" s="276"/>
      <c r="E221" s="277"/>
      <c r="F221" s="331">
        <f t="shared" si="211"/>
        <v>18064</v>
      </c>
      <c r="G221" s="278">
        <v>18000</v>
      </c>
      <c r="H221" s="278">
        <v>64</v>
      </c>
      <c r="I221" s="350" t="str">
        <f>IFERROR(F221/#REF!,"-")</f>
        <v>-</v>
      </c>
      <c r="J221" s="331">
        <f t="shared" si="212"/>
        <v>18064</v>
      </c>
      <c r="K221" s="278">
        <f t="shared" si="213"/>
        <v>18000</v>
      </c>
      <c r="L221" s="432">
        <f t="shared" si="214"/>
        <v>64</v>
      </c>
      <c r="M221" s="335" t="str">
        <f t="shared" si="215"/>
        <v>-</v>
      </c>
      <c r="N221" s="263">
        <f t="shared" si="209"/>
        <v>3.5429583702391498E-3</v>
      </c>
      <c r="O221" s="504">
        <v>12.029500000000001</v>
      </c>
      <c r="P221" s="400">
        <f t="shared" si="216"/>
        <v>216531</v>
      </c>
      <c r="Q221" s="445">
        <f t="shared" si="217"/>
        <v>216531</v>
      </c>
    </row>
    <row r="222" spans="1:17" ht="24" x14ac:dyDescent="0.25">
      <c r="A222" s="274" t="s">
        <v>103</v>
      </c>
      <c r="B222" s="434"/>
      <c r="C222" s="275"/>
      <c r="D222" s="276"/>
      <c r="E222" s="277"/>
      <c r="F222" s="331">
        <f t="shared" si="211"/>
        <v>0</v>
      </c>
      <c r="G222" s="278"/>
      <c r="H222" s="278"/>
      <c r="I222" s="350" t="str">
        <f>IFERROR(F222/#REF!,"-")</f>
        <v>-</v>
      </c>
      <c r="J222" s="331">
        <f t="shared" si="212"/>
        <v>0</v>
      </c>
      <c r="K222" s="278">
        <f t="shared" si="213"/>
        <v>0</v>
      </c>
      <c r="L222" s="432">
        <f t="shared" si="214"/>
        <v>0</v>
      </c>
      <c r="M222" s="335" t="str">
        <f t="shared" si="215"/>
        <v>-</v>
      </c>
      <c r="N222" s="263" t="str">
        <f t="shared" si="209"/>
        <v>-</v>
      </c>
      <c r="O222" s="504"/>
      <c r="P222" s="400">
        <f t="shared" si="216"/>
        <v>0</v>
      </c>
      <c r="Q222" s="445">
        <f t="shared" si="217"/>
        <v>0</v>
      </c>
    </row>
    <row r="223" spans="1:17" ht="24.75" thickBot="1" x14ac:dyDescent="0.3">
      <c r="A223" s="274" t="s">
        <v>103</v>
      </c>
      <c r="B223" s="447"/>
      <c r="C223" s="279"/>
      <c r="D223" s="280">
        <v>0</v>
      </c>
      <c r="E223" s="281"/>
      <c r="F223" s="332">
        <f t="shared" si="211"/>
        <v>0</v>
      </c>
      <c r="G223" s="282"/>
      <c r="H223" s="282"/>
      <c r="I223" s="351" t="str">
        <f>IFERROR(F223/#REF!,"-")</f>
        <v>-</v>
      </c>
      <c r="J223" s="456">
        <f t="shared" si="212"/>
        <v>0</v>
      </c>
      <c r="K223" s="457">
        <f t="shared" si="213"/>
        <v>0</v>
      </c>
      <c r="L223" s="458">
        <f t="shared" si="214"/>
        <v>0</v>
      </c>
      <c r="M223" s="336" t="str">
        <f t="shared" si="215"/>
        <v>-</v>
      </c>
      <c r="N223" s="345" t="str">
        <f t="shared" si="209"/>
        <v>-</v>
      </c>
      <c r="O223" s="505"/>
      <c r="P223" s="401">
        <f t="shared" si="216"/>
        <v>0</v>
      </c>
      <c r="Q223" s="446">
        <f t="shared" si="217"/>
        <v>0</v>
      </c>
    </row>
    <row r="224" spans="1:17" ht="23.25" customHeight="1" thickBot="1" x14ac:dyDescent="0.3">
      <c r="A224" s="274" t="s">
        <v>103</v>
      </c>
      <c r="B224" s="923" t="s">
        <v>25</v>
      </c>
      <c r="C224" s="878"/>
      <c r="D224" s="319">
        <f t="shared" ref="D224" si="218">SUM(D217:D223)</f>
        <v>0</v>
      </c>
      <c r="E224" s="284">
        <v>100000</v>
      </c>
      <c r="F224" s="319">
        <f>SUM(F217:F223)</f>
        <v>22568</v>
      </c>
      <c r="G224" s="320">
        <f t="shared" ref="G224:H224" si="219">SUM(G217:G223)</f>
        <v>22320</v>
      </c>
      <c r="H224" s="320">
        <f t="shared" si="219"/>
        <v>248</v>
      </c>
      <c r="I224" s="343" t="str">
        <f>IFERROR(F224/#REF!,"-")</f>
        <v>-</v>
      </c>
      <c r="J224" s="319">
        <f t="shared" ref="J224:L224" si="220">SUM(J217:J223)</f>
        <v>35936</v>
      </c>
      <c r="K224" s="320">
        <f t="shared" si="220"/>
        <v>35280</v>
      </c>
      <c r="L224" s="321">
        <f t="shared" si="220"/>
        <v>656</v>
      </c>
      <c r="M224" s="337" t="str">
        <f t="shared" si="215"/>
        <v>-</v>
      </c>
      <c r="N224" s="343">
        <f t="shared" si="209"/>
        <v>1.8254674977738201E-2</v>
      </c>
      <c r="O224" s="387"/>
      <c r="P224" s="402">
        <f t="shared" ref="P224:Q224" si="221">SUM(P217:P223)</f>
        <v>295291.51199999999</v>
      </c>
      <c r="Q224" s="421">
        <f t="shared" si="221"/>
        <v>531573.04799999995</v>
      </c>
    </row>
    <row r="225" spans="1:17" ht="23.25" customHeight="1" thickBot="1" x14ac:dyDescent="0.3">
      <c r="A225" s="274" t="s">
        <v>103</v>
      </c>
      <c r="B225" s="925" t="s">
        <v>172</v>
      </c>
      <c r="C225" s="926"/>
      <c r="D225" s="324">
        <f>+D216+D224</f>
        <v>0</v>
      </c>
      <c r="E225" s="325">
        <f t="shared" ref="E225:H225" si="222">+E216+E224</f>
        <v>115000</v>
      </c>
      <c r="F225" s="324">
        <f t="shared" si="222"/>
        <v>249478</v>
      </c>
      <c r="G225" s="322">
        <f t="shared" si="222"/>
        <v>235360</v>
      </c>
      <c r="H225" s="322">
        <f t="shared" si="222"/>
        <v>14118</v>
      </c>
      <c r="I225" s="347" t="str">
        <f>IFERROR(F225/#REF!,"-")</f>
        <v>-</v>
      </c>
      <c r="J225" s="324">
        <f t="shared" ref="J225:L225" si="223">+J216+J224</f>
        <v>716588</v>
      </c>
      <c r="K225" s="322">
        <f t="shared" si="223"/>
        <v>676110</v>
      </c>
      <c r="L225" s="323">
        <f t="shared" si="223"/>
        <v>40478</v>
      </c>
      <c r="M225" s="339" t="str">
        <f t="shared" si="215"/>
        <v>-</v>
      </c>
      <c r="N225" s="347">
        <f t="shared" si="209"/>
        <v>5.6487130680390962E-2</v>
      </c>
      <c r="O225" s="390"/>
      <c r="P225" s="406">
        <f t="shared" ref="P225:Q225" si="224">+P216+P224</f>
        <v>1343429.088</v>
      </c>
      <c r="Q225" s="424">
        <f t="shared" si="224"/>
        <v>3129753.375</v>
      </c>
    </row>
    <row r="226" spans="1:17" ht="24" x14ac:dyDescent="0.25">
      <c r="A226" s="244" t="s">
        <v>101</v>
      </c>
      <c r="B226" s="574"/>
      <c r="C226" s="575" t="s">
        <v>282</v>
      </c>
      <c r="D226" s="522"/>
      <c r="E226" s="455"/>
      <c r="F226" s="453">
        <f>+G226+H226</f>
        <v>0</v>
      </c>
      <c r="G226" s="454"/>
      <c r="H226" s="454"/>
      <c r="I226" s="526" t="str">
        <f>IFERROR(F226/#REF!,"-")</f>
        <v>-</v>
      </c>
      <c r="J226" s="453">
        <f>+K226+L226</f>
        <v>0</v>
      </c>
      <c r="K226" s="454">
        <f t="shared" ref="K226:K232" si="225">+G226+K160</f>
        <v>0</v>
      </c>
      <c r="L226" s="455">
        <f t="shared" ref="L226:L232" si="226">+H226+L160</f>
        <v>0</v>
      </c>
      <c r="M226" s="579" t="str">
        <f>IFERROR(J226/D226,"-")</f>
        <v>-</v>
      </c>
      <c r="N226" s="528" t="str">
        <f t="shared" si="209"/>
        <v>-</v>
      </c>
      <c r="O226" s="617">
        <v>4.8285999999999998</v>
      </c>
      <c r="P226" s="529">
        <f t="shared" ref="P226:P228" si="227">+O226*G226</f>
        <v>0</v>
      </c>
      <c r="Q226" s="530">
        <f t="shared" ref="Q226:Q232" si="228">+O226*K226</f>
        <v>0</v>
      </c>
    </row>
    <row r="227" spans="1:17" ht="24" x14ac:dyDescent="0.25">
      <c r="A227" s="248" t="s">
        <v>101</v>
      </c>
      <c r="B227" s="576"/>
      <c r="C227" s="275" t="s">
        <v>283</v>
      </c>
      <c r="D227" s="276"/>
      <c r="E227" s="432"/>
      <c r="F227" s="331">
        <f t="shared" ref="F227:F228" si="229">+G227+H227</f>
        <v>0</v>
      </c>
      <c r="G227" s="278"/>
      <c r="H227" s="278"/>
      <c r="I227" s="350" t="str">
        <f>IFERROR(F227/#REF!,"-")</f>
        <v>-</v>
      </c>
      <c r="J227" s="331">
        <f t="shared" ref="J227:J232" si="230">+K227+L227</f>
        <v>0</v>
      </c>
      <c r="K227" s="278">
        <f t="shared" si="225"/>
        <v>0</v>
      </c>
      <c r="L227" s="432">
        <f t="shared" si="226"/>
        <v>0</v>
      </c>
      <c r="M227" s="335" t="str">
        <f t="shared" ref="M227:M229" si="231">IFERROR(J227/D227,"-")</f>
        <v>-</v>
      </c>
      <c r="N227" s="265" t="str">
        <f t="shared" si="209"/>
        <v>-</v>
      </c>
      <c r="O227" s="618">
        <v>1.4086000000000001</v>
      </c>
      <c r="P227" s="400">
        <f t="shared" si="227"/>
        <v>0</v>
      </c>
      <c r="Q227" s="445">
        <f t="shared" si="228"/>
        <v>0</v>
      </c>
    </row>
    <row r="228" spans="1:17" ht="24" x14ac:dyDescent="0.25">
      <c r="A228" s="248" t="s">
        <v>101</v>
      </c>
      <c r="B228" s="576"/>
      <c r="C228" s="275" t="s">
        <v>314</v>
      </c>
      <c r="D228" s="276"/>
      <c r="E228" s="432"/>
      <c r="F228" s="331">
        <f t="shared" si="229"/>
        <v>0</v>
      </c>
      <c r="G228" s="278"/>
      <c r="H228" s="278"/>
      <c r="I228" s="350" t="str">
        <f>IFERROR(F228/#REF!,"-")</f>
        <v>-</v>
      </c>
      <c r="J228" s="331">
        <f t="shared" si="230"/>
        <v>0</v>
      </c>
      <c r="K228" s="278">
        <f t="shared" si="225"/>
        <v>0</v>
      </c>
      <c r="L228" s="432">
        <f t="shared" si="226"/>
        <v>0</v>
      </c>
      <c r="M228" s="335" t="str">
        <f t="shared" si="231"/>
        <v>-</v>
      </c>
      <c r="N228" s="265" t="str">
        <f>IFERROR(L228/J228,"-")</f>
        <v>-</v>
      </c>
      <c r="O228" s="618">
        <v>2.2141000000000002</v>
      </c>
      <c r="P228" s="400">
        <f t="shared" si="227"/>
        <v>0</v>
      </c>
      <c r="Q228" s="445">
        <f t="shared" si="228"/>
        <v>0</v>
      </c>
    </row>
    <row r="229" spans="1:17" ht="24" x14ac:dyDescent="0.25">
      <c r="A229" s="248" t="s">
        <v>101</v>
      </c>
      <c r="B229" s="577"/>
      <c r="C229" s="275" t="s">
        <v>442</v>
      </c>
      <c r="D229" s="280"/>
      <c r="E229" s="523"/>
      <c r="F229" s="332">
        <f>+G229+H229</f>
        <v>42825</v>
      </c>
      <c r="G229" s="282">
        <v>41750</v>
      </c>
      <c r="H229" s="282">
        <v>1075</v>
      </c>
      <c r="I229" s="351" t="str">
        <f>IFERROR(F229/#REF!,"-")</f>
        <v>-</v>
      </c>
      <c r="J229" s="331">
        <f t="shared" si="230"/>
        <v>429969</v>
      </c>
      <c r="K229" s="278">
        <f t="shared" si="225"/>
        <v>423500</v>
      </c>
      <c r="L229" s="432">
        <f t="shared" si="226"/>
        <v>6469</v>
      </c>
      <c r="M229" s="336" t="str">
        <f t="shared" si="231"/>
        <v>-</v>
      </c>
      <c r="N229" s="342">
        <f t="shared" ref="N229:N236" si="232">IFERROR(L229/J229,"-")</f>
        <v>1.5045270705562493E-2</v>
      </c>
      <c r="O229" s="618">
        <v>2.2141000000000002</v>
      </c>
      <c r="P229" s="401">
        <f>+O229*G229</f>
        <v>92438.675000000003</v>
      </c>
      <c r="Q229" s="446">
        <f t="shared" si="228"/>
        <v>937671.35000000009</v>
      </c>
    </row>
    <row r="230" spans="1:17" ht="24" x14ac:dyDescent="0.25">
      <c r="A230" s="248" t="s">
        <v>101</v>
      </c>
      <c r="B230" s="436"/>
      <c r="C230" s="616" t="s">
        <v>351</v>
      </c>
      <c r="D230" s="506"/>
      <c r="E230" s="524"/>
      <c r="F230" s="331">
        <f t="shared" ref="F230:F232" si="233">+G230+H230</f>
        <v>0</v>
      </c>
      <c r="G230" s="540"/>
      <c r="H230" s="540"/>
      <c r="I230" s="350" t="str">
        <f>IFERROR(F230/#REF!,"-")</f>
        <v>-</v>
      </c>
      <c r="J230" s="331">
        <f t="shared" si="230"/>
        <v>0</v>
      </c>
      <c r="K230" s="278">
        <f t="shared" si="225"/>
        <v>0</v>
      </c>
      <c r="L230" s="432">
        <f t="shared" si="226"/>
        <v>0</v>
      </c>
      <c r="M230" s="643"/>
      <c r="N230" s="265" t="str">
        <f t="shared" si="232"/>
        <v>-</v>
      </c>
      <c r="O230" s="535">
        <v>4.8285999999999998</v>
      </c>
      <c r="P230" s="400">
        <f t="shared" ref="P230:P232" si="234">+O230*G230</f>
        <v>0</v>
      </c>
      <c r="Q230" s="445">
        <f t="shared" si="228"/>
        <v>0</v>
      </c>
    </row>
    <row r="231" spans="1:17" ht="24" x14ac:dyDescent="0.25">
      <c r="A231" s="248" t="s">
        <v>101</v>
      </c>
      <c r="B231" s="578"/>
      <c r="C231" s="616" t="s">
        <v>347</v>
      </c>
      <c r="D231" s="270"/>
      <c r="E231" s="431"/>
      <c r="F231" s="330">
        <f t="shared" si="233"/>
        <v>0</v>
      </c>
      <c r="G231" s="272"/>
      <c r="H231" s="272"/>
      <c r="I231" s="349" t="str">
        <f>IFERROR(F231/#REF!,"-")</f>
        <v>-</v>
      </c>
      <c r="J231" s="331">
        <f t="shared" si="230"/>
        <v>0</v>
      </c>
      <c r="K231" s="278">
        <f t="shared" si="225"/>
        <v>0</v>
      </c>
      <c r="L231" s="432">
        <f t="shared" si="226"/>
        <v>0</v>
      </c>
      <c r="M231" s="334" t="str">
        <f t="shared" ref="M231:M232" si="235">IFERROR(J231/D231,"-")</f>
        <v>-</v>
      </c>
      <c r="N231" s="344" t="str">
        <f t="shared" si="232"/>
        <v>-</v>
      </c>
      <c r="O231" s="503">
        <v>4.1712999999999996</v>
      </c>
      <c r="P231" s="398">
        <f t="shared" si="234"/>
        <v>0</v>
      </c>
      <c r="Q231" s="443">
        <f t="shared" si="228"/>
        <v>0</v>
      </c>
    </row>
    <row r="232" spans="1:17" ht="24.75" thickBot="1" x14ac:dyDescent="0.3">
      <c r="A232" s="248" t="s">
        <v>101</v>
      </c>
      <c r="B232" s="576"/>
      <c r="C232" s="275"/>
      <c r="D232" s="276"/>
      <c r="E232" s="432"/>
      <c r="F232" s="331">
        <f t="shared" si="233"/>
        <v>0</v>
      </c>
      <c r="G232" s="278"/>
      <c r="H232" s="278"/>
      <c r="I232" s="350" t="str">
        <f>IFERROR(F232/#REF!,"-")</f>
        <v>-</v>
      </c>
      <c r="J232" s="456">
        <f t="shared" si="230"/>
        <v>0</v>
      </c>
      <c r="K232" s="457">
        <f t="shared" si="225"/>
        <v>0</v>
      </c>
      <c r="L232" s="458">
        <f t="shared" si="226"/>
        <v>0</v>
      </c>
      <c r="M232" s="335" t="str">
        <f t="shared" si="235"/>
        <v>-</v>
      </c>
      <c r="N232" s="263" t="str">
        <f t="shared" si="232"/>
        <v>-</v>
      </c>
      <c r="O232" s="444"/>
      <c r="P232" s="400">
        <f t="shared" si="234"/>
        <v>0</v>
      </c>
      <c r="Q232" s="445">
        <f t="shared" si="228"/>
        <v>0</v>
      </c>
    </row>
    <row r="233" spans="1:17" ht="23.25" customHeight="1" thickBot="1" x14ac:dyDescent="0.3">
      <c r="A233" s="274" t="s">
        <v>101</v>
      </c>
      <c r="B233" s="923" t="s">
        <v>21</v>
      </c>
      <c r="C233" s="878"/>
      <c r="D233" s="319">
        <v>0</v>
      </c>
      <c r="E233" s="284">
        <v>15000</v>
      </c>
      <c r="F233" s="319">
        <f>SUM(F226:F232)</f>
        <v>42825</v>
      </c>
      <c r="G233" s="320">
        <f t="shared" ref="G233:H233" si="236">SUM(G226:G232)</f>
        <v>41750</v>
      </c>
      <c r="H233" s="320">
        <f t="shared" si="236"/>
        <v>1075</v>
      </c>
      <c r="I233" s="343" t="str">
        <f>IFERROR(F233/#REF!,"-")</f>
        <v>-</v>
      </c>
      <c r="J233" s="509">
        <f t="shared" ref="J233" si="237">SUM(J226:J232)</f>
        <v>429969</v>
      </c>
      <c r="K233" s="515">
        <f>SUM(K226:K232)</f>
        <v>423500</v>
      </c>
      <c r="L233" s="515">
        <f>SUM(L226:L232)</f>
        <v>6469</v>
      </c>
      <c r="M233" s="337" t="str">
        <f>IFERROR(J233/D233,"-")</f>
        <v>-</v>
      </c>
      <c r="N233" s="343">
        <f t="shared" si="232"/>
        <v>1.5045270705562493E-2</v>
      </c>
      <c r="O233" s="387"/>
      <c r="P233" s="402">
        <f>SUM(P226:P232)</f>
        <v>92438.675000000003</v>
      </c>
      <c r="Q233" s="421">
        <f>SUM(Q226:Q232)</f>
        <v>937671.35000000009</v>
      </c>
    </row>
    <row r="234" spans="1:17" ht="23.25" customHeight="1" thickBot="1" x14ac:dyDescent="0.3">
      <c r="A234" s="274" t="s">
        <v>101</v>
      </c>
      <c r="B234" s="925" t="s">
        <v>247</v>
      </c>
      <c r="C234" s="926"/>
      <c r="D234" s="508">
        <f>+D230+D233</f>
        <v>0</v>
      </c>
      <c r="E234" s="520">
        <f>+E230+E233</f>
        <v>15000</v>
      </c>
      <c r="F234" s="508">
        <f>+F230+F233</f>
        <v>42825</v>
      </c>
      <c r="G234" s="510">
        <f>+G230+G233</f>
        <v>41750</v>
      </c>
      <c r="H234" s="510">
        <f>+H230+H233</f>
        <v>1075</v>
      </c>
      <c r="I234" s="511" t="str">
        <f>IFERROR(F234/#REF!,"-")</f>
        <v>-</v>
      </c>
      <c r="J234" s="508">
        <f>+J230+J233</f>
        <v>429969</v>
      </c>
      <c r="K234" s="510">
        <f>+K233</f>
        <v>423500</v>
      </c>
      <c r="L234" s="510">
        <f>+L233</f>
        <v>6469</v>
      </c>
      <c r="M234" s="512" t="str">
        <f t="shared" ref="M234" si="238">IFERROR(J234/D234,"-")</f>
        <v>-</v>
      </c>
      <c r="N234" s="511">
        <f t="shared" si="232"/>
        <v>1.5045270705562493E-2</v>
      </c>
      <c r="O234" s="513"/>
      <c r="P234" s="514">
        <f>+P233</f>
        <v>92438.675000000003</v>
      </c>
      <c r="Q234" s="514">
        <f>+Q233</f>
        <v>937671.35000000009</v>
      </c>
    </row>
    <row r="235" spans="1:17" ht="24" x14ac:dyDescent="0.35">
      <c r="A235" s="244" t="s">
        <v>101</v>
      </c>
      <c r="B235" s="927" t="s">
        <v>249</v>
      </c>
      <c r="C235" s="536" t="s">
        <v>71</v>
      </c>
      <c r="D235" s="522"/>
      <c r="E235" s="455"/>
      <c r="F235" s="453">
        <f>+G235+H235</f>
        <v>0</v>
      </c>
      <c r="G235" s="454"/>
      <c r="H235" s="454"/>
      <c r="I235" s="526" t="str">
        <f>IFERROR(F235/#REF!,"-")</f>
        <v>-</v>
      </c>
      <c r="J235" s="453">
        <f>+K235+L235</f>
        <v>9098</v>
      </c>
      <c r="K235" s="454">
        <f t="shared" ref="K235:K268" si="239">+G235+K169</f>
        <v>9000</v>
      </c>
      <c r="L235" s="455">
        <f t="shared" ref="L235:L268" si="240">+H235+L169</f>
        <v>98</v>
      </c>
      <c r="M235" s="579" t="str">
        <f>IFERROR(J235/D235,"-")</f>
        <v>-</v>
      </c>
      <c r="N235" s="528">
        <f t="shared" si="232"/>
        <v>1.0771598153440316E-2</v>
      </c>
      <c r="O235" s="533">
        <v>32.946300000000001</v>
      </c>
      <c r="P235" s="529">
        <f t="shared" ref="P235:P268" si="241">+O235*G235</f>
        <v>0</v>
      </c>
      <c r="Q235" s="530">
        <f t="shared" ref="Q235:Q268" si="242">+O235*K235</f>
        <v>296516.7</v>
      </c>
    </row>
    <row r="236" spans="1:17" ht="24" x14ac:dyDescent="0.35">
      <c r="A236" s="248" t="s">
        <v>101</v>
      </c>
      <c r="B236" s="928"/>
      <c r="C236" s="537" t="s">
        <v>72</v>
      </c>
      <c r="D236" s="507"/>
      <c r="E236" s="432"/>
      <c r="F236" s="331">
        <f t="shared" ref="F236:F268" si="243">+G236+H236</f>
        <v>0</v>
      </c>
      <c r="G236" s="278"/>
      <c r="H236" s="278"/>
      <c r="I236" s="350" t="str">
        <f>IFERROR(F236/#REF!,"-")</f>
        <v>-</v>
      </c>
      <c r="J236" s="331">
        <f t="shared" ref="J236:J268" si="244">+K236+L236</f>
        <v>0</v>
      </c>
      <c r="K236" s="278">
        <f t="shared" si="239"/>
        <v>0</v>
      </c>
      <c r="L236" s="432">
        <f t="shared" si="240"/>
        <v>0</v>
      </c>
      <c r="M236" s="335" t="str">
        <f t="shared" ref="M236:M238" si="245">IFERROR(J236/D236,"-")</f>
        <v>-</v>
      </c>
      <c r="N236" s="265" t="str">
        <f t="shared" si="232"/>
        <v>-</v>
      </c>
      <c r="O236" s="504">
        <v>35.398400000000002</v>
      </c>
      <c r="P236" s="400">
        <f t="shared" si="241"/>
        <v>0</v>
      </c>
      <c r="Q236" s="445">
        <f t="shared" si="242"/>
        <v>0</v>
      </c>
    </row>
    <row r="237" spans="1:17" ht="24.75" thickBot="1" x14ac:dyDescent="0.4">
      <c r="A237" s="248" t="s">
        <v>101</v>
      </c>
      <c r="B237" s="929"/>
      <c r="C237" s="537" t="s">
        <v>450</v>
      </c>
      <c r="D237" s="276"/>
      <c r="E237" s="432"/>
      <c r="F237" s="331">
        <f t="shared" si="243"/>
        <v>0</v>
      </c>
      <c r="G237" s="278"/>
      <c r="H237" s="278"/>
      <c r="I237" s="350" t="str">
        <f>IFERROR(F237/#REF!,"-")</f>
        <v>-</v>
      </c>
      <c r="J237" s="331">
        <f t="shared" si="244"/>
        <v>0</v>
      </c>
      <c r="K237" s="278">
        <f t="shared" si="239"/>
        <v>0</v>
      </c>
      <c r="L237" s="432">
        <f t="shared" si="240"/>
        <v>0</v>
      </c>
      <c r="M237" s="335" t="str">
        <f t="shared" si="245"/>
        <v>-</v>
      </c>
      <c r="N237" s="265" t="str">
        <f>IFERROR(L237/J237,"-")</f>
        <v>-</v>
      </c>
      <c r="O237" s="504">
        <v>35.398400000000002</v>
      </c>
      <c r="P237" s="400">
        <f t="shared" si="241"/>
        <v>0</v>
      </c>
      <c r="Q237" s="445">
        <f t="shared" si="242"/>
        <v>0</v>
      </c>
    </row>
    <row r="238" spans="1:17" ht="24" x14ac:dyDescent="0.35">
      <c r="A238" s="248" t="s">
        <v>101</v>
      </c>
      <c r="B238" s="927" t="s">
        <v>250</v>
      </c>
      <c r="C238" s="538" t="s">
        <v>75</v>
      </c>
      <c r="D238" s="276"/>
      <c r="E238" s="523"/>
      <c r="F238" s="332">
        <f t="shared" si="243"/>
        <v>0</v>
      </c>
      <c r="G238" s="278"/>
      <c r="H238" s="278"/>
      <c r="I238" s="350" t="str">
        <f>IFERROR(F238/#REF!,"-")</f>
        <v>-</v>
      </c>
      <c r="J238" s="331">
        <f t="shared" si="244"/>
        <v>681</v>
      </c>
      <c r="K238" s="278">
        <f t="shared" si="239"/>
        <v>592</v>
      </c>
      <c r="L238" s="432">
        <f t="shared" si="240"/>
        <v>89</v>
      </c>
      <c r="M238" s="335" t="str">
        <f t="shared" si="245"/>
        <v>-</v>
      </c>
      <c r="N238" s="265">
        <f t="shared" ref="N238" si="246">IFERROR(L238/J238,"-")</f>
        <v>0.13069016152716592</v>
      </c>
      <c r="O238" s="504">
        <v>55.4758</v>
      </c>
      <c r="P238" s="400">
        <f t="shared" si="241"/>
        <v>0</v>
      </c>
      <c r="Q238" s="445">
        <f t="shared" si="242"/>
        <v>32841.673600000002</v>
      </c>
    </row>
    <row r="239" spans="1:17" ht="24" x14ac:dyDescent="0.35">
      <c r="A239" s="248" t="s">
        <v>101</v>
      </c>
      <c r="B239" s="928"/>
      <c r="C239" s="538" t="s">
        <v>72</v>
      </c>
      <c r="D239" s="276"/>
      <c r="E239" s="524"/>
      <c r="F239" s="332">
        <f t="shared" si="243"/>
        <v>0</v>
      </c>
      <c r="G239" s="278"/>
      <c r="H239" s="278"/>
      <c r="I239" s="350" t="str">
        <f>IFERROR(F239/#REF!,"-")</f>
        <v>-</v>
      </c>
      <c r="J239" s="331">
        <f t="shared" si="244"/>
        <v>0</v>
      </c>
      <c r="K239" s="278">
        <f t="shared" si="239"/>
        <v>0</v>
      </c>
      <c r="L239" s="432">
        <f t="shared" si="240"/>
        <v>0</v>
      </c>
      <c r="M239" s="643"/>
      <c r="N239" s="370"/>
      <c r="O239" s="535">
        <v>58.836300000000001</v>
      </c>
      <c r="P239" s="400">
        <f t="shared" si="241"/>
        <v>0</v>
      </c>
      <c r="Q239" s="445">
        <f t="shared" si="242"/>
        <v>0</v>
      </c>
    </row>
    <row r="240" spans="1:17" ht="24" x14ac:dyDescent="0.35">
      <c r="A240" s="248" t="s">
        <v>101</v>
      </c>
      <c r="B240" s="928"/>
      <c r="C240" s="538" t="s">
        <v>345</v>
      </c>
      <c r="D240" s="276"/>
      <c r="E240" s="431"/>
      <c r="F240" s="332">
        <f t="shared" si="243"/>
        <v>0</v>
      </c>
      <c r="G240" s="278"/>
      <c r="H240" s="278"/>
      <c r="I240" s="350" t="str">
        <f>IFERROR(F240/#REF!,"-")</f>
        <v>-</v>
      </c>
      <c r="J240" s="331">
        <f t="shared" si="244"/>
        <v>0</v>
      </c>
      <c r="K240" s="278">
        <f t="shared" si="239"/>
        <v>0</v>
      </c>
      <c r="L240" s="432">
        <f t="shared" si="240"/>
        <v>0</v>
      </c>
      <c r="M240" s="335" t="str">
        <f t="shared" ref="M240" si="247">IFERROR(J240/D240,"-")</f>
        <v>-</v>
      </c>
      <c r="N240" s="263" t="str">
        <f t="shared" ref="N240" si="248">IFERROR(L240/J240,"-")</f>
        <v>-</v>
      </c>
      <c r="O240" s="670">
        <v>58.836300000000001</v>
      </c>
      <c r="P240" s="400">
        <f t="shared" si="241"/>
        <v>0</v>
      </c>
      <c r="Q240" s="445">
        <f t="shared" si="242"/>
        <v>0</v>
      </c>
    </row>
    <row r="241" spans="1:17" ht="24.75" thickBot="1" x14ac:dyDescent="0.4">
      <c r="A241" s="248"/>
      <c r="B241" s="929"/>
      <c r="C241" s="538" t="s">
        <v>359</v>
      </c>
      <c r="D241" s="276"/>
      <c r="E241" s="431"/>
      <c r="F241" s="332">
        <f t="shared" si="243"/>
        <v>0</v>
      </c>
      <c r="G241" s="278"/>
      <c r="H241" s="278"/>
      <c r="I241" s="350"/>
      <c r="J241" s="331">
        <f t="shared" si="244"/>
        <v>0</v>
      </c>
      <c r="K241" s="278">
        <f t="shared" si="239"/>
        <v>0</v>
      </c>
      <c r="L241" s="432">
        <f t="shared" si="240"/>
        <v>0</v>
      </c>
      <c r="M241" s="335"/>
      <c r="N241" s="263" t="str">
        <f>IFERROR(L241/J241,"-")</f>
        <v>-</v>
      </c>
      <c r="O241" s="504">
        <v>55.4758</v>
      </c>
      <c r="P241" s="400">
        <f t="shared" si="241"/>
        <v>0</v>
      </c>
      <c r="Q241" s="445">
        <f t="shared" si="242"/>
        <v>0</v>
      </c>
    </row>
    <row r="242" spans="1:17" ht="24" x14ac:dyDescent="0.35">
      <c r="A242" s="248" t="s">
        <v>101</v>
      </c>
      <c r="B242" s="927" t="s">
        <v>407</v>
      </c>
      <c r="C242" s="537" t="s">
        <v>77</v>
      </c>
      <c r="D242" s="276"/>
      <c r="E242" s="432"/>
      <c r="F242" s="331">
        <f t="shared" si="243"/>
        <v>0</v>
      </c>
      <c r="G242" s="278"/>
      <c r="H242" s="278"/>
      <c r="I242" s="350" t="str">
        <f>IFERROR(F242/#REF!,"-")</f>
        <v>-</v>
      </c>
      <c r="J242" s="331">
        <f t="shared" si="244"/>
        <v>0</v>
      </c>
      <c r="K242" s="647">
        <f t="shared" si="239"/>
        <v>0</v>
      </c>
      <c r="L242" s="648">
        <f t="shared" si="240"/>
        <v>0</v>
      </c>
      <c r="M242" s="335" t="str">
        <f t="shared" ref="M242:M271" si="249">IFERROR(J242/D242,"-")</f>
        <v>-</v>
      </c>
      <c r="N242" s="263" t="str">
        <f t="shared" ref="N242:N270" si="250">IFERROR(L242/J242,"-")</f>
        <v>-</v>
      </c>
      <c r="O242" s="504">
        <v>25.687200000000001</v>
      </c>
      <c r="P242" s="400">
        <f t="shared" si="241"/>
        <v>0</v>
      </c>
      <c r="Q242" s="445">
        <f t="shared" si="242"/>
        <v>0</v>
      </c>
    </row>
    <row r="243" spans="1:17" ht="24.75" thickBot="1" x14ac:dyDescent="0.4">
      <c r="A243" s="248" t="s">
        <v>101</v>
      </c>
      <c r="B243" s="929"/>
      <c r="C243" s="537" t="s">
        <v>117</v>
      </c>
      <c r="D243" s="276"/>
      <c r="E243" s="432"/>
      <c r="F243" s="331">
        <f t="shared" si="243"/>
        <v>0</v>
      </c>
      <c r="G243" s="278"/>
      <c r="H243" s="278"/>
      <c r="I243" s="350" t="str">
        <f>IFERROR(F243/#REF!,"-")</f>
        <v>-</v>
      </c>
      <c r="J243" s="331">
        <f t="shared" si="244"/>
        <v>0</v>
      </c>
      <c r="K243" s="278">
        <f t="shared" si="239"/>
        <v>0</v>
      </c>
      <c r="L243" s="432">
        <f t="shared" si="240"/>
        <v>0</v>
      </c>
      <c r="M243" s="335" t="str">
        <f t="shared" si="249"/>
        <v>-</v>
      </c>
      <c r="N243" s="263" t="str">
        <f t="shared" si="250"/>
        <v>-</v>
      </c>
      <c r="O243" s="504">
        <v>25.033899999999999</v>
      </c>
      <c r="P243" s="400">
        <f t="shared" si="241"/>
        <v>0</v>
      </c>
      <c r="Q243" s="445">
        <f t="shared" si="242"/>
        <v>0</v>
      </c>
    </row>
    <row r="244" spans="1:17" ht="24" x14ac:dyDescent="0.35">
      <c r="A244" s="248"/>
      <c r="B244" s="927" t="s">
        <v>408</v>
      </c>
      <c r="C244" s="537" t="s">
        <v>79</v>
      </c>
      <c r="D244" s="276"/>
      <c r="E244" s="432"/>
      <c r="F244" s="331">
        <f t="shared" si="243"/>
        <v>3000</v>
      </c>
      <c r="G244" s="278">
        <v>3000</v>
      </c>
      <c r="H244" s="278"/>
      <c r="I244" s="350" t="str">
        <f>IFERROR(F244/#REF!,"-")</f>
        <v>-</v>
      </c>
      <c r="J244" s="331">
        <f t="shared" si="244"/>
        <v>5047</v>
      </c>
      <c r="K244" s="278">
        <f t="shared" si="239"/>
        <v>5000</v>
      </c>
      <c r="L244" s="432">
        <f t="shared" si="240"/>
        <v>47</v>
      </c>
      <c r="M244" s="335" t="str">
        <f t="shared" si="249"/>
        <v>-</v>
      </c>
      <c r="N244" s="263">
        <f t="shared" si="250"/>
        <v>9.3124628492173567E-3</v>
      </c>
      <c r="O244" s="504">
        <v>41.992699999999999</v>
      </c>
      <c r="P244" s="400">
        <f t="shared" si="241"/>
        <v>125978.09999999999</v>
      </c>
      <c r="Q244" s="445">
        <f t="shared" si="242"/>
        <v>209963.5</v>
      </c>
    </row>
    <row r="245" spans="1:17" ht="24" x14ac:dyDescent="0.35">
      <c r="A245" s="248"/>
      <c r="B245" s="928"/>
      <c r="C245" s="537" t="s">
        <v>72</v>
      </c>
      <c r="D245" s="276"/>
      <c r="E245" s="432"/>
      <c r="F245" s="331">
        <f t="shared" si="243"/>
        <v>0</v>
      </c>
      <c r="G245" s="278"/>
      <c r="H245" s="278"/>
      <c r="I245" s="350" t="str">
        <f>IFERROR(F245/#REF!,"-")</f>
        <v>-</v>
      </c>
      <c r="J245" s="331">
        <f t="shared" si="244"/>
        <v>0</v>
      </c>
      <c r="K245" s="278">
        <f t="shared" si="239"/>
        <v>0</v>
      </c>
      <c r="L245" s="432">
        <f t="shared" si="240"/>
        <v>0</v>
      </c>
      <c r="M245" s="335" t="str">
        <f t="shared" si="249"/>
        <v>-</v>
      </c>
      <c r="N245" s="263" t="str">
        <f t="shared" si="250"/>
        <v>-</v>
      </c>
      <c r="O245" s="504">
        <v>42.283799999999999</v>
      </c>
      <c r="P245" s="400">
        <f t="shared" si="241"/>
        <v>0</v>
      </c>
      <c r="Q245" s="445">
        <f t="shared" si="242"/>
        <v>0</v>
      </c>
    </row>
    <row r="246" spans="1:17" ht="24" x14ac:dyDescent="0.35">
      <c r="A246" s="248"/>
      <c r="B246" s="928"/>
      <c r="C246" s="537" t="s">
        <v>378</v>
      </c>
      <c r="D246" s="276"/>
      <c r="E246" s="432"/>
      <c r="F246" s="331">
        <f t="shared" si="243"/>
        <v>1000</v>
      </c>
      <c r="G246" s="278">
        <v>1000</v>
      </c>
      <c r="H246" s="278"/>
      <c r="I246" s="350" t="str">
        <f>IFERROR(F246/#REF!,"-")</f>
        <v>-</v>
      </c>
      <c r="J246" s="331">
        <f t="shared" si="244"/>
        <v>1000</v>
      </c>
      <c r="K246" s="278">
        <f t="shared" si="239"/>
        <v>1000</v>
      </c>
      <c r="L246" s="432">
        <f t="shared" si="240"/>
        <v>0</v>
      </c>
      <c r="M246" s="335" t="str">
        <f t="shared" si="249"/>
        <v>-</v>
      </c>
      <c r="N246" s="263">
        <f t="shared" si="250"/>
        <v>0</v>
      </c>
      <c r="O246" s="670">
        <v>41.992699999999999</v>
      </c>
      <c r="P246" s="400">
        <f t="shared" si="241"/>
        <v>41992.7</v>
      </c>
      <c r="Q246" s="445">
        <f t="shared" si="242"/>
        <v>41992.7</v>
      </c>
    </row>
    <row r="247" spans="1:17" ht="24.75" thickBot="1" x14ac:dyDescent="0.4">
      <c r="A247" s="248"/>
      <c r="B247" s="929"/>
      <c r="C247" s="537" t="s">
        <v>379</v>
      </c>
      <c r="D247" s="276"/>
      <c r="E247" s="432"/>
      <c r="F247" s="331">
        <f t="shared" si="243"/>
        <v>0</v>
      </c>
      <c r="G247" s="278"/>
      <c r="H247" s="278"/>
      <c r="I247" s="350" t="str">
        <f>IFERROR(F247/#REF!,"-")</f>
        <v>-</v>
      </c>
      <c r="J247" s="331">
        <f t="shared" si="244"/>
        <v>0</v>
      </c>
      <c r="K247" s="278">
        <f t="shared" si="239"/>
        <v>0</v>
      </c>
      <c r="L247" s="432">
        <f t="shared" si="240"/>
        <v>0</v>
      </c>
      <c r="M247" s="335" t="str">
        <f t="shared" si="249"/>
        <v>-</v>
      </c>
      <c r="N247" s="263" t="str">
        <f t="shared" si="250"/>
        <v>-</v>
      </c>
      <c r="O247" s="670">
        <v>42.283799999999999</v>
      </c>
      <c r="P247" s="400">
        <f t="shared" si="241"/>
        <v>0</v>
      </c>
      <c r="Q247" s="445">
        <f t="shared" si="242"/>
        <v>0</v>
      </c>
    </row>
    <row r="248" spans="1:17" ht="24.75" thickBot="1" x14ac:dyDescent="0.4">
      <c r="A248" s="248"/>
      <c r="B248" s="677" t="s">
        <v>80</v>
      </c>
      <c r="C248" s="537" t="s">
        <v>81</v>
      </c>
      <c r="D248" s="276"/>
      <c r="E248" s="432"/>
      <c r="F248" s="331">
        <f t="shared" si="243"/>
        <v>0</v>
      </c>
      <c r="G248" s="278"/>
      <c r="H248" s="278"/>
      <c r="I248" s="350" t="str">
        <f>IFERROR(F248/#REF!,"-")</f>
        <v>-</v>
      </c>
      <c r="J248" s="331">
        <f t="shared" si="244"/>
        <v>0</v>
      </c>
      <c r="K248" s="278">
        <f t="shared" si="239"/>
        <v>0</v>
      </c>
      <c r="L248" s="432">
        <f t="shared" si="240"/>
        <v>0</v>
      </c>
      <c r="M248" s="335" t="str">
        <f t="shared" si="249"/>
        <v>-</v>
      </c>
      <c r="N248" s="263" t="str">
        <f t="shared" si="250"/>
        <v>-</v>
      </c>
      <c r="O248" s="504">
        <v>4.3535000000000004</v>
      </c>
      <c r="P248" s="400">
        <f t="shared" si="241"/>
        <v>0</v>
      </c>
      <c r="Q248" s="445">
        <f t="shared" si="242"/>
        <v>0</v>
      </c>
    </row>
    <row r="249" spans="1:17" ht="24" x14ac:dyDescent="0.35">
      <c r="A249" s="248"/>
      <c r="B249" s="927" t="s">
        <v>252</v>
      </c>
      <c r="C249" s="537" t="s">
        <v>77</v>
      </c>
      <c r="D249" s="276"/>
      <c r="E249" s="432"/>
      <c r="F249" s="331">
        <f t="shared" si="243"/>
        <v>52439</v>
      </c>
      <c r="G249" s="278">
        <v>51700</v>
      </c>
      <c r="H249" s="278">
        <v>739</v>
      </c>
      <c r="I249" s="350" t="str">
        <f>IFERROR(F249/#REF!,"-")</f>
        <v>-</v>
      </c>
      <c r="J249" s="331">
        <f t="shared" si="244"/>
        <v>218424</v>
      </c>
      <c r="K249" s="278">
        <f t="shared" si="239"/>
        <v>215600</v>
      </c>
      <c r="L249" s="432">
        <f t="shared" si="240"/>
        <v>2824</v>
      </c>
      <c r="M249" s="335" t="str">
        <f t="shared" si="249"/>
        <v>-</v>
      </c>
      <c r="N249" s="263">
        <f t="shared" si="250"/>
        <v>1.2928982163132256E-2</v>
      </c>
      <c r="O249" s="504">
        <v>4.6184000000000003</v>
      </c>
      <c r="P249" s="400">
        <f t="shared" si="241"/>
        <v>238771.28000000003</v>
      </c>
      <c r="Q249" s="445">
        <f t="shared" si="242"/>
        <v>995727.04</v>
      </c>
    </row>
    <row r="250" spans="1:17" ht="24" x14ac:dyDescent="0.35">
      <c r="A250" s="248"/>
      <c r="B250" s="928"/>
      <c r="C250" s="537" t="s">
        <v>338</v>
      </c>
      <c r="D250" s="276"/>
      <c r="E250" s="432"/>
      <c r="F250" s="331">
        <f t="shared" si="243"/>
        <v>0</v>
      </c>
      <c r="G250" s="278"/>
      <c r="H250" s="278"/>
      <c r="I250" s="350" t="str">
        <f>IFERROR(F250/#REF!,"-")</f>
        <v>-</v>
      </c>
      <c r="J250" s="331">
        <f t="shared" si="244"/>
        <v>0</v>
      </c>
      <c r="K250" s="278">
        <f t="shared" si="239"/>
        <v>0</v>
      </c>
      <c r="L250" s="432">
        <f t="shared" si="240"/>
        <v>0</v>
      </c>
      <c r="M250" s="335" t="str">
        <f t="shared" si="249"/>
        <v>-</v>
      </c>
      <c r="N250" s="263" t="str">
        <f t="shared" si="250"/>
        <v>-</v>
      </c>
      <c r="O250" s="504">
        <v>4.6184000000000003</v>
      </c>
      <c r="P250" s="400">
        <f t="shared" si="241"/>
        <v>0</v>
      </c>
      <c r="Q250" s="445">
        <f t="shared" si="242"/>
        <v>0</v>
      </c>
    </row>
    <row r="251" spans="1:17" ht="24" x14ac:dyDescent="0.35">
      <c r="A251" s="248"/>
      <c r="B251" s="928"/>
      <c r="C251" s="537" t="s">
        <v>251</v>
      </c>
      <c r="D251" s="276"/>
      <c r="E251" s="432"/>
      <c r="F251" s="331">
        <f t="shared" si="243"/>
        <v>0</v>
      </c>
      <c r="G251" s="278"/>
      <c r="H251" s="278"/>
      <c r="I251" s="350" t="str">
        <f>IFERROR(F251/#REF!,"-")</f>
        <v>-</v>
      </c>
      <c r="J251" s="331">
        <f t="shared" si="244"/>
        <v>0</v>
      </c>
      <c r="K251" s="278">
        <f t="shared" si="239"/>
        <v>0</v>
      </c>
      <c r="L251" s="432">
        <f t="shared" si="240"/>
        <v>0</v>
      </c>
      <c r="M251" s="335" t="str">
        <f t="shared" si="249"/>
        <v>-</v>
      </c>
      <c r="N251" s="263" t="str">
        <f t="shared" si="250"/>
        <v>-</v>
      </c>
      <c r="O251" s="504">
        <v>4.6184000000000003</v>
      </c>
      <c r="P251" s="400">
        <f t="shared" si="241"/>
        <v>0</v>
      </c>
      <c r="Q251" s="445">
        <f t="shared" si="242"/>
        <v>0</v>
      </c>
    </row>
    <row r="252" spans="1:17" ht="24" x14ac:dyDescent="0.35">
      <c r="A252" s="248"/>
      <c r="B252" s="928"/>
      <c r="C252" s="537" t="s">
        <v>348</v>
      </c>
      <c r="D252" s="276"/>
      <c r="E252" s="432"/>
      <c r="F252" s="331">
        <f t="shared" si="243"/>
        <v>0</v>
      </c>
      <c r="G252" s="278"/>
      <c r="H252" s="278"/>
      <c r="I252" s="350" t="str">
        <f>IFERROR(F252/#REF!,"-")</f>
        <v>-</v>
      </c>
      <c r="J252" s="331">
        <f t="shared" si="244"/>
        <v>0</v>
      </c>
      <c r="K252" s="647">
        <f t="shared" si="239"/>
        <v>0</v>
      </c>
      <c r="L252" s="648">
        <f t="shared" si="240"/>
        <v>0</v>
      </c>
      <c r="M252" s="335" t="str">
        <f t="shared" si="249"/>
        <v>-</v>
      </c>
      <c r="N252" s="263" t="str">
        <f t="shared" si="250"/>
        <v>-</v>
      </c>
      <c r="O252" s="504">
        <v>4.7636000000000003</v>
      </c>
      <c r="P252" s="400">
        <f t="shared" si="241"/>
        <v>0</v>
      </c>
      <c r="Q252" s="445">
        <f t="shared" si="242"/>
        <v>0</v>
      </c>
    </row>
    <row r="253" spans="1:17" ht="24.75" thickBot="1" x14ac:dyDescent="0.4">
      <c r="A253" s="248"/>
      <c r="B253" s="929"/>
      <c r="C253" s="537" t="s">
        <v>344</v>
      </c>
      <c r="D253" s="276"/>
      <c r="E253" s="432"/>
      <c r="F253" s="331">
        <f t="shared" si="243"/>
        <v>0</v>
      </c>
      <c r="G253" s="278"/>
      <c r="H253" s="278"/>
      <c r="I253" s="350" t="str">
        <f>IFERROR(F253/#REF!,"-")</f>
        <v>-</v>
      </c>
      <c r="J253" s="331">
        <f t="shared" si="244"/>
        <v>0</v>
      </c>
      <c r="K253" s="278">
        <f t="shared" si="239"/>
        <v>0</v>
      </c>
      <c r="L253" s="432">
        <f t="shared" si="240"/>
        <v>0</v>
      </c>
      <c r="M253" s="335" t="str">
        <f t="shared" si="249"/>
        <v>-</v>
      </c>
      <c r="N253" s="263" t="str">
        <f t="shared" si="250"/>
        <v>-</v>
      </c>
      <c r="O253" s="504">
        <v>4.8738000000000001</v>
      </c>
      <c r="P253" s="400">
        <f t="shared" si="241"/>
        <v>0</v>
      </c>
      <c r="Q253" s="445">
        <f t="shared" si="242"/>
        <v>0</v>
      </c>
    </row>
    <row r="254" spans="1:17" ht="24.75" thickBot="1" x14ac:dyDescent="0.4">
      <c r="A254" s="248"/>
      <c r="B254" s="677" t="s">
        <v>253</v>
      </c>
      <c r="C254" s="537" t="s">
        <v>124</v>
      </c>
      <c r="D254" s="276"/>
      <c r="E254" s="432"/>
      <c r="F254" s="331">
        <f t="shared" si="243"/>
        <v>0</v>
      </c>
      <c r="G254" s="278"/>
      <c r="H254" s="278"/>
      <c r="I254" s="350" t="str">
        <f>IFERROR(F254/#REF!,"-")</f>
        <v>-</v>
      </c>
      <c r="J254" s="331">
        <f t="shared" si="244"/>
        <v>0</v>
      </c>
      <c r="K254" s="278">
        <f t="shared" si="239"/>
        <v>0</v>
      </c>
      <c r="L254" s="432">
        <f t="shared" si="240"/>
        <v>0</v>
      </c>
      <c r="M254" s="335" t="str">
        <f t="shared" si="249"/>
        <v>-</v>
      </c>
      <c r="N254" s="263" t="str">
        <f t="shared" si="250"/>
        <v>-</v>
      </c>
      <c r="O254" s="504">
        <v>4.8738000000000001</v>
      </c>
      <c r="P254" s="400">
        <f t="shared" si="241"/>
        <v>0</v>
      </c>
      <c r="Q254" s="445">
        <f t="shared" si="242"/>
        <v>0</v>
      </c>
    </row>
    <row r="255" spans="1:17" ht="24" x14ac:dyDescent="0.35">
      <c r="A255" s="248"/>
      <c r="B255" s="927" t="s">
        <v>255</v>
      </c>
      <c r="C255" s="537" t="s">
        <v>77</v>
      </c>
      <c r="D255" s="276"/>
      <c r="E255" s="432"/>
      <c r="F255" s="331">
        <f t="shared" si="243"/>
        <v>54333</v>
      </c>
      <c r="G255" s="278">
        <v>53340</v>
      </c>
      <c r="H255" s="278">
        <v>993</v>
      </c>
      <c r="I255" s="350" t="str">
        <f>IFERROR(F255/#REF!,"-")</f>
        <v>-</v>
      </c>
      <c r="J255" s="331">
        <f t="shared" si="244"/>
        <v>200765</v>
      </c>
      <c r="K255" s="679">
        <f t="shared" si="239"/>
        <v>196700</v>
      </c>
      <c r="L255" s="807">
        <f t="shared" si="240"/>
        <v>4065</v>
      </c>
      <c r="M255" s="335" t="str">
        <f t="shared" si="249"/>
        <v>-</v>
      </c>
      <c r="N255" s="263">
        <f t="shared" si="250"/>
        <v>2.0247553109356709E-2</v>
      </c>
      <c r="O255" s="504">
        <v>4.9344999999999999</v>
      </c>
      <c r="P255" s="400">
        <f t="shared" si="241"/>
        <v>263206.23</v>
      </c>
      <c r="Q255" s="445">
        <f t="shared" si="242"/>
        <v>970616.15</v>
      </c>
    </row>
    <row r="256" spans="1:17" ht="24" x14ac:dyDescent="0.35">
      <c r="A256" s="248"/>
      <c r="B256" s="928"/>
      <c r="C256" s="537" t="s">
        <v>135</v>
      </c>
      <c r="D256" s="276"/>
      <c r="E256" s="432"/>
      <c r="F256" s="331">
        <f t="shared" si="243"/>
        <v>0</v>
      </c>
      <c r="G256" s="278"/>
      <c r="H256" s="278"/>
      <c r="I256" s="350" t="str">
        <f>IFERROR(F256/#REF!,"-")</f>
        <v>-</v>
      </c>
      <c r="J256" s="331">
        <f t="shared" si="244"/>
        <v>0</v>
      </c>
      <c r="K256" s="278">
        <f t="shared" si="239"/>
        <v>0</v>
      </c>
      <c r="L256" s="432">
        <f t="shared" si="240"/>
        <v>0</v>
      </c>
      <c r="M256" s="335" t="str">
        <f t="shared" si="249"/>
        <v>-</v>
      </c>
      <c r="N256" s="263" t="str">
        <f t="shared" si="250"/>
        <v>-</v>
      </c>
      <c r="O256" s="504">
        <v>4.9344999999999999</v>
      </c>
      <c r="P256" s="400">
        <f t="shared" si="241"/>
        <v>0</v>
      </c>
      <c r="Q256" s="445">
        <f t="shared" si="242"/>
        <v>0</v>
      </c>
    </row>
    <row r="257" spans="1:17" ht="24" x14ac:dyDescent="0.35">
      <c r="A257" s="248"/>
      <c r="B257" s="928"/>
      <c r="C257" s="537" t="s">
        <v>129</v>
      </c>
      <c r="D257" s="276"/>
      <c r="E257" s="432"/>
      <c r="F257" s="331">
        <f t="shared" si="243"/>
        <v>0</v>
      </c>
      <c r="G257" s="278"/>
      <c r="H257" s="278"/>
      <c r="I257" s="350" t="str">
        <f>IFERROR(F257/#REF!,"-")</f>
        <v>-</v>
      </c>
      <c r="J257" s="331">
        <f t="shared" si="244"/>
        <v>0</v>
      </c>
      <c r="K257" s="278">
        <f t="shared" si="239"/>
        <v>0</v>
      </c>
      <c r="L257" s="432">
        <f t="shared" si="240"/>
        <v>0</v>
      </c>
      <c r="M257" s="335" t="str">
        <f t="shared" si="249"/>
        <v>-</v>
      </c>
      <c r="N257" s="263" t="str">
        <f t="shared" si="250"/>
        <v>-</v>
      </c>
      <c r="O257" s="504">
        <v>4.9344999999999999</v>
      </c>
      <c r="P257" s="400">
        <f t="shared" si="241"/>
        <v>0</v>
      </c>
      <c r="Q257" s="445">
        <f t="shared" si="242"/>
        <v>0</v>
      </c>
    </row>
    <row r="258" spans="1:17" ht="24.75" thickBot="1" x14ac:dyDescent="0.4">
      <c r="A258" s="248"/>
      <c r="B258" s="929"/>
      <c r="C258" s="792" t="s">
        <v>254</v>
      </c>
      <c r="D258" s="276"/>
      <c r="E258" s="432"/>
      <c r="F258" s="331">
        <f t="shared" si="243"/>
        <v>0</v>
      </c>
      <c r="G258" s="278"/>
      <c r="H258" s="278"/>
      <c r="I258" s="350" t="str">
        <f>IFERROR(F258/#REF!,"-")</f>
        <v>-</v>
      </c>
      <c r="J258" s="331">
        <f t="shared" si="244"/>
        <v>0</v>
      </c>
      <c r="K258" s="278">
        <f t="shared" si="239"/>
        <v>0</v>
      </c>
      <c r="L258" s="432">
        <f t="shared" si="240"/>
        <v>0</v>
      </c>
      <c r="M258" s="335" t="str">
        <f t="shared" si="249"/>
        <v>-</v>
      </c>
      <c r="N258" s="263" t="str">
        <f t="shared" si="250"/>
        <v>-</v>
      </c>
      <c r="O258" s="504">
        <v>5.5069999999999997</v>
      </c>
      <c r="P258" s="400">
        <f t="shared" si="241"/>
        <v>0</v>
      </c>
      <c r="Q258" s="445">
        <f t="shared" si="242"/>
        <v>0</v>
      </c>
    </row>
    <row r="259" spans="1:17" ht="24" x14ac:dyDescent="0.35">
      <c r="A259" s="248"/>
      <c r="B259" s="872" t="s">
        <v>260</v>
      </c>
      <c r="C259" s="536" t="s">
        <v>256</v>
      </c>
      <c r="D259" s="507"/>
      <c r="E259" s="432"/>
      <c r="F259" s="331">
        <f t="shared" si="243"/>
        <v>43286</v>
      </c>
      <c r="G259" s="278">
        <v>42300</v>
      </c>
      <c r="H259" s="278">
        <v>986</v>
      </c>
      <c r="I259" s="350" t="str">
        <f>IFERROR(F259/#REF!,"-")</f>
        <v>-</v>
      </c>
      <c r="J259" s="331">
        <f t="shared" si="244"/>
        <v>164653</v>
      </c>
      <c r="K259" s="278">
        <f t="shared" si="239"/>
        <v>161300</v>
      </c>
      <c r="L259" s="432">
        <f t="shared" si="240"/>
        <v>3353</v>
      </c>
      <c r="M259" s="335" t="str">
        <f t="shared" si="249"/>
        <v>-</v>
      </c>
      <c r="N259" s="263">
        <f t="shared" si="250"/>
        <v>2.0364038310871954E-2</v>
      </c>
      <c r="O259" s="670">
        <v>5.5069999999999997</v>
      </c>
      <c r="P259" s="400">
        <f t="shared" si="241"/>
        <v>232946.09999999998</v>
      </c>
      <c r="Q259" s="445">
        <f t="shared" si="242"/>
        <v>888279.1</v>
      </c>
    </row>
    <row r="260" spans="1:17" ht="24" x14ac:dyDescent="0.35">
      <c r="A260" s="248"/>
      <c r="B260" s="873"/>
      <c r="C260" s="537" t="s">
        <v>257</v>
      </c>
      <c r="D260" s="507"/>
      <c r="E260" s="432"/>
      <c r="F260" s="331">
        <f t="shared" si="243"/>
        <v>0</v>
      </c>
      <c r="G260" s="278"/>
      <c r="H260" s="278"/>
      <c r="I260" s="350" t="str">
        <f>IFERROR(F260/#REF!,"-")</f>
        <v>-</v>
      </c>
      <c r="J260" s="331">
        <f t="shared" si="244"/>
        <v>0</v>
      </c>
      <c r="K260" s="278">
        <f t="shared" si="239"/>
        <v>0</v>
      </c>
      <c r="L260" s="432">
        <f t="shared" si="240"/>
        <v>0</v>
      </c>
      <c r="M260" s="335" t="str">
        <f t="shared" si="249"/>
        <v>-</v>
      </c>
      <c r="N260" s="263" t="str">
        <f t="shared" si="250"/>
        <v>-</v>
      </c>
      <c r="O260" s="504">
        <v>5.6550000000000002</v>
      </c>
      <c r="P260" s="400">
        <f t="shared" si="241"/>
        <v>0</v>
      </c>
      <c r="Q260" s="445">
        <f t="shared" si="242"/>
        <v>0</v>
      </c>
    </row>
    <row r="261" spans="1:17" ht="24" x14ac:dyDescent="0.35">
      <c r="A261" s="248"/>
      <c r="B261" s="873"/>
      <c r="C261" s="537" t="s">
        <v>319</v>
      </c>
      <c r="D261" s="507"/>
      <c r="E261" s="432"/>
      <c r="F261" s="331">
        <f t="shared" si="243"/>
        <v>0</v>
      </c>
      <c r="G261" s="278"/>
      <c r="H261" s="278"/>
      <c r="I261" s="350" t="str">
        <f>IFERROR(F261/#REF!,"-")</f>
        <v>-</v>
      </c>
      <c r="J261" s="331">
        <f t="shared" si="244"/>
        <v>0</v>
      </c>
      <c r="K261" s="647">
        <f t="shared" si="239"/>
        <v>0</v>
      </c>
      <c r="L261" s="648">
        <f t="shared" si="240"/>
        <v>0</v>
      </c>
      <c r="M261" s="335" t="str">
        <f t="shared" si="249"/>
        <v>-</v>
      </c>
      <c r="N261" s="263" t="str">
        <f t="shared" si="250"/>
        <v>-</v>
      </c>
      <c r="O261" s="504">
        <v>5.6550000000000002</v>
      </c>
      <c r="P261" s="400">
        <f t="shared" si="241"/>
        <v>0</v>
      </c>
      <c r="Q261" s="445">
        <f t="shared" si="242"/>
        <v>0</v>
      </c>
    </row>
    <row r="262" spans="1:17" ht="24" x14ac:dyDescent="0.35">
      <c r="A262" s="248"/>
      <c r="B262" s="873"/>
      <c r="C262" s="537" t="s">
        <v>258</v>
      </c>
      <c r="D262" s="507"/>
      <c r="E262" s="432"/>
      <c r="F262" s="331">
        <f t="shared" si="243"/>
        <v>0</v>
      </c>
      <c r="G262" s="278"/>
      <c r="H262" s="278"/>
      <c r="I262" s="350" t="str">
        <f>IFERROR(F262/#REF!,"-")</f>
        <v>-</v>
      </c>
      <c r="J262" s="331">
        <f t="shared" si="244"/>
        <v>0</v>
      </c>
      <c r="K262" s="278">
        <f t="shared" si="239"/>
        <v>0</v>
      </c>
      <c r="L262" s="432">
        <f t="shared" si="240"/>
        <v>0</v>
      </c>
      <c r="M262" s="335" t="str">
        <f t="shared" si="249"/>
        <v>-</v>
      </c>
      <c r="N262" s="263" t="str">
        <f t="shared" si="250"/>
        <v>-</v>
      </c>
      <c r="O262" s="504">
        <v>5.6550000000000002</v>
      </c>
      <c r="P262" s="400">
        <f t="shared" si="241"/>
        <v>0</v>
      </c>
      <c r="Q262" s="445">
        <f t="shared" si="242"/>
        <v>0</v>
      </c>
    </row>
    <row r="263" spans="1:17" ht="24" x14ac:dyDescent="0.35">
      <c r="A263" s="248" t="s">
        <v>101</v>
      </c>
      <c r="B263" s="873"/>
      <c r="C263" s="537" t="s">
        <v>259</v>
      </c>
      <c r="D263" s="507"/>
      <c r="E263" s="432"/>
      <c r="F263" s="331">
        <f t="shared" si="243"/>
        <v>0</v>
      </c>
      <c r="G263" s="278"/>
      <c r="H263" s="278"/>
      <c r="I263" s="350" t="str">
        <f>IFERROR(F263/#REF!,"-")</f>
        <v>-</v>
      </c>
      <c r="J263" s="331">
        <f t="shared" si="244"/>
        <v>0</v>
      </c>
      <c r="K263" s="278">
        <f t="shared" si="239"/>
        <v>0</v>
      </c>
      <c r="L263" s="432">
        <f t="shared" si="240"/>
        <v>0</v>
      </c>
      <c r="M263" s="335" t="str">
        <f t="shared" si="249"/>
        <v>-</v>
      </c>
      <c r="N263" s="263" t="str">
        <f t="shared" si="250"/>
        <v>-</v>
      </c>
      <c r="O263" s="504">
        <v>3.2963</v>
      </c>
      <c r="P263" s="400">
        <f t="shared" si="241"/>
        <v>0</v>
      </c>
      <c r="Q263" s="445">
        <f t="shared" si="242"/>
        <v>0</v>
      </c>
    </row>
    <row r="264" spans="1:17" ht="24.75" thickBot="1" x14ac:dyDescent="0.4">
      <c r="A264" s="248" t="s">
        <v>101</v>
      </c>
      <c r="B264" s="874"/>
      <c r="C264" s="794" t="s">
        <v>254</v>
      </c>
      <c r="D264" s="507"/>
      <c r="E264" s="432"/>
      <c r="F264" s="331">
        <f t="shared" si="243"/>
        <v>0</v>
      </c>
      <c r="G264" s="278"/>
      <c r="H264" s="278"/>
      <c r="I264" s="350" t="str">
        <f>IFERROR(F264/#REF!,"-")</f>
        <v>-</v>
      </c>
      <c r="J264" s="331">
        <f t="shared" si="244"/>
        <v>0</v>
      </c>
      <c r="K264" s="278">
        <f t="shared" si="239"/>
        <v>0</v>
      </c>
      <c r="L264" s="432">
        <f t="shared" si="240"/>
        <v>0</v>
      </c>
      <c r="M264" s="335" t="str">
        <f t="shared" si="249"/>
        <v>-</v>
      </c>
      <c r="N264" s="263" t="str">
        <f t="shared" si="250"/>
        <v>-</v>
      </c>
      <c r="O264" s="504">
        <v>3.2963</v>
      </c>
      <c r="P264" s="400">
        <f t="shared" si="241"/>
        <v>0</v>
      </c>
      <c r="Q264" s="445">
        <f t="shared" si="242"/>
        <v>0</v>
      </c>
    </row>
    <row r="265" spans="1:17" ht="24" x14ac:dyDescent="0.35">
      <c r="A265" s="248"/>
      <c r="B265" s="813"/>
      <c r="C265" s="793" t="s">
        <v>497</v>
      </c>
      <c r="D265" s="507"/>
      <c r="E265" s="432"/>
      <c r="F265" s="331">
        <f t="shared" si="243"/>
        <v>0</v>
      </c>
      <c r="G265" s="278"/>
      <c r="H265" s="278"/>
      <c r="I265" s="350" t="str">
        <f>IFERROR(F265/#REF!,"-")</f>
        <v>-</v>
      </c>
      <c r="J265" s="331">
        <f t="shared" si="244"/>
        <v>19578</v>
      </c>
      <c r="K265" s="278">
        <f t="shared" si="239"/>
        <v>18400</v>
      </c>
      <c r="L265" s="432">
        <f t="shared" si="240"/>
        <v>1178</v>
      </c>
      <c r="M265" s="335" t="str">
        <f t="shared" si="249"/>
        <v>-</v>
      </c>
      <c r="N265" s="263">
        <f t="shared" si="250"/>
        <v>6.0169578097864954E-2</v>
      </c>
      <c r="O265" s="504">
        <v>3.2963</v>
      </c>
      <c r="P265" s="400">
        <f t="shared" si="241"/>
        <v>0</v>
      </c>
      <c r="Q265" s="445">
        <f t="shared" si="242"/>
        <v>60651.92</v>
      </c>
    </row>
    <row r="266" spans="1:17" ht="24" x14ac:dyDescent="0.35">
      <c r="A266" s="248"/>
      <c r="B266" s="813"/>
      <c r="C266" s="537" t="s">
        <v>498</v>
      </c>
      <c r="D266" s="507"/>
      <c r="E266" s="432"/>
      <c r="F266" s="331">
        <f t="shared" si="243"/>
        <v>0</v>
      </c>
      <c r="G266" s="278"/>
      <c r="H266" s="278"/>
      <c r="I266" s="350" t="str">
        <f>IFERROR(F266/#REF!,"-")</f>
        <v>-</v>
      </c>
      <c r="J266" s="331">
        <f t="shared" si="244"/>
        <v>19160</v>
      </c>
      <c r="K266" s="278">
        <f t="shared" si="239"/>
        <v>18400</v>
      </c>
      <c r="L266" s="432">
        <f t="shared" si="240"/>
        <v>760</v>
      </c>
      <c r="M266" s="335" t="str">
        <f t="shared" si="249"/>
        <v>-</v>
      </c>
      <c r="N266" s="263">
        <f t="shared" si="250"/>
        <v>3.9665970772442591E-2</v>
      </c>
      <c r="O266" s="504">
        <v>3.2963</v>
      </c>
      <c r="P266" s="400">
        <f t="shared" si="241"/>
        <v>0</v>
      </c>
      <c r="Q266" s="445">
        <f t="shared" si="242"/>
        <v>60651.92</v>
      </c>
    </row>
    <row r="267" spans="1:17" ht="24" x14ac:dyDescent="0.35">
      <c r="A267" s="248" t="s">
        <v>101</v>
      </c>
      <c r="B267" s="539"/>
      <c r="C267" s="537" t="s">
        <v>89</v>
      </c>
      <c r="D267" s="507"/>
      <c r="E267" s="432"/>
      <c r="F267" s="331">
        <f t="shared" si="243"/>
        <v>0</v>
      </c>
      <c r="G267" s="278"/>
      <c r="H267" s="278"/>
      <c r="I267" s="350" t="str">
        <f>IFERROR(F267/#REF!,"-")</f>
        <v>-</v>
      </c>
      <c r="J267" s="331">
        <f t="shared" si="244"/>
        <v>0</v>
      </c>
      <c r="K267" s="278">
        <f t="shared" si="239"/>
        <v>0</v>
      </c>
      <c r="L267" s="432">
        <f t="shared" si="240"/>
        <v>0</v>
      </c>
      <c r="M267" s="335" t="str">
        <f t="shared" si="249"/>
        <v>-</v>
      </c>
      <c r="N267" s="263" t="str">
        <f t="shared" si="250"/>
        <v>-</v>
      </c>
      <c r="O267" s="504">
        <v>2.3201000000000001</v>
      </c>
      <c r="P267" s="400">
        <f t="shared" si="241"/>
        <v>0</v>
      </c>
      <c r="Q267" s="445">
        <f t="shared" si="242"/>
        <v>0</v>
      </c>
    </row>
    <row r="268" spans="1:17" ht="24.75" thickBot="1" x14ac:dyDescent="0.3">
      <c r="A268" s="248" t="s">
        <v>101</v>
      </c>
      <c r="B268" s="791"/>
      <c r="C268" s="633"/>
      <c r="D268" s="746"/>
      <c r="E268" s="458"/>
      <c r="F268" s="456">
        <f t="shared" si="243"/>
        <v>0</v>
      </c>
      <c r="G268" s="457"/>
      <c r="H268" s="457"/>
      <c r="I268" s="527" t="str">
        <f>IFERROR(F268/#REF!,"-")</f>
        <v>-</v>
      </c>
      <c r="J268" s="456">
        <f t="shared" si="244"/>
        <v>0</v>
      </c>
      <c r="K268" s="457">
        <f t="shared" si="239"/>
        <v>0</v>
      </c>
      <c r="L268" s="458">
        <f t="shared" si="240"/>
        <v>0</v>
      </c>
      <c r="M268" s="644" t="str">
        <f t="shared" si="249"/>
        <v>-</v>
      </c>
      <c r="N268" s="264" t="str">
        <f t="shared" si="250"/>
        <v>-</v>
      </c>
      <c r="O268" s="534"/>
      <c r="P268" s="531">
        <f t="shared" si="241"/>
        <v>0</v>
      </c>
      <c r="Q268" s="532">
        <f t="shared" si="242"/>
        <v>0</v>
      </c>
    </row>
    <row r="269" spans="1:17" ht="23.25" customHeight="1" thickBot="1" x14ac:dyDescent="0.3">
      <c r="A269" s="274" t="s">
        <v>101</v>
      </c>
      <c r="B269" s="923" t="s">
        <v>25</v>
      </c>
      <c r="C269" s="924"/>
      <c r="D269" s="509">
        <f>SUM(D240:D268)</f>
        <v>0</v>
      </c>
      <c r="E269" s="521">
        <v>100000</v>
      </c>
      <c r="F269" s="515">
        <f>SUM(F235:F268)</f>
        <v>154058</v>
      </c>
      <c r="G269" s="515">
        <f>SUM(G235:G268)</f>
        <v>151340</v>
      </c>
      <c r="H269" s="515">
        <f>SUM(H235:H268)</f>
        <v>2718</v>
      </c>
      <c r="I269" s="516" t="str">
        <f>IFERROR(F269/#REF!,"-")</f>
        <v>-</v>
      </c>
      <c r="J269" s="509">
        <f>SUM(J235:J268)</f>
        <v>638406</v>
      </c>
      <c r="K269" s="509">
        <f t="shared" ref="K269:L269" si="251">SUM(K235:K268)</f>
        <v>625992</v>
      </c>
      <c r="L269" s="509">
        <f t="shared" si="251"/>
        <v>12414</v>
      </c>
      <c r="M269" s="517" t="str">
        <f t="shared" si="249"/>
        <v>-</v>
      </c>
      <c r="N269" s="516">
        <f t="shared" si="250"/>
        <v>1.9445305965169499E-2</v>
      </c>
      <c r="O269" s="518"/>
      <c r="P269" s="519">
        <f>SUM(P235:P268)</f>
        <v>902894.41</v>
      </c>
      <c r="Q269" s="519">
        <f>SUM(Q235:Q268)</f>
        <v>3557240.7036000001</v>
      </c>
    </row>
    <row r="270" spans="1:17" ht="23.25" customHeight="1" thickBot="1" x14ac:dyDescent="0.3">
      <c r="A270" s="317" t="s">
        <v>101</v>
      </c>
      <c r="B270" s="925" t="s">
        <v>248</v>
      </c>
      <c r="C270" s="926"/>
      <c r="D270" s="324">
        <f>+D239+D269</f>
        <v>0</v>
      </c>
      <c r="E270" s="325">
        <f>+E239+E269</f>
        <v>100000</v>
      </c>
      <c r="F270" s="324">
        <f>+F269</f>
        <v>154058</v>
      </c>
      <c r="G270" s="324">
        <f t="shared" ref="G270:H270" si="252">+G269</f>
        <v>151340</v>
      </c>
      <c r="H270" s="324">
        <f t="shared" si="252"/>
        <v>2718</v>
      </c>
      <c r="I270" s="347" t="str">
        <f>IFERROR(F270/#REF!,"-")</f>
        <v>-</v>
      </c>
      <c r="J270" s="324">
        <f>+J269</f>
        <v>638406</v>
      </c>
      <c r="K270" s="324">
        <f t="shared" ref="K270:L270" si="253">+K269</f>
        <v>625992</v>
      </c>
      <c r="L270" s="324">
        <f t="shared" si="253"/>
        <v>12414</v>
      </c>
      <c r="M270" s="339" t="str">
        <f t="shared" si="249"/>
        <v>-</v>
      </c>
      <c r="N270" s="347">
        <f t="shared" si="250"/>
        <v>1.9445305965169499E-2</v>
      </c>
      <c r="O270" s="390"/>
      <c r="P270" s="406">
        <f>+P269</f>
        <v>902894.41</v>
      </c>
      <c r="Q270" s="424">
        <f>Q269</f>
        <v>3557240.7036000001</v>
      </c>
    </row>
    <row r="271" spans="1:17" ht="26.25" thickBot="1" x14ac:dyDescent="0.3">
      <c r="A271" s="318"/>
      <c r="B271" s="944" t="s">
        <v>174</v>
      </c>
      <c r="C271" s="945"/>
      <c r="D271" s="372">
        <f>+D270+D234+D225</f>
        <v>0</v>
      </c>
      <c r="E271" s="372">
        <f>+E270+E234+E225</f>
        <v>230000</v>
      </c>
      <c r="F271" s="372">
        <f>+F270+F234+F225</f>
        <v>446361</v>
      </c>
      <c r="G271" s="372">
        <f>+G270+G234+G225</f>
        <v>428450</v>
      </c>
      <c r="H271" s="372">
        <f>+H270+H234+H225</f>
        <v>17911</v>
      </c>
      <c r="I271" s="373" t="str">
        <f>IFERROR(F271/#REF!,"-")</f>
        <v>-</v>
      </c>
      <c r="J271" s="372">
        <f>+J270+J234+J225</f>
        <v>1784963</v>
      </c>
      <c r="K271" s="372">
        <f>+K270+K234+K225</f>
        <v>1725602</v>
      </c>
      <c r="L271" s="372">
        <f>+L270+L234+L225</f>
        <v>59361</v>
      </c>
      <c r="M271" s="373" t="str">
        <f t="shared" si="249"/>
        <v>-</v>
      </c>
      <c r="N271" s="373">
        <f>IFERROR(L271/J271,"-")</f>
        <v>3.325615152807089E-2</v>
      </c>
      <c r="O271" s="397"/>
      <c r="P271" s="414">
        <f>+P270+P234+P225</f>
        <v>2338762.173</v>
      </c>
      <c r="Q271" s="414">
        <f>+Q270+Q234+Q225</f>
        <v>7624665.4286000002</v>
      </c>
    </row>
    <row r="272" spans="1:17" ht="24.6" customHeight="1" thickBot="1" x14ac:dyDescent="0.3">
      <c r="A272" s="230"/>
      <c r="B272" s="230"/>
      <c r="C272" s="230"/>
      <c r="D272" s="232"/>
      <c r="E272" s="232"/>
      <c r="F272" s="232"/>
      <c r="G272" s="267"/>
      <c r="H272" s="267"/>
      <c r="I272" s="234"/>
      <c r="J272" s="232"/>
      <c r="K272" s="232"/>
      <c r="L272" s="232"/>
      <c r="M272" s="234"/>
      <c r="N272" s="234"/>
    </row>
    <row r="273" spans="1:17" ht="22.5" customHeight="1" x14ac:dyDescent="0.25">
      <c r="A273" s="935" t="s">
        <v>1</v>
      </c>
      <c r="B273" s="938" t="s">
        <v>2</v>
      </c>
      <c r="C273" s="941" t="s">
        <v>394</v>
      </c>
      <c r="D273" s="890" t="s">
        <v>4</v>
      </c>
      <c r="E273" s="891"/>
      <c r="F273" s="891"/>
      <c r="G273" s="891"/>
      <c r="H273" s="891"/>
      <c r="I273" s="891"/>
      <c r="J273" s="891"/>
      <c r="K273" s="891"/>
      <c r="L273" s="891"/>
      <c r="M273" s="891"/>
      <c r="N273" s="892"/>
      <c r="O273" s="909" t="s">
        <v>167</v>
      </c>
      <c r="P273" s="910"/>
      <c r="Q273" s="930"/>
    </row>
    <row r="274" spans="1:17" ht="22.5" customHeight="1" x14ac:dyDescent="0.25">
      <c r="A274" s="936"/>
      <c r="B274" s="939"/>
      <c r="C274" s="942"/>
      <c r="D274" s="893" t="s">
        <v>7</v>
      </c>
      <c r="E274" s="895" t="s">
        <v>108</v>
      </c>
      <c r="F274" s="931" t="s">
        <v>524</v>
      </c>
      <c r="G274" s="898"/>
      <c r="H274" s="898"/>
      <c r="I274" s="899"/>
      <c r="J274" s="900" t="s">
        <v>8</v>
      </c>
      <c r="K274" s="901"/>
      <c r="L274" s="902"/>
      <c r="M274" s="903" t="s">
        <v>165</v>
      </c>
      <c r="N274" s="905" t="s">
        <v>164</v>
      </c>
      <c r="O274" s="932" t="s">
        <v>169</v>
      </c>
      <c r="P274" s="933"/>
      <c r="Q274" s="934"/>
    </row>
    <row r="275" spans="1:17" ht="45.75" thickBot="1" x14ac:dyDescent="0.3">
      <c r="A275" s="937"/>
      <c r="B275" s="940"/>
      <c r="C275" s="943"/>
      <c r="D275" s="894"/>
      <c r="E275" s="896"/>
      <c r="F275" s="448" t="s">
        <v>13</v>
      </c>
      <c r="G275" s="449" t="s">
        <v>14</v>
      </c>
      <c r="H275" s="449" t="s">
        <v>15</v>
      </c>
      <c r="I275" s="450" t="s">
        <v>166</v>
      </c>
      <c r="J275" s="641" t="s">
        <v>13</v>
      </c>
      <c r="K275" s="639" t="s">
        <v>14</v>
      </c>
      <c r="L275" s="640" t="s">
        <v>15</v>
      </c>
      <c r="M275" s="904"/>
      <c r="N275" s="906"/>
      <c r="O275" s="440" t="s">
        <v>170</v>
      </c>
      <c r="P275" s="441" t="s">
        <v>11</v>
      </c>
      <c r="Q275" s="442" t="s">
        <v>12</v>
      </c>
    </row>
    <row r="276" spans="1:17" ht="24" x14ac:dyDescent="0.25">
      <c r="A276" s="268" t="s">
        <v>103</v>
      </c>
      <c r="B276" s="435"/>
      <c r="C276" s="269" t="s">
        <v>245</v>
      </c>
      <c r="D276" s="270"/>
      <c r="E276" s="271"/>
      <c r="F276" s="330">
        <f>+G276+H276</f>
        <v>129444</v>
      </c>
      <c r="G276" s="272">
        <v>115920</v>
      </c>
      <c r="H276" s="272">
        <v>13524</v>
      </c>
      <c r="I276" s="349" t="str">
        <f>IFERROR(F276/#REF!,"-")</f>
        <v>-</v>
      </c>
      <c r="J276" s="453">
        <f>+K276+L276</f>
        <v>370574</v>
      </c>
      <c r="K276" s="454">
        <f>+G276+K210</f>
        <v>322000</v>
      </c>
      <c r="L276" s="455">
        <f>+H276+L210</f>
        <v>48574</v>
      </c>
      <c r="M276" s="334" t="str">
        <f>IFERROR(J276/D276,"-")</f>
        <v>-</v>
      </c>
      <c r="N276" s="341">
        <f t="shared" ref="N276:N277" si="254">IFERROR(L276/J276,"-")</f>
        <v>0.13107773346214252</v>
      </c>
      <c r="O276" s="503">
        <v>1.5669</v>
      </c>
      <c r="P276" s="398">
        <f>+O276*G276</f>
        <v>181635.04800000001</v>
      </c>
      <c r="Q276" s="443">
        <f>+O276*K276</f>
        <v>504541.8</v>
      </c>
    </row>
    <row r="277" spans="1:17" ht="24" x14ac:dyDescent="0.25">
      <c r="A277" s="274" t="s">
        <v>103</v>
      </c>
      <c r="B277" s="434"/>
      <c r="C277" s="275" t="s">
        <v>244</v>
      </c>
      <c r="D277" s="276"/>
      <c r="E277" s="277"/>
      <c r="F277" s="331">
        <f t="shared" ref="F277:F281" si="255">+G277+H277</f>
        <v>0</v>
      </c>
      <c r="G277" s="679"/>
      <c r="H277" s="679"/>
      <c r="I277" s="350" t="str">
        <f>IFERROR(F277/#REF!,"-")</f>
        <v>-</v>
      </c>
      <c r="J277" s="331">
        <f t="shared" ref="J277:J281" si="256">+K277+L277</f>
        <v>0</v>
      </c>
      <c r="K277" s="278">
        <f t="shared" ref="K277:K281" si="257">+G277+K211</f>
        <v>0</v>
      </c>
      <c r="L277" s="432">
        <f t="shared" ref="L277:L281" si="258">+H277+L211</f>
        <v>0</v>
      </c>
      <c r="M277" s="335" t="str">
        <f t="shared" ref="M277:M281" si="259">IFERROR(J277/D277,"-")</f>
        <v>-</v>
      </c>
      <c r="N277" s="265" t="str">
        <f t="shared" si="254"/>
        <v>-</v>
      </c>
      <c r="O277" s="504">
        <v>2.3978999999999999</v>
      </c>
      <c r="P277" s="400">
        <f>+O277*G277</f>
        <v>0</v>
      </c>
      <c r="Q277" s="445">
        <f>+O277*K277</f>
        <v>0</v>
      </c>
    </row>
    <row r="278" spans="1:17" ht="24" x14ac:dyDescent="0.25">
      <c r="A278" s="274" t="s">
        <v>103</v>
      </c>
      <c r="B278" s="434"/>
      <c r="C278" s="275" t="s">
        <v>393</v>
      </c>
      <c r="D278" s="276"/>
      <c r="E278" s="277"/>
      <c r="F278" s="331">
        <f t="shared" si="255"/>
        <v>115868</v>
      </c>
      <c r="G278" s="278">
        <v>115000</v>
      </c>
      <c r="H278" s="679">
        <v>868</v>
      </c>
      <c r="I278" s="350" t="str">
        <f>IFERROR(F278/#REF!,"-")</f>
        <v>-</v>
      </c>
      <c r="J278" s="331">
        <f t="shared" si="256"/>
        <v>405990</v>
      </c>
      <c r="K278" s="278">
        <f t="shared" si="257"/>
        <v>402500</v>
      </c>
      <c r="L278" s="432">
        <f t="shared" si="258"/>
        <v>3490</v>
      </c>
      <c r="M278" s="335" t="str">
        <f t="shared" si="259"/>
        <v>-</v>
      </c>
      <c r="N278" s="676">
        <f>IFERROR(L278/J278,"-")</f>
        <v>8.5962708441094608E-3</v>
      </c>
      <c r="O278" s="678">
        <v>3.6777000000000002</v>
      </c>
      <c r="P278" s="400">
        <f t="shared" ref="P278:P281" si="260">+O278*G278</f>
        <v>422935.5</v>
      </c>
      <c r="Q278" s="445">
        <f t="shared" ref="Q278:Q281" si="261">+O278*K278</f>
        <v>1480274.25</v>
      </c>
    </row>
    <row r="279" spans="1:17" ht="24" x14ac:dyDescent="0.25">
      <c r="A279" s="274"/>
      <c r="B279" s="447"/>
      <c r="C279" s="275" t="s">
        <v>317</v>
      </c>
      <c r="D279" s="280"/>
      <c r="E279" s="281"/>
      <c r="F279" s="331">
        <f t="shared" si="255"/>
        <v>22251</v>
      </c>
      <c r="G279" s="282">
        <v>22000</v>
      </c>
      <c r="H279" s="282">
        <v>251</v>
      </c>
      <c r="I279" s="350" t="str">
        <f>IFERROR(F279/#REF!,"-")</f>
        <v>-</v>
      </c>
      <c r="J279" s="331">
        <f t="shared" si="256"/>
        <v>111277</v>
      </c>
      <c r="K279" s="278">
        <f t="shared" si="257"/>
        <v>110000</v>
      </c>
      <c r="L279" s="432">
        <f t="shared" si="258"/>
        <v>1277</v>
      </c>
      <c r="M279" s="335" t="str">
        <f t="shared" si="259"/>
        <v>-</v>
      </c>
      <c r="N279" s="265">
        <f>IFERROR(L279/J279,"-")</f>
        <v>1.1475866531268815E-2</v>
      </c>
      <c r="O279" s="505">
        <v>12.284700000000001</v>
      </c>
      <c r="P279" s="400">
        <f t="shared" si="260"/>
        <v>270263.40000000002</v>
      </c>
      <c r="Q279" s="445">
        <f t="shared" si="261"/>
        <v>1351317</v>
      </c>
    </row>
    <row r="280" spans="1:17" ht="24.75" thickBot="1" x14ac:dyDescent="0.3">
      <c r="A280" s="274" t="s">
        <v>103</v>
      </c>
      <c r="B280" s="447"/>
      <c r="C280" s="275" t="s">
        <v>517</v>
      </c>
      <c r="D280" s="280"/>
      <c r="E280" s="281"/>
      <c r="F280" s="332">
        <f t="shared" si="255"/>
        <v>0</v>
      </c>
      <c r="G280" s="282"/>
      <c r="H280" s="282"/>
      <c r="I280" s="351" t="str">
        <f>IFERROR(F280/#REF!,"-")</f>
        <v>-</v>
      </c>
      <c r="J280" s="456">
        <f t="shared" si="256"/>
        <v>29590</v>
      </c>
      <c r="K280" s="457">
        <f t="shared" si="257"/>
        <v>29250</v>
      </c>
      <c r="L280" s="458">
        <f t="shared" si="258"/>
        <v>340</v>
      </c>
      <c r="M280" s="336" t="str">
        <f t="shared" si="259"/>
        <v>-</v>
      </c>
      <c r="N280" s="342">
        <f t="shared" ref="N280:N293" si="262">IFERROR(L280/J280,"-")</f>
        <v>1.1490368367691788E-2</v>
      </c>
      <c r="O280" s="678">
        <v>4.6797000000000004</v>
      </c>
      <c r="P280" s="401">
        <f t="shared" si="260"/>
        <v>0</v>
      </c>
      <c r="Q280" s="446">
        <f t="shared" si="261"/>
        <v>136881.22500000001</v>
      </c>
    </row>
    <row r="281" spans="1:17" ht="24.75" thickBot="1" x14ac:dyDescent="0.3">
      <c r="A281" s="274" t="s">
        <v>103</v>
      </c>
      <c r="B281" s="447"/>
      <c r="C281" s="275" t="s">
        <v>507</v>
      </c>
      <c r="D281" s="280"/>
      <c r="E281" s="281"/>
      <c r="F281" s="332">
        <f t="shared" si="255"/>
        <v>30874</v>
      </c>
      <c r="G281" s="282">
        <v>30000</v>
      </c>
      <c r="H281" s="282">
        <v>874</v>
      </c>
      <c r="I281" s="351" t="str">
        <f>IFERROR(F281/#REF!,"-")</f>
        <v>-</v>
      </c>
      <c r="J281" s="456">
        <f t="shared" si="256"/>
        <v>61658</v>
      </c>
      <c r="K281" s="457">
        <f t="shared" si="257"/>
        <v>60000</v>
      </c>
      <c r="L281" s="458">
        <f t="shared" si="258"/>
        <v>1658</v>
      </c>
      <c r="M281" s="336" t="str">
        <f t="shared" si="259"/>
        <v>-</v>
      </c>
      <c r="N281" s="342">
        <f t="shared" si="262"/>
        <v>2.6890265658957475E-2</v>
      </c>
      <c r="O281" s="678">
        <v>0</v>
      </c>
      <c r="P281" s="401">
        <f t="shared" si="260"/>
        <v>0</v>
      </c>
      <c r="Q281" s="446">
        <f t="shared" si="261"/>
        <v>0</v>
      </c>
    </row>
    <row r="282" spans="1:17" ht="23.25" customHeight="1" thickBot="1" x14ac:dyDescent="0.3">
      <c r="A282" s="274" t="s">
        <v>103</v>
      </c>
      <c r="B282" s="923" t="s">
        <v>21</v>
      </c>
      <c r="C282" s="878"/>
      <c r="D282" s="319">
        <f>SUM(D276:D281)</f>
        <v>0</v>
      </c>
      <c r="E282" s="284">
        <v>15000</v>
      </c>
      <c r="F282" s="319">
        <f>SUM(F276:F281)</f>
        <v>298437</v>
      </c>
      <c r="G282" s="320">
        <f>SUM(G276:G281)</f>
        <v>282920</v>
      </c>
      <c r="H282" s="320">
        <f>SUM(H276:H281)</f>
        <v>15517</v>
      </c>
      <c r="I282" s="343" t="str">
        <f>IFERROR(F282/#REF!,"-")</f>
        <v>-</v>
      </c>
      <c r="J282" s="319">
        <f>SUM(J276:J281)</f>
        <v>979089</v>
      </c>
      <c r="K282" s="320">
        <f>SUM(K276:K281)</f>
        <v>923750</v>
      </c>
      <c r="L282" s="321">
        <f>SUM(L276:L281)</f>
        <v>55339</v>
      </c>
      <c r="M282" s="337" t="str">
        <f>IFERROR(J282/D282,"-")</f>
        <v>-</v>
      </c>
      <c r="N282" s="343">
        <f t="shared" si="262"/>
        <v>5.6520908722291846E-2</v>
      </c>
      <c r="O282" s="387"/>
      <c r="P282" s="402">
        <f>SUM(P276:P281)</f>
        <v>874833.94799999997</v>
      </c>
      <c r="Q282" s="421">
        <f>SUM(Q276:Q281)</f>
        <v>3473014.2749999999</v>
      </c>
    </row>
    <row r="283" spans="1:17" ht="24" x14ac:dyDescent="0.25">
      <c r="A283" s="274" t="s">
        <v>103</v>
      </c>
      <c r="B283" s="435"/>
      <c r="C283" s="269" t="s">
        <v>243</v>
      </c>
      <c r="D283" s="270"/>
      <c r="E283" s="271"/>
      <c r="F283" s="330">
        <f t="shared" ref="F283:F289" si="263">+G283+H283</f>
        <v>8911</v>
      </c>
      <c r="G283" s="272">
        <v>8640</v>
      </c>
      <c r="H283" s="272">
        <v>271</v>
      </c>
      <c r="I283" s="349" t="str">
        <f>IFERROR(F283/#REF!,"-")</f>
        <v>-</v>
      </c>
      <c r="J283" s="453">
        <f t="shared" ref="J283:J289" si="264">+K283+L283</f>
        <v>26783</v>
      </c>
      <c r="K283" s="454">
        <f t="shared" ref="K283:K289" si="265">+G283+K217</f>
        <v>25920</v>
      </c>
      <c r="L283" s="455">
        <f t="shared" ref="L283:L289" si="266">+H283+L217</f>
        <v>863</v>
      </c>
      <c r="M283" s="334" t="str">
        <f t="shared" ref="M283:M291" si="267">IFERROR(J283/D283,"-")</f>
        <v>-</v>
      </c>
      <c r="N283" s="344">
        <f t="shared" si="262"/>
        <v>3.2221931822424672E-2</v>
      </c>
      <c r="O283" s="503">
        <v>18.2316</v>
      </c>
      <c r="P283" s="398">
        <f t="shared" ref="P283:P289" si="268">+O283*G283</f>
        <v>157521.024</v>
      </c>
      <c r="Q283" s="443">
        <f t="shared" ref="Q283:Q289" si="269">+O283*K283</f>
        <v>472563.07199999999</v>
      </c>
    </row>
    <row r="284" spans="1:17" ht="24" x14ac:dyDescent="0.25">
      <c r="A284" s="274" t="s">
        <v>103</v>
      </c>
      <c r="B284" s="434"/>
      <c r="C284" s="275" t="s">
        <v>89</v>
      </c>
      <c r="D284" s="276"/>
      <c r="E284" s="277"/>
      <c r="F284" s="331">
        <f t="shared" si="263"/>
        <v>0</v>
      </c>
      <c r="G284" s="278"/>
      <c r="H284" s="278"/>
      <c r="I284" s="350" t="str">
        <f>IFERROR(F284/#REF!,"-")</f>
        <v>-</v>
      </c>
      <c r="J284" s="331">
        <f t="shared" si="264"/>
        <v>0</v>
      </c>
      <c r="K284" s="278">
        <f t="shared" si="265"/>
        <v>0</v>
      </c>
      <c r="L284" s="432">
        <f t="shared" si="266"/>
        <v>0</v>
      </c>
      <c r="M284" s="335" t="str">
        <f t="shared" si="267"/>
        <v>-</v>
      </c>
      <c r="N284" s="263" t="str">
        <f t="shared" si="262"/>
        <v>-</v>
      </c>
      <c r="O284" s="504">
        <v>1.2824</v>
      </c>
      <c r="P284" s="400">
        <f t="shared" si="268"/>
        <v>0</v>
      </c>
      <c r="Q284" s="445">
        <f t="shared" si="269"/>
        <v>0</v>
      </c>
    </row>
    <row r="285" spans="1:17" ht="24" x14ac:dyDescent="0.25">
      <c r="A285" s="274" t="s">
        <v>103</v>
      </c>
      <c r="B285" s="434"/>
      <c r="C285" s="275" t="s">
        <v>299</v>
      </c>
      <c r="D285" s="276"/>
      <c r="E285" s="277"/>
      <c r="F285" s="331">
        <f t="shared" si="263"/>
        <v>0</v>
      </c>
      <c r="G285" s="278"/>
      <c r="H285" s="278"/>
      <c r="I285" s="350" t="str">
        <f>IFERROR(F285/#REF!,"-")</f>
        <v>-</v>
      </c>
      <c r="J285" s="331">
        <f t="shared" si="264"/>
        <v>0</v>
      </c>
      <c r="K285" s="278">
        <f t="shared" si="265"/>
        <v>0</v>
      </c>
      <c r="L285" s="432">
        <f t="shared" si="266"/>
        <v>0</v>
      </c>
      <c r="M285" s="335" t="str">
        <f t="shared" si="267"/>
        <v>-</v>
      </c>
      <c r="N285" s="263" t="str">
        <f t="shared" si="262"/>
        <v>-</v>
      </c>
      <c r="O285" s="670">
        <v>5.7342000000000004</v>
      </c>
      <c r="P285" s="400">
        <f t="shared" si="268"/>
        <v>0</v>
      </c>
      <c r="Q285" s="445">
        <f t="shared" si="269"/>
        <v>0</v>
      </c>
    </row>
    <row r="286" spans="1:17" ht="24" x14ac:dyDescent="0.25">
      <c r="A286" s="274" t="s">
        <v>103</v>
      </c>
      <c r="B286" s="434"/>
      <c r="C286" s="275" t="s">
        <v>313</v>
      </c>
      <c r="D286" s="276"/>
      <c r="E286" s="277"/>
      <c r="F286" s="331">
        <f t="shared" si="263"/>
        <v>0</v>
      </c>
      <c r="G286" s="278"/>
      <c r="H286" s="278"/>
      <c r="I286" s="350" t="str">
        <f>IFERROR(F286/#REF!,"-")</f>
        <v>-</v>
      </c>
      <c r="J286" s="331">
        <f t="shared" si="264"/>
        <v>0</v>
      </c>
      <c r="K286" s="278">
        <f t="shared" si="265"/>
        <v>0</v>
      </c>
      <c r="L286" s="432">
        <f t="shared" si="266"/>
        <v>0</v>
      </c>
      <c r="M286" s="335" t="str">
        <f t="shared" si="267"/>
        <v>-</v>
      </c>
      <c r="N286" s="263" t="str">
        <f t="shared" si="262"/>
        <v>-</v>
      </c>
      <c r="O286" s="504"/>
      <c r="P286" s="400">
        <f t="shared" si="268"/>
        <v>0</v>
      </c>
      <c r="Q286" s="445">
        <f t="shared" si="269"/>
        <v>0</v>
      </c>
    </row>
    <row r="287" spans="1:17" ht="24" x14ac:dyDescent="0.25">
      <c r="A287" s="274" t="s">
        <v>103</v>
      </c>
      <c r="B287" s="434"/>
      <c r="C287" s="275" t="s">
        <v>318</v>
      </c>
      <c r="D287" s="276"/>
      <c r="E287" s="277"/>
      <c r="F287" s="331">
        <f t="shared" si="263"/>
        <v>0</v>
      </c>
      <c r="G287" s="278"/>
      <c r="H287" s="278"/>
      <c r="I287" s="350" t="str">
        <f>IFERROR(F287/#REF!,"-")</f>
        <v>-</v>
      </c>
      <c r="J287" s="331">
        <f t="shared" si="264"/>
        <v>18064</v>
      </c>
      <c r="K287" s="278">
        <f t="shared" si="265"/>
        <v>18000</v>
      </c>
      <c r="L287" s="432">
        <f t="shared" si="266"/>
        <v>64</v>
      </c>
      <c r="M287" s="335" t="str">
        <f t="shared" si="267"/>
        <v>-</v>
      </c>
      <c r="N287" s="263">
        <f t="shared" si="262"/>
        <v>3.5429583702391498E-3</v>
      </c>
      <c r="O287" s="504">
        <v>12.029500000000001</v>
      </c>
      <c r="P287" s="400">
        <f t="shared" si="268"/>
        <v>0</v>
      </c>
      <c r="Q287" s="445">
        <f t="shared" si="269"/>
        <v>216531</v>
      </c>
    </row>
    <row r="288" spans="1:17" ht="24" x14ac:dyDescent="0.25">
      <c r="A288" s="274" t="s">
        <v>103</v>
      </c>
      <c r="B288" s="434"/>
      <c r="C288" s="275"/>
      <c r="D288" s="276"/>
      <c r="E288" s="277"/>
      <c r="F288" s="331">
        <f t="shared" si="263"/>
        <v>0</v>
      </c>
      <c r="G288" s="278"/>
      <c r="H288" s="278"/>
      <c r="I288" s="350" t="str">
        <f>IFERROR(F288/#REF!,"-")</f>
        <v>-</v>
      </c>
      <c r="J288" s="331">
        <f t="shared" si="264"/>
        <v>0</v>
      </c>
      <c r="K288" s="278">
        <f t="shared" si="265"/>
        <v>0</v>
      </c>
      <c r="L288" s="432">
        <f t="shared" si="266"/>
        <v>0</v>
      </c>
      <c r="M288" s="335" t="str">
        <f t="shared" si="267"/>
        <v>-</v>
      </c>
      <c r="N288" s="263" t="str">
        <f t="shared" si="262"/>
        <v>-</v>
      </c>
      <c r="O288" s="504"/>
      <c r="P288" s="400">
        <f t="shared" si="268"/>
        <v>0</v>
      </c>
      <c r="Q288" s="445">
        <f t="shared" si="269"/>
        <v>0</v>
      </c>
    </row>
    <row r="289" spans="1:17" ht="24.75" thickBot="1" x14ac:dyDescent="0.3">
      <c r="A289" s="274" t="s">
        <v>103</v>
      </c>
      <c r="B289" s="447"/>
      <c r="C289" s="279"/>
      <c r="D289" s="280">
        <v>0</v>
      </c>
      <c r="E289" s="281"/>
      <c r="F289" s="332">
        <f t="shared" si="263"/>
        <v>0</v>
      </c>
      <c r="G289" s="282"/>
      <c r="H289" s="282"/>
      <c r="I289" s="351" t="str">
        <f>IFERROR(F289/#REF!,"-")</f>
        <v>-</v>
      </c>
      <c r="J289" s="456">
        <f t="shared" si="264"/>
        <v>0</v>
      </c>
      <c r="K289" s="457">
        <f t="shared" si="265"/>
        <v>0</v>
      </c>
      <c r="L289" s="458">
        <f t="shared" si="266"/>
        <v>0</v>
      </c>
      <c r="M289" s="336" t="str">
        <f t="shared" si="267"/>
        <v>-</v>
      </c>
      <c r="N289" s="345" t="str">
        <f t="shared" si="262"/>
        <v>-</v>
      </c>
      <c r="O289" s="505"/>
      <c r="P289" s="401">
        <f t="shared" si="268"/>
        <v>0</v>
      </c>
      <c r="Q289" s="446">
        <f t="shared" si="269"/>
        <v>0</v>
      </c>
    </row>
    <row r="290" spans="1:17" ht="23.25" customHeight="1" thickBot="1" x14ac:dyDescent="0.3">
      <c r="A290" s="274" t="s">
        <v>103</v>
      </c>
      <c r="B290" s="923" t="s">
        <v>25</v>
      </c>
      <c r="C290" s="878"/>
      <c r="D290" s="319">
        <f t="shared" ref="D290" si="270">SUM(D283:D289)</f>
        <v>0</v>
      </c>
      <c r="E290" s="284">
        <v>100000</v>
      </c>
      <c r="F290" s="319">
        <f>SUM(F283:F289)</f>
        <v>8911</v>
      </c>
      <c r="G290" s="320">
        <f t="shared" ref="G290:H290" si="271">SUM(G283:G289)</f>
        <v>8640</v>
      </c>
      <c r="H290" s="320">
        <f t="shared" si="271"/>
        <v>271</v>
      </c>
      <c r="I290" s="343" t="str">
        <f>IFERROR(F290/#REF!,"-")</f>
        <v>-</v>
      </c>
      <c r="J290" s="319">
        <f t="shared" ref="J290:L290" si="272">SUM(J283:J289)</f>
        <v>44847</v>
      </c>
      <c r="K290" s="320">
        <f t="shared" si="272"/>
        <v>43920</v>
      </c>
      <c r="L290" s="321">
        <f t="shared" si="272"/>
        <v>927</v>
      </c>
      <c r="M290" s="337" t="str">
        <f t="shared" si="267"/>
        <v>-</v>
      </c>
      <c r="N290" s="343">
        <f t="shared" si="262"/>
        <v>2.0670278948424645E-2</v>
      </c>
      <c r="O290" s="387"/>
      <c r="P290" s="402">
        <f t="shared" ref="P290:Q290" si="273">SUM(P283:P289)</f>
        <v>157521.024</v>
      </c>
      <c r="Q290" s="421">
        <f t="shared" si="273"/>
        <v>689094.07199999993</v>
      </c>
    </row>
    <row r="291" spans="1:17" ht="23.25" customHeight="1" thickBot="1" x14ac:dyDescent="0.3">
      <c r="A291" s="274" t="s">
        <v>103</v>
      </c>
      <c r="B291" s="925" t="s">
        <v>172</v>
      </c>
      <c r="C291" s="926"/>
      <c r="D291" s="324">
        <f>+D282+D290</f>
        <v>0</v>
      </c>
      <c r="E291" s="325">
        <f t="shared" ref="E291:H291" si="274">+E282+E290</f>
        <v>115000</v>
      </c>
      <c r="F291" s="324">
        <f t="shared" si="274"/>
        <v>307348</v>
      </c>
      <c r="G291" s="322">
        <f t="shared" si="274"/>
        <v>291560</v>
      </c>
      <c r="H291" s="322">
        <f t="shared" si="274"/>
        <v>15788</v>
      </c>
      <c r="I291" s="347" t="str">
        <f>IFERROR(F291/#REF!,"-")</f>
        <v>-</v>
      </c>
      <c r="J291" s="324">
        <f t="shared" ref="J291:L291" si="275">+J282+J290</f>
        <v>1023936</v>
      </c>
      <c r="K291" s="322">
        <f t="shared" si="275"/>
        <v>967670</v>
      </c>
      <c r="L291" s="323">
        <f t="shared" si="275"/>
        <v>56266</v>
      </c>
      <c r="M291" s="339" t="str">
        <f t="shared" si="267"/>
        <v>-</v>
      </c>
      <c r="N291" s="347">
        <f t="shared" si="262"/>
        <v>5.4950700043752736E-2</v>
      </c>
      <c r="O291" s="390"/>
      <c r="P291" s="406">
        <f t="shared" ref="P291:Q291" si="276">+P282+P290</f>
        <v>1032354.972</v>
      </c>
      <c r="Q291" s="424">
        <f t="shared" si="276"/>
        <v>4162108.3470000001</v>
      </c>
    </row>
    <row r="292" spans="1:17" ht="24" x14ac:dyDescent="0.25">
      <c r="A292" s="244" t="s">
        <v>101</v>
      </c>
      <c r="B292" s="574"/>
      <c r="C292" s="575" t="s">
        <v>282</v>
      </c>
      <c r="D292" s="522"/>
      <c r="E292" s="455"/>
      <c r="F292" s="453">
        <f>+G292+H292</f>
        <v>0</v>
      </c>
      <c r="G292" s="454"/>
      <c r="H292" s="454"/>
      <c r="I292" s="526" t="str">
        <f>IFERROR(F292/#REF!,"-")</f>
        <v>-</v>
      </c>
      <c r="J292" s="453">
        <f>+K292+L292</f>
        <v>0</v>
      </c>
      <c r="K292" s="454">
        <f t="shared" ref="K292:K298" si="277">+G292+K226</f>
        <v>0</v>
      </c>
      <c r="L292" s="455">
        <f t="shared" ref="L292:L298" si="278">+H292+L226</f>
        <v>0</v>
      </c>
      <c r="M292" s="579" t="str">
        <f>IFERROR(J292/D292,"-")</f>
        <v>-</v>
      </c>
      <c r="N292" s="528" t="str">
        <f t="shared" si="262"/>
        <v>-</v>
      </c>
      <c r="O292" s="617">
        <v>4.8285999999999998</v>
      </c>
      <c r="P292" s="529">
        <f t="shared" ref="P292:P294" si="279">+O292*G292</f>
        <v>0</v>
      </c>
      <c r="Q292" s="530">
        <f t="shared" ref="Q292:Q298" si="280">+O292*K292</f>
        <v>0</v>
      </c>
    </row>
    <row r="293" spans="1:17" ht="24" x14ac:dyDescent="0.25">
      <c r="A293" s="248" t="s">
        <v>101</v>
      </c>
      <c r="B293" s="576"/>
      <c r="C293" s="275" t="s">
        <v>283</v>
      </c>
      <c r="D293" s="276"/>
      <c r="E293" s="432"/>
      <c r="F293" s="331">
        <f t="shared" ref="F293:F294" si="281">+G293+H293</f>
        <v>0</v>
      </c>
      <c r="G293" s="278"/>
      <c r="H293" s="278"/>
      <c r="I293" s="350" t="str">
        <f>IFERROR(F293/#REF!,"-")</f>
        <v>-</v>
      </c>
      <c r="J293" s="331">
        <f t="shared" ref="J293:J298" si="282">+K293+L293</f>
        <v>0</v>
      </c>
      <c r="K293" s="278">
        <f t="shared" si="277"/>
        <v>0</v>
      </c>
      <c r="L293" s="432">
        <f t="shared" si="278"/>
        <v>0</v>
      </c>
      <c r="M293" s="335" t="str">
        <f t="shared" ref="M293:M295" si="283">IFERROR(J293/D293,"-")</f>
        <v>-</v>
      </c>
      <c r="N293" s="265" t="str">
        <f t="shared" si="262"/>
        <v>-</v>
      </c>
      <c r="O293" s="618">
        <v>1.4086000000000001</v>
      </c>
      <c r="P293" s="400">
        <f t="shared" si="279"/>
        <v>0</v>
      </c>
      <c r="Q293" s="445">
        <f t="shared" si="280"/>
        <v>0</v>
      </c>
    </row>
    <row r="294" spans="1:17" ht="24" x14ac:dyDescent="0.25">
      <c r="A294" s="248" t="s">
        <v>101</v>
      </c>
      <c r="B294" s="576"/>
      <c r="C294" s="275" t="s">
        <v>314</v>
      </c>
      <c r="D294" s="276"/>
      <c r="E294" s="432"/>
      <c r="F294" s="331">
        <f t="shared" si="281"/>
        <v>0</v>
      </c>
      <c r="G294" s="278"/>
      <c r="H294" s="278"/>
      <c r="I294" s="350" t="str">
        <f>IFERROR(F294/#REF!,"-")</f>
        <v>-</v>
      </c>
      <c r="J294" s="331">
        <f t="shared" si="282"/>
        <v>0</v>
      </c>
      <c r="K294" s="278">
        <f t="shared" si="277"/>
        <v>0</v>
      </c>
      <c r="L294" s="432">
        <f t="shared" si="278"/>
        <v>0</v>
      </c>
      <c r="M294" s="335" t="str">
        <f t="shared" si="283"/>
        <v>-</v>
      </c>
      <c r="N294" s="265" t="str">
        <f>IFERROR(L294/J294,"-")</f>
        <v>-</v>
      </c>
      <c r="O294" s="618">
        <v>2.2141000000000002</v>
      </c>
      <c r="P294" s="400">
        <f t="shared" si="279"/>
        <v>0</v>
      </c>
      <c r="Q294" s="445">
        <f t="shared" si="280"/>
        <v>0</v>
      </c>
    </row>
    <row r="295" spans="1:17" ht="24" x14ac:dyDescent="0.25">
      <c r="A295" s="248" t="s">
        <v>101</v>
      </c>
      <c r="B295" s="577"/>
      <c r="C295" s="275" t="s">
        <v>442</v>
      </c>
      <c r="D295" s="280"/>
      <c r="E295" s="523"/>
      <c r="F295" s="332">
        <f>+G295+H295</f>
        <v>53465</v>
      </c>
      <c r="G295" s="282">
        <v>52250</v>
      </c>
      <c r="H295" s="282">
        <v>1215</v>
      </c>
      <c r="I295" s="351" t="str">
        <f>IFERROR(F295/#REF!,"-")</f>
        <v>-</v>
      </c>
      <c r="J295" s="331">
        <f t="shared" si="282"/>
        <v>483434</v>
      </c>
      <c r="K295" s="278">
        <f t="shared" si="277"/>
        <v>475750</v>
      </c>
      <c r="L295" s="432">
        <f t="shared" si="278"/>
        <v>7684</v>
      </c>
      <c r="M295" s="336" t="str">
        <f t="shared" si="283"/>
        <v>-</v>
      </c>
      <c r="N295" s="342">
        <f t="shared" ref="N295:N302" si="284">IFERROR(L295/J295,"-")</f>
        <v>1.5894620568681558E-2</v>
      </c>
      <c r="O295" s="618">
        <v>2.2141000000000002</v>
      </c>
      <c r="P295" s="401">
        <f>+O295*G295</f>
        <v>115686.72500000001</v>
      </c>
      <c r="Q295" s="446">
        <f t="shared" si="280"/>
        <v>1053358.0750000002</v>
      </c>
    </row>
    <row r="296" spans="1:17" ht="24" x14ac:dyDescent="0.25">
      <c r="A296" s="248" t="s">
        <v>101</v>
      </c>
      <c r="B296" s="436"/>
      <c r="C296" s="616" t="s">
        <v>351</v>
      </c>
      <c r="D296" s="506"/>
      <c r="E296" s="524"/>
      <c r="F296" s="331">
        <f t="shared" ref="F296:F298" si="285">+G296+H296</f>
        <v>0</v>
      </c>
      <c r="G296" s="540"/>
      <c r="H296" s="540"/>
      <c r="I296" s="350" t="str">
        <f>IFERROR(F296/#REF!,"-")</f>
        <v>-</v>
      </c>
      <c r="J296" s="331">
        <f t="shared" si="282"/>
        <v>0</v>
      </c>
      <c r="K296" s="278">
        <f t="shared" si="277"/>
        <v>0</v>
      </c>
      <c r="L296" s="432">
        <f t="shared" si="278"/>
        <v>0</v>
      </c>
      <c r="M296" s="643"/>
      <c r="N296" s="265" t="str">
        <f t="shared" si="284"/>
        <v>-</v>
      </c>
      <c r="O296" s="535">
        <v>4.8285999999999998</v>
      </c>
      <c r="P296" s="400">
        <f t="shared" ref="P296:P298" si="286">+O296*G296</f>
        <v>0</v>
      </c>
      <c r="Q296" s="445">
        <f t="shared" si="280"/>
        <v>0</v>
      </c>
    </row>
    <row r="297" spans="1:17" ht="24" x14ac:dyDescent="0.25">
      <c r="A297" s="248" t="s">
        <v>101</v>
      </c>
      <c r="B297" s="578"/>
      <c r="C297" s="616" t="s">
        <v>347</v>
      </c>
      <c r="D297" s="270"/>
      <c r="E297" s="431"/>
      <c r="F297" s="330">
        <f t="shared" si="285"/>
        <v>0</v>
      </c>
      <c r="G297" s="272"/>
      <c r="H297" s="272"/>
      <c r="I297" s="349" t="str">
        <f>IFERROR(F297/#REF!,"-")</f>
        <v>-</v>
      </c>
      <c r="J297" s="331">
        <f t="shared" si="282"/>
        <v>0</v>
      </c>
      <c r="K297" s="278">
        <f t="shared" si="277"/>
        <v>0</v>
      </c>
      <c r="L297" s="432">
        <f t="shared" si="278"/>
        <v>0</v>
      </c>
      <c r="M297" s="334" t="str">
        <f t="shared" ref="M297:M298" si="287">IFERROR(J297/D297,"-")</f>
        <v>-</v>
      </c>
      <c r="N297" s="344" t="str">
        <f t="shared" si="284"/>
        <v>-</v>
      </c>
      <c r="O297" s="503">
        <v>4.1712999999999996</v>
      </c>
      <c r="P297" s="398">
        <f t="shared" si="286"/>
        <v>0</v>
      </c>
      <c r="Q297" s="443">
        <f t="shared" si="280"/>
        <v>0</v>
      </c>
    </row>
    <row r="298" spans="1:17" ht="24.75" thickBot="1" x14ac:dyDescent="0.3">
      <c r="A298" s="248" t="s">
        <v>101</v>
      </c>
      <c r="B298" s="576"/>
      <c r="C298" s="275"/>
      <c r="D298" s="276"/>
      <c r="E298" s="432"/>
      <c r="F298" s="331">
        <f t="shared" si="285"/>
        <v>0</v>
      </c>
      <c r="G298" s="278"/>
      <c r="H298" s="278"/>
      <c r="I298" s="350" t="str">
        <f>IFERROR(F298/#REF!,"-")</f>
        <v>-</v>
      </c>
      <c r="J298" s="456">
        <f t="shared" si="282"/>
        <v>0</v>
      </c>
      <c r="K298" s="457">
        <f t="shared" si="277"/>
        <v>0</v>
      </c>
      <c r="L298" s="458">
        <f t="shared" si="278"/>
        <v>0</v>
      </c>
      <c r="M298" s="335" t="str">
        <f t="shared" si="287"/>
        <v>-</v>
      </c>
      <c r="N298" s="263" t="str">
        <f t="shared" si="284"/>
        <v>-</v>
      </c>
      <c r="O298" s="444"/>
      <c r="P298" s="400">
        <f t="shared" si="286"/>
        <v>0</v>
      </c>
      <c r="Q298" s="445">
        <f t="shared" si="280"/>
        <v>0</v>
      </c>
    </row>
    <row r="299" spans="1:17" ht="23.25" customHeight="1" thickBot="1" x14ac:dyDescent="0.3">
      <c r="A299" s="274" t="s">
        <v>101</v>
      </c>
      <c r="B299" s="923" t="s">
        <v>21</v>
      </c>
      <c r="C299" s="878"/>
      <c r="D299" s="319">
        <v>0</v>
      </c>
      <c r="E299" s="284">
        <v>15000</v>
      </c>
      <c r="F299" s="319">
        <f>SUM(F292:F298)</f>
        <v>53465</v>
      </c>
      <c r="G299" s="320">
        <f t="shared" ref="G299:H299" si="288">SUM(G292:G298)</f>
        <v>52250</v>
      </c>
      <c r="H299" s="320">
        <f t="shared" si="288"/>
        <v>1215</v>
      </c>
      <c r="I299" s="343" t="str">
        <f>IFERROR(F299/#REF!,"-")</f>
        <v>-</v>
      </c>
      <c r="J299" s="509">
        <f t="shared" ref="J299" si="289">SUM(J292:J298)</f>
        <v>483434</v>
      </c>
      <c r="K299" s="515">
        <f>SUM(K292:K298)</f>
        <v>475750</v>
      </c>
      <c r="L299" s="515">
        <f>SUM(L292:L298)</f>
        <v>7684</v>
      </c>
      <c r="M299" s="337" t="str">
        <f>IFERROR(J299/D299,"-")</f>
        <v>-</v>
      </c>
      <c r="N299" s="343">
        <f t="shared" si="284"/>
        <v>1.5894620568681558E-2</v>
      </c>
      <c r="O299" s="387"/>
      <c r="P299" s="402">
        <f>SUM(P292:P298)</f>
        <v>115686.72500000001</v>
      </c>
      <c r="Q299" s="421">
        <f>SUM(Q292:Q298)</f>
        <v>1053358.0750000002</v>
      </c>
    </row>
    <row r="300" spans="1:17" ht="23.25" customHeight="1" thickBot="1" x14ac:dyDescent="0.3">
      <c r="A300" s="274" t="s">
        <v>101</v>
      </c>
      <c r="B300" s="925" t="s">
        <v>247</v>
      </c>
      <c r="C300" s="926"/>
      <c r="D300" s="508">
        <f>+D296+D299</f>
        <v>0</v>
      </c>
      <c r="E300" s="520">
        <f>+E296+E299</f>
        <v>15000</v>
      </c>
      <c r="F300" s="508">
        <f>+F296+F299</f>
        <v>53465</v>
      </c>
      <c r="G300" s="510">
        <f>+G296+G299</f>
        <v>52250</v>
      </c>
      <c r="H300" s="510">
        <f>+H296+H299</f>
        <v>1215</v>
      </c>
      <c r="I300" s="511" t="str">
        <f>IFERROR(F300/#REF!,"-")</f>
        <v>-</v>
      </c>
      <c r="J300" s="508">
        <f>+J296+J299</f>
        <v>483434</v>
      </c>
      <c r="K300" s="510">
        <f>+K299</f>
        <v>475750</v>
      </c>
      <c r="L300" s="510">
        <f>+L299</f>
        <v>7684</v>
      </c>
      <c r="M300" s="512" t="str">
        <f t="shared" ref="M300" si="290">IFERROR(J300/D300,"-")</f>
        <v>-</v>
      </c>
      <c r="N300" s="511">
        <f t="shared" si="284"/>
        <v>1.5894620568681558E-2</v>
      </c>
      <c r="O300" s="513"/>
      <c r="P300" s="514">
        <f>+P299</f>
        <v>115686.72500000001</v>
      </c>
      <c r="Q300" s="514">
        <f>+Q299</f>
        <v>1053358.0750000002</v>
      </c>
    </row>
    <row r="301" spans="1:17" ht="24" x14ac:dyDescent="0.35">
      <c r="A301" s="244" t="s">
        <v>101</v>
      </c>
      <c r="B301" s="927" t="s">
        <v>249</v>
      </c>
      <c r="C301" s="536" t="s">
        <v>71</v>
      </c>
      <c r="D301" s="522"/>
      <c r="E301" s="455"/>
      <c r="F301" s="453">
        <f>+G301+H301</f>
        <v>0</v>
      </c>
      <c r="G301" s="454"/>
      <c r="H301" s="454"/>
      <c r="I301" s="526" t="str">
        <f>IFERROR(F301/#REF!,"-")</f>
        <v>-</v>
      </c>
      <c r="J301" s="453">
        <f>+K301+L301</f>
        <v>9098</v>
      </c>
      <c r="K301" s="454">
        <f t="shared" ref="K301:K334" si="291">+G301+K235</f>
        <v>9000</v>
      </c>
      <c r="L301" s="455">
        <f t="shared" ref="L301:L334" si="292">+H301+L235</f>
        <v>98</v>
      </c>
      <c r="M301" s="579" t="str">
        <f>IFERROR(J301/D301,"-")</f>
        <v>-</v>
      </c>
      <c r="N301" s="528">
        <f t="shared" si="284"/>
        <v>1.0771598153440316E-2</v>
      </c>
      <c r="O301" s="533">
        <v>32.946300000000001</v>
      </c>
      <c r="P301" s="529">
        <f t="shared" ref="P301:P334" si="293">+O301*G301</f>
        <v>0</v>
      </c>
      <c r="Q301" s="530">
        <f t="shared" ref="Q301:Q334" si="294">+O301*K301</f>
        <v>296516.7</v>
      </c>
    </row>
    <row r="302" spans="1:17" ht="24" x14ac:dyDescent="0.35">
      <c r="A302" s="248" t="s">
        <v>101</v>
      </c>
      <c r="B302" s="928"/>
      <c r="C302" s="537" t="s">
        <v>72</v>
      </c>
      <c r="D302" s="507"/>
      <c r="E302" s="432"/>
      <c r="F302" s="331">
        <f t="shared" ref="F302:F334" si="295">+G302+H302</f>
        <v>0</v>
      </c>
      <c r="G302" s="278"/>
      <c r="H302" s="278"/>
      <c r="I302" s="350" t="str">
        <f>IFERROR(F302/#REF!,"-")</f>
        <v>-</v>
      </c>
      <c r="J302" s="331">
        <f t="shared" ref="J302:J334" si="296">+K302+L302</f>
        <v>0</v>
      </c>
      <c r="K302" s="278">
        <f t="shared" si="291"/>
        <v>0</v>
      </c>
      <c r="L302" s="432">
        <f t="shared" si="292"/>
        <v>0</v>
      </c>
      <c r="M302" s="335" t="str">
        <f t="shared" ref="M302:M304" si="297">IFERROR(J302/D302,"-")</f>
        <v>-</v>
      </c>
      <c r="N302" s="265" t="str">
        <f t="shared" si="284"/>
        <v>-</v>
      </c>
      <c r="O302" s="504">
        <v>35.398400000000002</v>
      </c>
      <c r="P302" s="400">
        <f t="shared" si="293"/>
        <v>0</v>
      </c>
      <c r="Q302" s="445">
        <f t="shared" si="294"/>
        <v>0</v>
      </c>
    </row>
    <row r="303" spans="1:17" ht="24.75" thickBot="1" x14ac:dyDescent="0.4">
      <c r="A303" s="248" t="s">
        <v>101</v>
      </c>
      <c r="B303" s="929"/>
      <c r="C303" s="537" t="s">
        <v>450</v>
      </c>
      <c r="D303" s="276"/>
      <c r="E303" s="432"/>
      <c r="F303" s="331">
        <f t="shared" si="295"/>
        <v>0</v>
      </c>
      <c r="G303" s="278"/>
      <c r="H303" s="278"/>
      <c r="I303" s="350" t="str">
        <f>IFERROR(F303/#REF!,"-")</f>
        <v>-</v>
      </c>
      <c r="J303" s="331">
        <f t="shared" si="296"/>
        <v>0</v>
      </c>
      <c r="K303" s="278">
        <f t="shared" si="291"/>
        <v>0</v>
      </c>
      <c r="L303" s="432">
        <f t="shared" si="292"/>
        <v>0</v>
      </c>
      <c r="M303" s="335" t="str">
        <f t="shared" si="297"/>
        <v>-</v>
      </c>
      <c r="N303" s="265" t="str">
        <f>IFERROR(L303/J303,"-")</f>
        <v>-</v>
      </c>
      <c r="O303" s="504">
        <v>35.398400000000002</v>
      </c>
      <c r="P303" s="400">
        <f t="shared" si="293"/>
        <v>0</v>
      </c>
      <c r="Q303" s="445">
        <f t="shared" si="294"/>
        <v>0</v>
      </c>
    </row>
    <row r="304" spans="1:17" ht="24" x14ac:dyDescent="0.35">
      <c r="A304" s="248" t="s">
        <v>101</v>
      </c>
      <c r="B304" s="927" t="s">
        <v>250</v>
      </c>
      <c r="C304" s="538" t="s">
        <v>75</v>
      </c>
      <c r="D304" s="276"/>
      <c r="E304" s="523"/>
      <c r="F304" s="332">
        <f t="shared" si="295"/>
        <v>0</v>
      </c>
      <c r="G304" s="278"/>
      <c r="H304" s="278"/>
      <c r="I304" s="350" t="str">
        <f>IFERROR(F304/#REF!,"-")</f>
        <v>-</v>
      </c>
      <c r="J304" s="331">
        <f t="shared" si="296"/>
        <v>681</v>
      </c>
      <c r="K304" s="278">
        <f t="shared" si="291"/>
        <v>592</v>
      </c>
      <c r="L304" s="432">
        <f t="shared" si="292"/>
        <v>89</v>
      </c>
      <c r="M304" s="335" t="str">
        <f t="shared" si="297"/>
        <v>-</v>
      </c>
      <c r="N304" s="265">
        <f t="shared" ref="N304" si="298">IFERROR(L304/J304,"-")</f>
        <v>0.13069016152716592</v>
      </c>
      <c r="O304" s="504">
        <v>55.4758</v>
      </c>
      <c r="P304" s="400">
        <f t="shared" si="293"/>
        <v>0</v>
      </c>
      <c r="Q304" s="445">
        <f t="shared" si="294"/>
        <v>32841.673600000002</v>
      </c>
    </row>
    <row r="305" spans="1:17" ht="24" x14ac:dyDescent="0.35">
      <c r="A305" s="248" t="s">
        <v>101</v>
      </c>
      <c r="B305" s="928"/>
      <c r="C305" s="538" t="s">
        <v>72</v>
      </c>
      <c r="D305" s="276"/>
      <c r="E305" s="524"/>
      <c r="F305" s="332">
        <f t="shared" si="295"/>
        <v>0</v>
      </c>
      <c r="G305" s="278"/>
      <c r="H305" s="278"/>
      <c r="I305" s="350" t="str">
        <f>IFERROR(F305/#REF!,"-")</f>
        <v>-</v>
      </c>
      <c r="J305" s="331">
        <f t="shared" si="296"/>
        <v>0</v>
      </c>
      <c r="K305" s="278">
        <f t="shared" si="291"/>
        <v>0</v>
      </c>
      <c r="L305" s="432">
        <f t="shared" si="292"/>
        <v>0</v>
      </c>
      <c r="M305" s="643"/>
      <c r="N305" s="370"/>
      <c r="O305" s="535">
        <v>58.836300000000001</v>
      </c>
      <c r="P305" s="400">
        <f t="shared" si="293"/>
        <v>0</v>
      </c>
      <c r="Q305" s="445">
        <f t="shared" si="294"/>
        <v>0</v>
      </c>
    </row>
    <row r="306" spans="1:17" ht="24" x14ac:dyDescent="0.35">
      <c r="A306" s="248" t="s">
        <v>101</v>
      </c>
      <c r="B306" s="928"/>
      <c r="C306" s="538" t="s">
        <v>345</v>
      </c>
      <c r="D306" s="276"/>
      <c r="E306" s="431"/>
      <c r="F306" s="332">
        <f t="shared" si="295"/>
        <v>0</v>
      </c>
      <c r="G306" s="278"/>
      <c r="H306" s="278"/>
      <c r="I306" s="350" t="str">
        <f>IFERROR(F306/#REF!,"-")</f>
        <v>-</v>
      </c>
      <c r="J306" s="331">
        <f t="shared" si="296"/>
        <v>0</v>
      </c>
      <c r="K306" s="278">
        <f t="shared" si="291"/>
        <v>0</v>
      </c>
      <c r="L306" s="432">
        <f t="shared" si="292"/>
        <v>0</v>
      </c>
      <c r="M306" s="335" t="str">
        <f t="shared" ref="M306" si="299">IFERROR(J306/D306,"-")</f>
        <v>-</v>
      </c>
      <c r="N306" s="263" t="str">
        <f t="shared" ref="N306" si="300">IFERROR(L306/J306,"-")</f>
        <v>-</v>
      </c>
      <c r="O306" s="670">
        <v>58.836300000000001</v>
      </c>
      <c r="P306" s="400">
        <f t="shared" si="293"/>
        <v>0</v>
      </c>
      <c r="Q306" s="445">
        <f t="shared" si="294"/>
        <v>0</v>
      </c>
    </row>
    <row r="307" spans="1:17" ht="24.75" thickBot="1" x14ac:dyDescent="0.4">
      <c r="A307" s="248"/>
      <c r="B307" s="929"/>
      <c r="C307" s="538" t="s">
        <v>359</v>
      </c>
      <c r="D307" s="276"/>
      <c r="E307" s="431"/>
      <c r="F307" s="332">
        <f t="shared" si="295"/>
        <v>0</v>
      </c>
      <c r="G307" s="278"/>
      <c r="H307" s="278"/>
      <c r="I307" s="350"/>
      <c r="J307" s="331">
        <f t="shared" si="296"/>
        <v>0</v>
      </c>
      <c r="K307" s="278">
        <f t="shared" si="291"/>
        <v>0</v>
      </c>
      <c r="L307" s="432">
        <f t="shared" si="292"/>
        <v>0</v>
      </c>
      <c r="M307" s="335"/>
      <c r="N307" s="263" t="str">
        <f>IFERROR(L307/J307,"-")</f>
        <v>-</v>
      </c>
      <c r="O307" s="504">
        <v>55.4758</v>
      </c>
      <c r="P307" s="400">
        <f t="shared" si="293"/>
        <v>0</v>
      </c>
      <c r="Q307" s="445">
        <f t="shared" si="294"/>
        <v>0</v>
      </c>
    </row>
    <row r="308" spans="1:17" ht="24" x14ac:dyDescent="0.35">
      <c r="A308" s="248" t="s">
        <v>101</v>
      </c>
      <c r="B308" s="927" t="s">
        <v>407</v>
      </c>
      <c r="C308" s="537" t="s">
        <v>77</v>
      </c>
      <c r="D308" s="276"/>
      <c r="E308" s="432"/>
      <c r="F308" s="331">
        <f t="shared" si="295"/>
        <v>0</v>
      </c>
      <c r="G308" s="278"/>
      <c r="H308" s="278"/>
      <c r="I308" s="350" t="str">
        <f>IFERROR(F308/#REF!,"-")</f>
        <v>-</v>
      </c>
      <c r="J308" s="331">
        <f t="shared" si="296"/>
        <v>0</v>
      </c>
      <c r="K308" s="647">
        <f t="shared" si="291"/>
        <v>0</v>
      </c>
      <c r="L308" s="648">
        <f t="shared" si="292"/>
        <v>0</v>
      </c>
      <c r="M308" s="335" t="str">
        <f t="shared" ref="M308:M337" si="301">IFERROR(J308/D308,"-")</f>
        <v>-</v>
      </c>
      <c r="N308" s="263" t="str">
        <f t="shared" ref="N308:N336" si="302">IFERROR(L308/J308,"-")</f>
        <v>-</v>
      </c>
      <c r="O308" s="504">
        <v>25.687200000000001</v>
      </c>
      <c r="P308" s="400">
        <f t="shared" si="293"/>
        <v>0</v>
      </c>
      <c r="Q308" s="445">
        <f t="shared" si="294"/>
        <v>0</v>
      </c>
    </row>
    <row r="309" spans="1:17" ht="24.75" thickBot="1" x14ac:dyDescent="0.4">
      <c r="A309" s="248" t="s">
        <v>101</v>
      </c>
      <c r="B309" s="929"/>
      <c r="C309" s="537" t="s">
        <v>117</v>
      </c>
      <c r="D309" s="276"/>
      <c r="E309" s="432"/>
      <c r="F309" s="331">
        <f t="shared" si="295"/>
        <v>0</v>
      </c>
      <c r="G309" s="278"/>
      <c r="H309" s="278"/>
      <c r="I309" s="350" t="str">
        <f>IFERROR(F309/#REF!,"-")</f>
        <v>-</v>
      </c>
      <c r="J309" s="331">
        <f t="shared" si="296"/>
        <v>0</v>
      </c>
      <c r="K309" s="278">
        <f t="shared" si="291"/>
        <v>0</v>
      </c>
      <c r="L309" s="432">
        <f t="shared" si="292"/>
        <v>0</v>
      </c>
      <c r="M309" s="335" t="str">
        <f t="shared" si="301"/>
        <v>-</v>
      </c>
      <c r="N309" s="263" t="str">
        <f t="shared" si="302"/>
        <v>-</v>
      </c>
      <c r="O309" s="504">
        <v>25.033899999999999</v>
      </c>
      <c r="P309" s="400">
        <f t="shared" si="293"/>
        <v>0</v>
      </c>
      <c r="Q309" s="445">
        <f t="shared" si="294"/>
        <v>0</v>
      </c>
    </row>
    <row r="310" spans="1:17" ht="24" x14ac:dyDescent="0.35">
      <c r="A310" s="248"/>
      <c r="B310" s="927" t="s">
        <v>408</v>
      </c>
      <c r="C310" s="537" t="s">
        <v>79</v>
      </c>
      <c r="D310" s="276"/>
      <c r="E310" s="432"/>
      <c r="F310" s="331">
        <f t="shared" si="295"/>
        <v>767</v>
      </c>
      <c r="G310" s="278">
        <v>767</v>
      </c>
      <c r="H310" s="278"/>
      <c r="I310" s="350" t="str">
        <f>IFERROR(F310/#REF!,"-")</f>
        <v>-</v>
      </c>
      <c r="J310" s="331">
        <f t="shared" si="296"/>
        <v>5814</v>
      </c>
      <c r="K310" s="278">
        <f t="shared" si="291"/>
        <v>5767</v>
      </c>
      <c r="L310" s="432">
        <f t="shared" si="292"/>
        <v>47</v>
      </c>
      <c r="M310" s="335" t="str">
        <f t="shared" si="301"/>
        <v>-</v>
      </c>
      <c r="N310" s="263">
        <f t="shared" si="302"/>
        <v>8.0839353285173717E-3</v>
      </c>
      <c r="O310" s="504">
        <v>41.992699999999999</v>
      </c>
      <c r="P310" s="400">
        <f t="shared" si="293"/>
        <v>32208.400900000001</v>
      </c>
      <c r="Q310" s="445">
        <f t="shared" si="294"/>
        <v>242171.90090000001</v>
      </c>
    </row>
    <row r="311" spans="1:17" ht="24" x14ac:dyDescent="0.35">
      <c r="A311" s="248"/>
      <c r="B311" s="928"/>
      <c r="C311" s="537" t="s">
        <v>72</v>
      </c>
      <c r="D311" s="276"/>
      <c r="E311" s="432"/>
      <c r="F311" s="331">
        <f t="shared" si="295"/>
        <v>0</v>
      </c>
      <c r="G311" s="278"/>
      <c r="H311" s="278"/>
      <c r="I311" s="350" t="str">
        <f>IFERROR(F311/#REF!,"-")</f>
        <v>-</v>
      </c>
      <c r="J311" s="331">
        <f t="shared" si="296"/>
        <v>0</v>
      </c>
      <c r="K311" s="278">
        <f t="shared" si="291"/>
        <v>0</v>
      </c>
      <c r="L311" s="432">
        <f t="shared" si="292"/>
        <v>0</v>
      </c>
      <c r="M311" s="335" t="str">
        <f t="shared" si="301"/>
        <v>-</v>
      </c>
      <c r="N311" s="263" t="str">
        <f t="shared" si="302"/>
        <v>-</v>
      </c>
      <c r="O311" s="504">
        <v>42.283799999999999</v>
      </c>
      <c r="P311" s="400">
        <f t="shared" si="293"/>
        <v>0</v>
      </c>
      <c r="Q311" s="445">
        <f t="shared" si="294"/>
        <v>0</v>
      </c>
    </row>
    <row r="312" spans="1:17" ht="24" x14ac:dyDescent="0.35">
      <c r="A312" s="248"/>
      <c r="B312" s="928"/>
      <c r="C312" s="537" t="s">
        <v>378</v>
      </c>
      <c r="D312" s="276"/>
      <c r="E312" s="432"/>
      <c r="F312" s="331">
        <f t="shared" si="295"/>
        <v>476</v>
      </c>
      <c r="G312" s="278">
        <v>476</v>
      </c>
      <c r="H312" s="278"/>
      <c r="I312" s="350" t="str">
        <f>IFERROR(F312/#REF!,"-")</f>
        <v>-</v>
      </c>
      <c r="J312" s="331">
        <f t="shared" si="296"/>
        <v>1476</v>
      </c>
      <c r="K312" s="278">
        <f t="shared" si="291"/>
        <v>1476</v>
      </c>
      <c r="L312" s="432">
        <f t="shared" si="292"/>
        <v>0</v>
      </c>
      <c r="M312" s="335" t="str">
        <f t="shared" si="301"/>
        <v>-</v>
      </c>
      <c r="N312" s="263">
        <f t="shared" si="302"/>
        <v>0</v>
      </c>
      <c r="O312" s="670">
        <v>41.992699999999999</v>
      </c>
      <c r="P312" s="400">
        <f t="shared" si="293"/>
        <v>19988.5252</v>
      </c>
      <c r="Q312" s="445">
        <f t="shared" si="294"/>
        <v>61981.225200000001</v>
      </c>
    </row>
    <row r="313" spans="1:17" ht="24.75" thickBot="1" x14ac:dyDescent="0.4">
      <c r="A313" s="248"/>
      <c r="B313" s="929"/>
      <c r="C313" s="537" t="s">
        <v>379</v>
      </c>
      <c r="D313" s="276"/>
      <c r="E313" s="432"/>
      <c r="F313" s="331">
        <f t="shared" si="295"/>
        <v>3340</v>
      </c>
      <c r="G313" s="278">
        <v>3337</v>
      </c>
      <c r="H313" s="278">
        <v>3</v>
      </c>
      <c r="I313" s="350" t="str">
        <f>IFERROR(F313/#REF!,"-")</f>
        <v>-</v>
      </c>
      <c r="J313" s="331">
        <f t="shared" si="296"/>
        <v>3340</v>
      </c>
      <c r="K313" s="278">
        <f t="shared" si="291"/>
        <v>3337</v>
      </c>
      <c r="L313" s="432">
        <f t="shared" si="292"/>
        <v>3</v>
      </c>
      <c r="M313" s="335" t="str">
        <f t="shared" si="301"/>
        <v>-</v>
      </c>
      <c r="N313" s="263">
        <f t="shared" si="302"/>
        <v>8.9820359281437125E-4</v>
      </c>
      <c r="O313" s="670">
        <v>41.992699999999999</v>
      </c>
      <c r="P313" s="400">
        <f t="shared" si="293"/>
        <v>140129.63990000001</v>
      </c>
      <c r="Q313" s="445">
        <f t="shared" si="294"/>
        <v>140129.63990000001</v>
      </c>
    </row>
    <row r="314" spans="1:17" ht="24.75" thickBot="1" x14ac:dyDescent="0.4">
      <c r="A314" s="248"/>
      <c r="B314" s="677" t="s">
        <v>80</v>
      </c>
      <c r="C314" s="537" t="s">
        <v>81</v>
      </c>
      <c r="D314" s="276"/>
      <c r="E314" s="432"/>
      <c r="F314" s="331">
        <f t="shared" si="295"/>
        <v>0</v>
      </c>
      <c r="G314" s="278"/>
      <c r="H314" s="278"/>
      <c r="I314" s="350" t="str">
        <f>IFERROR(F314/#REF!,"-")</f>
        <v>-</v>
      </c>
      <c r="J314" s="331">
        <f t="shared" si="296"/>
        <v>0</v>
      </c>
      <c r="K314" s="278">
        <f t="shared" si="291"/>
        <v>0</v>
      </c>
      <c r="L314" s="432">
        <f t="shared" si="292"/>
        <v>0</v>
      </c>
      <c r="M314" s="335" t="str">
        <f t="shared" si="301"/>
        <v>-</v>
      </c>
      <c r="N314" s="263" t="str">
        <f t="shared" si="302"/>
        <v>-</v>
      </c>
      <c r="O314" s="504">
        <v>4.3535000000000004</v>
      </c>
      <c r="P314" s="400">
        <f t="shared" si="293"/>
        <v>0</v>
      </c>
      <c r="Q314" s="445">
        <f t="shared" si="294"/>
        <v>0</v>
      </c>
    </row>
    <row r="315" spans="1:17" ht="24" x14ac:dyDescent="0.35">
      <c r="A315" s="248"/>
      <c r="B315" s="927" t="s">
        <v>252</v>
      </c>
      <c r="C315" s="537" t="s">
        <v>77</v>
      </c>
      <c r="D315" s="276"/>
      <c r="E315" s="432"/>
      <c r="F315" s="331">
        <f t="shared" si="295"/>
        <v>16092</v>
      </c>
      <c r="G315" s="278">
        <v>15400</v>
      </c>
      <c r="H315" s="278">
        <v>692</v>
      </c>
      <c r="I315" s="350" t="str">
        <f>IFERROR(F315/#REF!,"-")</f>
        <v>-</v>
      </c>
      <c r="J315" s="331">
        <f t="shared" si="296"/>
        <v>234516</v>
      </c>
      <c r="K315" s="278">
        <f t="shared" si="291"/>
        <v>231000</v>
      </c>
      <c r="L315" s="432">
        <f t="shared" si="292"/>
        <v>3516</v>
      </c>
      <c r="M315" s="335" t="str">
        <f t="shared" si="301"/>
        <v>-</v>
      </c>
      <c r="N315" s="263">
        <f t="shared" si="302"/>
        <v>1.4992580463593102E-2</v>
      </c>
      <c r="O315" s="504">
        <v>4.6184000000000003</v>
      </c>
      <c r="P315" s="400">
        <f t="shared" si="293"/>
        <v>71123.360000000001</v>
      </c>
      <c r="Q315" s="445">
        <f t="shared" si="294"/>
        <v>1066850.4000000001</v>
      </c>
    </row>
    <row r="316" spans="1:17" ht="24" x14ac:dyDescent="0.35">
      <c r="A316" s="248"/>
      <c r="B316" s="928"/>
      <c r="C316" s="537" t="s">
        <v>338</v>
      </c>
      <c r="D316" s="276"/>
      <c r="E316" s="432"/>
      <c r="F316" s="331">
        <f t="shared" si="295"/>
        <v>0</v>
      </c>
      <c r="G316" s="278"/>
      <c r="H316" s="278"/>
      <c r="I316" s="350" t="str">
        <f>IFERROR(F316/#REF!,"-")</f>
        <v>-</v>
      </c>
      <c r="J316" s="331">
        <f t="shared" si="296"/>
        <v>0</v>
      </c>
      <c r="K316" s="278">
        <f t="shared" si="291"/>
        <v>0</v>
      </c>
      <c r="L316" s="432">
        <f t="shared" si="292"/>
        <v>0</v>
      </c>
      <c r="M316" s="335" t="str">
        <f t="shared" si="301"/>
        <v>-</v>
      </c>
      <c r="N316" s="263" t="str">
        <f t="shared" si="302"/>
        <v>-</v>
      </c>
      <c r="O316" s="504">
        <v>4.6184000000000003</v>
      </c>
      <c r="P316" s="400">
        <f t="shared" si="293"/>
        <v>0</v>
      </c>
      <c r="Q316" s="445">
        <f t="shared" si="294"/>
        <v>0</v>
      </c>
    </row>
    <row r="317" spans="1:17" ht="24" x14ac:dyDescent="0.35">
      <c r="A317" s="248"/>
      <c r="B317" s="928"/>
      <c r="C317" s="537" t="s">
        <v>251</v>
      </c>
      <c r="D317" s="276"/>
      <c r="E317" s="432"/>
      <c r="F317" s="331">
        <f t="shared" si="295"/>
        <v>0</v>
      </c>
      <c r="G317" s="278"/>
      <c r="H317" s="278"/>
      <c r="I317" s="350" t="str">
        <f>IFERROR(F317/#REF!,"-")</f>
        <v>-</v>
      </c>
      <c r="J317" s="331">
        <f t="shared" si="296"/>
        <v>0</v>
      </c>
      <c r="K317" s="278">
        <f t="shared" si="291"/>
        <v>0</v>
      </c>
      <c r="L317" s="432">
        <f t="shared" si="292"/>
        <v>0</v>
      </c>
      <c r="M317" s="335" t="str">
        <f t="shared" si="301"/>
        <v>-</v>
      </c>
      <c r="N317" s="263" t="str">
        <f t="shared" si="302"/>
        <v>-</v>
      </c>
      <c r="O317" s="504">
        <v>4.6184000000000003</v>
      </c>
      <c r="P317" s="400">
        <f t="shared" si="293"/>
        <v>0</v>
      </c>
      <c r="Q317" s="445">
        <f t="shared" si="294"/>
        <v>0</v>
      </c>
    </row>
    <row r="318" spans="1:17" ht="24" x14ac:dyDescent="0.35">
      <c r="A318" s="248"/>
      <c r="B318" s="928"/>
      <c r="C318" s="537" t="s">
        <v>348</v>
      </c>
      <c r="D318" s="276"/>
      <c r="E318" s="432"/>
      <c r="F318" s="331">
        <f t="shared" si="295"/>
        <v>0</v>
      </c>
      <c r="G318" s="278"/>
      <c r="H318" s="278"/>
      <c r="I318" s="350" t="str">
        <f>IFERROR(F318/#REF!,"-")</f>
        <v>-</v>
      </c>
      <c r="J318" s="331">
        <f t="shared" si="296"/>
        <v>0</v>
      </c>
      <c r="K318" s="647">
        <f t="shared" si="291"/>
        <v>0</v>
      </c>
      <c r="L318" s="648">
        <f t="shared" si="292"/>
        <v>0</v>
      </c>
      <c r="M318" s="335" t="str">
        <f t="shared" si="301"/>
        <v>-</v>
      </c>
      <c r="N318" s="263" t="str">
        <f t="shared" si="302"/>
        <v>-</v>
      </c>
      <c r="O318" s="504">
        <v>4.7636000000000003</v>
      </c>
      <c r="P318" s="400">
        <f t="shared" si="293"/>
        <v>0</v>
      </c>
      <c r="Q318" s="445">
        <f t="shared" si="294"/>
        <v>0</v>
      </c>
    </row>
    <row r="319" spans="1:17" ht="24.75" thickBot="1" x14ac:dyDescent="0.4">
      <c r="A319" s="248"/>
      <c r="B319" s="929"/>
      <c r="C319" s="537" t="s">
        <v>344</v>
      </c>
      <c r="D319" s="276"/>
      <c r="E319" s="432"/>
      <c r="F319" s="331">
        <f t="shared" si="295"/>
        <v>0</v>
      </c>
      <c r="G319" s="278"/>
      <c r="H319" s="278"/>
      <c r="I319" s="350" t="str">
        <f>IFERROR(F319/#REF!,"-")</f>
        <v>-</v>
      </c>
      <c r="J319" s="331">
        <f t="shared" si="296"/>
        <v>0</v>
      </c>
      <c r="K319" s="278">
        <f t="shared" si="291"/>
        <v>0</v>
      </c>
      <c r="L319" s="432">
        <f t="shared" si="292"/>
        <v>0</v>
      </c>
      <c r="M319" s="335" t="str">
        <f t="shared" si="301"/>
        <v>-</v>
      </c>
      <c r="N319" s="263" t="str">
        <f t="shared" si="302"/>
        <v>-</v>
      </c>
      <c r="O319" s="504">
        <v>4.8738000000000001</v>
      </c>
      <c r="P319" s="400">
        <f t="shared" si="293"/>
        <v>0</v>
      </c>
      <c r="Q319" s="445">
        <f t="shared" si="294"/>
        <v>0</v>
      </c>
    </row>
    <row r="320" spans="1:17" ht="24.75" thickBot="1" x14ac:dyDescent="0.4">
      <c r="A320" s="248"/>
      <c r="B320" s="677" t="s">
        <v>253</v>
      </c>
      <c r="C320" s="537" t="s">
        <v>124</v>
      </c>
      <c r="D320" s="276"/>
      <c r="E320" s="432"/>
      <c r="F320" s="331">
        <f t="shared" si="295"/>
        <v>0</v>
      </c>
      <c r="G320" s="278"/>
      <c r="H320" s="278"/>
      <c r="I320" s="350" t="str">
        <f>IFERROR(F320/#REF!,"-")</f>
        <v>-</v>
      </c>
      <c r="J320" s="331">
        <f t="shared" si="296"/>
        <v>0</v>
      </c>
      <c r="K320" s="278">
        <f t="shared" si="291"/>
        <v>0</v>
      </c>
      <c r="L320" s="432">
        <f t="shared" si="292"/>
        <v>0</v>
      </c>
      <c r="M320" s="335" t="str">
        <f t="shared" si="301"/>
        <v>-</v>
      </c>
      <c r="N320" s="263" t="str">
        <f t="shared" si="302"/>
        <v>-</v>
      </c>
      <c r="O320" s="504">
        <v>4.8738000000000001</v>
      </c>
      <c r="P320" s="400">
        <f t="shared" si="293"/>
        <v>0</v>
      </c>
      <c r="Q320" s="445">
        <f t="shared" si="294"/>
        <v>0</v>
      </c>
    </row>
    <row r="321" spans="1:17" ht="24" x14ac:dyDescent="0.35">
      <c r="A321" s="248"/>
      <c r="B321" s="927" t="s">
        <v>255</v>
      </c>
      <c r="C321" s="537" t="s">
        <v>77</v>
      </c>
      <c r="D321" s="276"/>
      <c r="E321" s="432"/>
      <c r="F321" s="331">
        <f t="shared" si="295"/>
        <v>17668</v>
      </c>
      <c r="G321" s="278">
        <v>16800</v>
      </c>
      <c r="H321" s="278">
        <v>868</v>
      </c>
      <c r="I321" s="350" t="str">
        <f>IFERROR(F321/#REF!,"-")</f>
        <v>-</v>
      </c>
      <c r="J321" s="331">
        <f t="shared" si="296"/>
        <v>218433</v>
      </c>
      <c r="K321" s="679">
        <f t="shared" si="291"/>
        <v>213500</v>
      </c>
      <c r="L321" s="807">
        <f t="shared" si="292"/>
        <v>4933</v>
      </c>
      <c r="M321" s="335" t="str">
        <f t="shared" si="301"/>
        <v>-</v>
      </c>
      <c r="N321" s="263">
        <f t="shared" si="302"/>
        <v>2.2583583982273742E-2</v>
      </c>
      <c r="O321" s="504">
        <v>4.9344999999999999</v>
      </c>
      <c r="P321" s="400">
        <f t="shared" si="293"/>
        <v>82899.599999999991</v>
      </c>
      <c r="Q321" s="445">
        <f t="shared" si="294"/>
        <v>1053515.75</v>
      </c>
    </row>
    <row r="322" spans="1:17" ht="24" x14ac:dyDescent="0.35">
      <c r="A322" s="248"/>
      <c r="B322" s="928"/>
      <c r="C322" s="537" t="s">
        <v>135</v>
      </c>
      <c r="D322" s="276"/>
      <c r="E322" s="432"/>
      <c r="F322" s="331">
        <f t="shared" si="295"/>
        <v>0</v>
      </c>
      <c r="G322" s="278"/>
      <c r="H322" s="278"/>
      <c r="I322" s="350" t="str">
        <f>IFERROR(F322/#REF!,"-")</f>
        <v>-</v>
      </c>
      <c r="J322" s="331">
        <f t="shared" si="296"/>
        <v>0</v>
      </c>
      <c r="K322" s="278">
        <f t="shared" si="291"/>
        <v>0</v>
      </c>
      <c r="L322" s="432">
        <f t="shared" si="292"/>
        <v>0</v>
      </c>
      <c r="M322" s="335" t="str">
        <f t="shared" si="301"/>
        <v>-</v>
      </c>
      <c r="N322" s="263" t="str">
        <f t="shared" si="302"/>
        <v>-</v>
      </c>
      <c r="O322" s="504">
        <v>4.9344999999999999</v>
      </c>
      <c r="P322" s="400">
        <f t="shared" si="293"/>
        <v>0</v>
      </c>
      <c r="Q322" s="445">
        <f t="shared" si="294"/>
        <v>0</v>
      </c>
    </row>
    <row r="323" spans="1:17" ht="24" x14ac:dyDescent="0.35">
      <c r="A323" s="248"/>
      <c r="B323" s="928"/>
      <c r="C323" s="537" t="s">
        <v>129</v>
      </c>
      <c r="D323" s="276"/>
      <c r="E323" s="432"/>
      <c r="F323" s="331">
        <f t="shared" si="295"/>
        <v>0</v>
      </c>
      <c r="G323" s="278"/>
      <c r="H323" s="278"/>
      <c r="I323" s="350" t="str">
        <f>IFERROR(F323/#REF!,"-")</f>
        <v>-</v>
      </c>
      <c r="J323" s="331">
        <f t="shared" si="296"/>
        <v>0</v>
      </c>
      <c r="K323" s="278">
        <f t="shared" si="291"/>
        <v>0</v>
      </c>
      <c r="L323" s="432">
        <f t="shared" si="292"/>
        <v>0</v>
      </c>
      <c r="M323" s="335" t="str">
        <f t="shared" si="301"/>
        <v>-</v>
      </c>
      <c r="N323" s="263" t="str">
        <f t="shared" si="302"/>
        <v>-</v>
      </c>
      <c r="O323" s="504">
        <v>4.9344999999999999</v>
      </c>
      <c r="P323" s="400">
        <f t="shared" si="293"/>
        <v>0</v>
      </c>
      <c r="Q323" s="445">
        <f t="shared" si="294"/>
        <v>0</v>
      </c>
    </row>
    <row r="324" spans="1:17" ht="24.75" thickBot="1" x14ac:dyDescent="0.4">
      <c r="A324" s="248"/>
      <c r="B324" s="929"/>
      <c r="C324" s="792" t="s">
        <v>254</v>
      </c>
      <c r="D324" s="276"/>
      <c r="E324" s="432"/>
      <c r="F324" s="331">
        <f t="shared" si="295"/>
        <v>0</v>
      </c>
      <c r="G324" s="278"/>
      <c r="H324" s="278"/>
      <c r="I324" s="350" t="str">
        <f>IFERROR(F324/#REF!,"-")</f>
        <v>-</v>
      </c>
      <c r="J324" s="331">
        <f t="shared" si="296"/>
        <v>0</v>
      </c>
      <c r="K324" s="278">
        <f t="shared" si="291"/>
        <v>0</v>
      </c>
      <c r="L324" s="432">
        <f t="shared" si="292"/>
        <v>0</v>
      </c>
      <c r="M324" s="335" t="str">
        <f t="shared" si="301"/>
        <v>-</v>
      </c>
      <c r="N324" s="263" t="str">
        <f t="shared" si="302"/>
        <v>-</v>
      </c>
      <c r="O324" s="504">
        <v>5.5069999999999997</v>
      </c>
      <c r="P324" s="400">
        <f t="shared" si="293"/>
        <v>0</v>
      </c>
      <c r="Q324" s="445">
        <f t="shared" si="294"/>
        <v>0</v>
      </c>
    </row>
    <row r="325" spans="1:17" ht="24" x14ac:dyDescent="0.35">
      <c r="A325" s="248"/>
      <c r="B325" s="872" t="s">
        <v>260</v>
      </c>
      <c r="C325" s="536" t="s">
        <v>256</v>
      </c>
      <c r="D325" s="507"/>
      <c r="E325" s="432"/>
      <c r="F325" s="331">
        <f t="shared" si="295"/>
        <v>51829</v>
      </c>
      <c r="G325" s="278">
        <v>50950</v>
      </c>
      <c r="H325" s="278">
        <v>879</v>
      </c>
      <c r="I325" s="350" t="str">
        <f>IFERROR(F325/#REF!,"-")</f>
        <v>-</v>
      </c>
      <c r="J325" s="331">
        <f t="shared" si="296"/>
        <v>216482</v>
      </c>
      <c r="K325" s="278">
        <f t="shared" si="291"/>
        <v>212250</v>
      </c>
      <c r="L325" s="432">
        <f t="shared" si="292"/>
        <v>4232</v>
      </c>
      <c r="M325" s="335" t="str">
        <f t="shared" si="301"/>
        <v>-</v>
      </c>
      <c r="N325" s="263">
        <f t="shared" si="302"/>
        <v>1.9548969429328999E-2</v>
      </c>
      <c r="O325" s="670">
        <v>5.5069999999999997</v>
      </c>
      <c r="P325" s="400">
        <f t="shared" si="293"/>
        <v>280581.64999999997</v>
      </c>
      <c r="Q325" s="445">
        <f t="shared" si="294"/>
        <v>1168860.75</v>
      </c>
    </row>
    <row r="326" spans="1:17" ht="24" x14ac:dyDescent="0.35">
      <c r="A326" s="248"/>
      <c r="B326" s="873"/>
      <c r="C326" s="537" t="s">
        <v>257</v>
      </c>
      <c r="D326" s="507"/>
      <c r="E326" s="432"/>
      <c r="F326" s="331">
        <f t="shared" si="295"/>
        <v>0</v>
      </c>
      <c r="G326" s="278"/>
      <c r="H326" s="278"/>
      <c r="I326" s="350" t="str">
        <f>IFERROR(F326/#REF!,"-")</f>
        <v>-</v>
      </c>
      <c r="J326" s="331">
        <f t="shared" si="296"/>
        <v>0</v>
      </c>
      <c r="K326" s="278">
        <f t="shared" si="291"/>
        <v>0</v>
      </c>
      <c r="L326" s="432">
        <f t="shared" si="292"/>
        <v>0</v>
      </c>
      <c r="M326" s="335" t="str">
        <f t="shared" si="301"/>
        <v>-</v>
      </c>
      <c r="N326" s="263" t="str">
        <f t="shared" si="302"/>
        <v>-</v>
      </c>
      <c r="O326" s="504">
        <v>5.6550000000000002</v>
      </c>
      <c r="P326" s="400">
        <f t="shared" si="293"/>
        <v>0</v>
      </c>
      <c r="Q326" s="445">
        <f t="shared" si="294"/>
        <v>0</v>
      </c>
    </row>
    <row r="327" spans="1:17" ht="24" x14ac:dyDescent="0.35">
      <c r="A327" s="248"/>
      <c r="B327" s="873"/>
      <c r="C327" s="537" t="s">
        <v>319</v>
      </c>
      <c r="D327" s="507"/>
      <c r="E327" s="432"/>
      <c r="F327" s="331">
        <f t="shared" si="295"/>
        <v>0</v>
      </c>
      <c r="G327" s="278"/>
      <c r="H327" s="278"/>
      <c r="I327" s="350" t="str">
        <f>IFERROR(F327/#REF!,"-")</f>
        <v>-</v>
      </c>
      <c r="J327" s="331">
        <f t="shared" si="296"/>
        <v>0</v>
      </c>
      <c r="K327" s="647">
        <f t="shared" si="291"/>
        <v>0</v>
      </c>
      <c r="L327" s="648">
        <f t="shared" si="292"/>
        <v>0</v>
      </c>
      <c r="M327" s="335" t="str">
        <f t="shared" si="301"/>
        <v>-</v>
      </c>
      <c r="N327" s="263" t="str">
        <f t="shared" si="302"/>
        <v>-</v>
      </c>
      <c r="O327" s="504">
        <v>5.6550000000000002</v>
      </c>
      <c r="P327" s="400">
        <f t="shared" si="293"/>
        <v>0</v>
      </c>
      <c r="Q327" s="445">
        <f t="shared" si="294"/>
        <v>0</v>
      </c>
    </row>
    <row r="328" spans="1:17" ht="24" x14ac:dyDescent="0.35">
      <c r="A328" s="248"/>
      <c r="B328" s="873"/>
      <c r="C328" s="537" t="s">
        <v>258</v>
      </c>
      <c r="D328" s="507"/>
      <c r="E328" s="432"/>
      <c r="F328" s="331">
        <f t="shared" si="295"/>
        <v>0</v>
      </c>
      <c r="G328" s="278"/>
      <c r="H328" s="278"/>
      <c r="I328" s="350" t="str">
        <f>IFERROR(F328/#REF!,"-")</f>
        <v>-</v>
      </c>
      <c r="J328" s="331">
        <f t="shared" si="296"/>
        <v>0</v>
      </c>
      <c r="K328" s="278">
        <f t="shared" si="291"/>
        <v>0</v>
      </c>
      <c r="L328" s="432">
        <f t="shared" si="292"/>
        <v>0</v>
      </c>
      <c r="M328" s="335" t="str">
        <f t="shared" si="301"/>
        <v>-</v>
      </c>
      <c r="N328" s="263" t="str">
        <f t="shared" si="302"/>
        <v>-</v>
      </c>
      <c r="O328" s="504">
        <v>5.6550000000000002</v>
      </c>
      <c r="P328" s="400">
        <f t="shared" si="293"/>
        <v>0</v>
      </c>
      <c r="Q328" s="445">
        <f t="shared" si="294"/>
        <v>0</v>
      </c>
    </row>
    <row r="329" spans="1:17" ht="24" x14ac:dyDescent="0.35">
      <c r="A329" s="248" t="s">
        <v>101</v>
      </c>
      <c r="B329" s="873"/>
      <c r="C329" s="537" t="s">
        <v>259</v>
      </c>
      <c r="D329" s="507"/>
      <c r="E329" s="432"/>
      <c r="F329" s="331">
        <f t="shared" si="295"/>
        <v>0</v>
      </c>
      <c r="G329" s="278"/>
      <c r="H329" s="278"/>
      <c r="I329" s="350" t="str">
        <f>IFERROR(F329/#REF!,"-")</f>
        <v>-</v>
      </c>
      <c r="J329" s="331">
        <f t="shared" si="296"/>
        <v>0</v>
      </c>
      <c r="K329" s="278">
        <f t="shared" si="291"/>
        <v>0</v>
      </c>
      <c r="L329" s="432">
        <f t="shared" si="292"/>
        <v>0</v>
      </c>
      <c r="M329" s="335" t="str">
        <f t="shared" si="301"/>
        <v>-</v>
      </c>
      <c r="N329" s="263" t="str">
        <f t="shared" si="302"/>
        <v>-</v>
      </c>
      <c r="O329" s="504">
        <v>3.2963</v>
      </c>
      <c r="P329" s="400">
        <f t="shared" si="293"/>
        <v>0</v>
      </c>
      <c r="Q329" s="445">
        <f t="shared" si="294"/>
        <v>0</v>
      </c>
    </row>
    <row r="330" spans="1:17" ht="24.75" thickBot="1" x14ac:dyDescent="0.4">
      <c r="A330" s="248" t="s">
        <v>101</v>
      </c>
      <c r="B330" s="874"/>
      <c r="C330" s="794" t="s">
        <v>254</v>
      </c>
      <c r="D330" s="507"/>
      <c r="E330" s="432"/>
      <c r="F330" s="331">
        <f t="shared" si="295"/>
        <v>0</v>
      </c>
      <c r="G330" s="278"/>
      <c r="H330" s="278"/>
      <c r="I330" s="350" t="str">
        <f>IFERROR(F330/#REF!,"-")</f>
        <v>-</v>
      </c>
      <c r="J330" s="331">
        <f t="shared" si="296"/>
        <v>0</v>
      </c>
      <c r="K330" s="278">
        <f t="shared" si="291"/>
        <v>0</v>
      </c>
      <c r="L330" s="432">
        <f t="shared" si="292"/>
        <v>0</v>
      </c>
      <c r="M330" s="335" t="str">
        <f t="shared" si="301"/>
        <v>-</v>
      </c>
      <c r="N330" s="263" t="str">
        <f t="shared" si="302"/>
        <v>-</v>
      </c>
      <c r="O330" s="504">
        <v>3.2963</v>
      </c>
      <c r="P330" s="400">
        <f t="shared" si="293"/>
        <v>0</v>
      </c>
      <c r="Q330" s="445">
        <f t="shared" si="294"/>
        <v>0</v>
      </c>
    </row>
    <row r="331" spans="1:17" ht="24" x14ac:dyDescent="0.35">
      <c r="A331" s="248"/>
      <c r="B331" s="823"/>
      <c r="C331" s="793" t="s">
        <v>497</v>
      </c>
      <c r="D331" s="507"/>
      <c r="E331" s="432"/>
      <c r="F331" s="331">
        <f t="shared" si="295"/>
        <v>0</v>
      </c>
      <c r="G331" s="278"/>
      <c r="H331" s="278"/>
      <c r="I331" s="350" t="str">
        <f>IFERROR(F331/#REF!,"-")</f>
        <v>-</v>
      </c>
      <c r="J331" s="331">
        <f t="shared" si="296"/>
        <v>19578</v>
      </c>
      <c r="K331" s="278">
        <f t="shared" si="291"/>
        <v>18400</v>
      </c>
      <c r="L331" s="432">
        <f t="shared" si="292"/>
        <v>1178</v>
      </c>
      <c r="M331" s="335" t="str">
        <f t="shared" si="301"/>
        <v>-</v>
      </c>
      <c r="N331" s="263">
        <f t="shared" si="302"/>
        <v>6.0169578097864954E-2</v>
      </c>
      <c r="O331" s="504">
        <v>3.2963</v>
      </c>
      <c r="P331" s="400">
        <f t="shared" si="293"/>
        <v>0</v>
      </c>
      <c r="Q331" s="445">
        <f t="shared" si="294"/>
        <v>60651.92</v>
      </c>
    </row>
    <row r="332" spans="1:17" ht="24" x14ac:dyDescent="0.35">
      <c r="A332" s="248"/>
      <c r="B332" s="823"/>
      <c r="C332" s="537" t="s">
        <v>498</v>
      </c>
      <c r="D332" s="507"/>
      <c r="E332" s="432"/>
      <c r="F332" s="331">
        <f t="shared" si="295"/>
        <v>0</v>
      </c>
      <c r="G332" s="278"/>
      <c r="H332" s="278"/>
      <c r="I332" s="350" t="str">
        <f>IFERROR(F332/#REF!,"-")</f>
        <v>-</v>
      </c>
      <c r="J332" s="331">
        <f t="shared" si="296"/>
        <v>19160</v>
      </c>
      <c r="K332" s="278">
        <f t="shared" si="291"/>
        <v>18400</v>
      </c>
      <c r="L332" s="432">
        <f t="shared" si="292"/>
        <v>760</v>
      </c>
      <c r="M332" s="335" t="str">
        <f t="shared" si="301"/>
        <v>-</v>
      </c>
      <c r="N332" s="263">
        <f t="shared" si="302"/>
        <v>3.9665970772442591E-2</v>
      </c>
      <c r="O332" s="504">
        <v>3.2963</v>
      </c>
      <c r="P332" s="400">
        <f t="shared" si="293"/>
        <v>0</v>
      </c>
      <c r="Q332" s="445">
        <f t="shared" si="294"/>
        <v>60651.92</v>
      </c>
    </row>
    <row r="333" spans="1:17" ht="24" x14ac:dyDescent="0.35">
      <c r="A333" s="248" t="s">
        <v>101</v>
      </c>
      <c r="B333" s="539"/>
      <c r="C333" s="537" t="s">
        <v>89</v>
      </c>
      <c r="D333" s="507"/>
      <c r="E333" s="432"/>
      <c r="F333" s="331">
        <f t="shared" si="295"/>
        <v>0</v>
      </c>
      <c r="G333" s="278"/>
      <c r="H333" s="278"/>
      <c r="I333" s="350" t="str">
        <f>IFERROR(F333/#REF!,"-")</f>
        <v>-</v>
      </c>
      <c r="J333" s="331">
        <f t="shared" si="296"/>
        <v>0</v>
      </c>
      <c r="K333" s="278">
        <f t="shared" si="291"/>
        <v>0</v>
      </c>
      <c r="L333" s="432">
        <f t="shared" si="292"/>
        <v>0</v>
      </c>
      <c r="M333" s="335" t="str">
        <f t="shared" si="301"/>
        <v>-</v>
      </c>
      <c r="N333" s="263" t="str">
        <f t="shared" si="302"/>
        <v>-</v>
      </c>
      <c r="O333" s="504">
        <v>2.3201000000000001</v>
      </c>
      <c r="P333" s="400">
        <f t="shared" si="293"/>
        <v>0</v>
      </c>
      <c r="Q333" s="445">
        <f t="shared" si="294"/>
        <v>0</v>
      </c>
    </row>
    <row r="334" spans="1:17" ht="24.75" thickBot="1" x14ac:dyDescent="0.3">
      <c r="A334" s="248" t="s">
        <v>101</v>
      </c>
      <c r="B334" s="791"/>
      <c r="C334" s="633"/>
      <c r="D334" s="746"/>
      <c r="E334" s="458"/>
      <c r="F334" s="456">
        <f t="shared" si="295"/>
        <v>0</v>
      </c>
      <c r="G334" s="457"/>
      <c r="H334" s="457"/>
      <c r="I334" s="527" t="str">
        <f>IFERROR(F334/#REF!,"-")</f>
        <v>-</v>
      </c>
      <c r="J334" s="456">
        <f t="shared" si="296"/>
        <v>0</v>
      </c>
      <c r="K334" s="457">
        <f t="shared" si="291"/>
        <v>0</v>
      </c>
      <c r="L334" s="458">
        <f t="shared" si="292"/>
        <v>0</v>
      </c>
      <c r="M334" s="644" t="str">
        <f t="shared" si="301"/>
        <v>-</v>
      </c>
      <c r="N334" s="264" t="str">
        <f t="shared" si="302"/>
        <v>-</v>
      </c>
      <c r="O334" s="534"/>
      <c r="P334" s="531">
        <f t="shared" si="293"/>
        <v>0</v>
      </c>
      <c r="Q334" s="532">
        <f t="shared" si="294"/>
        <v>0</v>
      </c>
    </row>
    <row r="335" spans="1:17" ht="23.25" customHeight="1" thickBot="1" x14ac:dyDescent="0.3">
      <c r="A335" s="274" t="s">
        <v>101</v>
      </c>
      <c r="B335" s="923" t="s">
        <v>25</v>
      </c>
      <c r="C335" s="924"/>
      <c r="D335" s="509">
        <f>SUM(D306:D334)</f>
        <v>0</v>
      </c>
      <c r="E335" s="521">
        <v>100000</v>
      </c>
      <c r="F335" s="515">
        <f>SUM(F301:F334)</f>
        <v>90172</v>
      </c>
      <c r="G335" s="515">
        <f>SUM(G301:G334)</f>
        <v>87730</v>
      </c>
      <c r="H335" s="515">
        <f>SUM(H301:H334)</f>
        <v>2442</v>
      </c>
      <c r="I335" s="516" t="str">
        <f>IFERROR(F335/#REF!,"-")</f>
        <v>-</v>
      </c>
      <c r="J335" s="509">
        <f>SUM(J301:J334)</f>
        <v>728578</v>
      </c>
      <c r="K335" s="509">
        <f t="shared" ref="K335:L335" si="303">SUM(K301:K334)</f>
        <v>713722</v>
      </c>
      <c r="L335" s="509">
        <f t="shared" si="303"/>
        <v>14856</v>
      </c>
      <c r="M335" s="517" t="str">
        <f t="shared" si="301"/>
        <v>-</v>
      </c>
      <c r="N335" s="516">
        <f t="shared" si="302"/>
        <v>2.0390404321843372E-2</v>
      </c>
      <c r="O335" s="518"/>
      <c r="P335" s="519">
        <f>SUM(P301:P334)</f>
        <v>626931.17599999998</v>
      </c>
      <c r="Q335" s="519">
        <f>SUM(Q301:Q334)</f>
        <v>4184171.8796000001</v>
      </c>
    </row>
    <row r="336" spans="1:17" ht="23.25" customHeight="1" thickBot="1" x14ac:dyDescent="0.3">
      <c r="A336" s="317" t="s">
        <v>101</v>
      </c>
      <c r="B336" s="925" t="s">
        <v>248</v>
      </c>
      <c r="C336" s="926"/>
      <c r="D336" s="324">
        <f>+D305+D335</f>
        <v>0</v>
      </c>
      <c r="E336" s="325">
        <f>+E305+E335</f>
        <v>100000</v>
      </c>
      <c r="F336" s="324">
        <f>+F335</f>
        <v>90172</v>
      </c>
      <c r="G336" s="324">
        <f t="shared" ref="G336:H336" si="304">+G335</f>
        <v>87730</v>
      </c>
      <c r="H336" s="324">
        <f t="shared" si="304"/>
        <v>2442</v>
      </c>
      <c r="I336" s="347" t="str">
        <f>IFERROR(F336/#REF!,"-")</f>
        <v>-</v>
      </c>
      <c r="J336" s="324">
        <f>+J335</f>
        <v>728578</v>
      </c>
      <c r="K336" s="324">
        <f t="shared" ref="K336:L336" si="305">+K335</f>
        <v>713722</v>
      </c>
      <c r="L336" s="324">
        <f t="shared" si="305"/>
        <v>14856</v>
      </c>
      <c r="M336" s="339" t="str">
        <f t="shared" si="301"/>
        <v>-</v>
      </c>
      <c r="N336" s="347">
        <f t="shared" si="302"/>
        <v>2.0390404321843372E-2</v>
      </c>
      <c r="O336" s="390"/>
      <c r="P336" s="406">
        <f>+P335</f>
        <v>626931.17599999998</v>
      </c>
      <c r="Q336" s="424">
        <f>Q335</f>
        <v>4184171.8796000001</v>
      </c>
    </row>
    <row r="337" spans="1:17" ht="26.25" thickBot="1" x14ac:dyDescent="0.3">
      <c r="A337" s="318"/>
      <c r="B337" s="944" t="s">
        <v>174</v>
      </c>
      <c r="C337" s="945"/>
      <c r="D337" s="372">
        <f>+D336+D300+D291</f>
        <v>0</v>
      </c>
      <c r="E337" s="372">
        <f>+E336+E300+E291</f>
        <v>230000</v>
      </c>
      <c r="F337" s="372">
        <f>+F336+F300+F291</f>
        <v>450985</v>
      </c>
      <c r="G337" s="372">
        <f>+G336+G300+G291</f>
        <v>431540</v>
      </c>
      <c r="H337" s="372">
        <f>+H336+H300+H291</f>
        <v>19445</v>
      </c>
      <c r="I337" s="373" t="str">
        <f>IFERROR(F337/#REF!,"-")</f>
        <v>-</v>
      </c>
      <c r="J337" s="372">
        <f>+J336+J300+J291</f>
        <v>2235948</v>
      </c>
      <c r="K337" s="372">
        <f>+K336+K300+K291</f>
        <v>2157142</v>
      </c>
      <c r="L337" s="372">
        <f>+L336+L300+L291</f>
        <v>78806</v>
      </c>
      <c r="M337" s="373" t="str">
        <f t="shared" si="301"/>
        <v>-</v>
      </c>
      <c r="N337" s="373">
        <f>IFERROR(L337/J337,"-")</f>
        <v>3.5245005697806926E-2</v>
      </c>
      <c r="O337" s="397"/>
      <c r="P337" s="414">
        <f>+P336+P300+P291</f>
        <v>1774972.8729999999</v>
      </c>
      <c r="Q337" s="414">
        <f>+Q336+Q300+Q291</f>
        <v>9399638.3016000018</v>
      </c>
    </row>
    <row r="338" spans="1:17" ht="24.6" customHeight="1" thickBot="1" x14ac:dyDescent="0.3">
      <c r="A338" s="230"/>
      <c r="B338" s="230"/>
      <c r="C338" s="230"/>
      <c r="D338" s="232"/>
      <c r="E338" s="232"/>
      <c r="F338" s="232"/>
      <c r="G338" s="267"/>
      <c r="H338" s="267"/>
      <c r="I338" s="234"/>
      <c r="J338" s="232"/>
      <c r="K338" s="232"/>
      <c r="L338" s="232"/>
      <c r="M338" s="234"/>
      <c r="N338" s="234"/>
    </row>
    <row r="339" spans="1:17" ht="22.5" customHeight="1" x14ac:dyDescent="0.25">
      <c r="A339" s="935" t="s">
        <v>1</v>
      </c>
      <c r="B339" s="938" t="s">
        <v>2</v>
      </c>
      <c r="C339" s="941" t="s">
        <v>394</v>
      </c>
      <c r="D339" s="890" t="s">
        <v>4</v>
      </c>
      <c r="E339" s="891"/>
      <c r="F339" s="891"/>
      <c r="G339" s="891"/>
      <c r="H339" s="891"/>
      <c r="I339" s="891"/>
      <c r="J339" s="891"/>
      <c r="K339" s="891"/>
      <c r="L339" s="891"/>
      <c r="M339" s="891"/>
      <c r="N339" s="892"/>
      <c r="O339" s="909" t="s">
        <v>167</v>
      </c>
      <c r="P339" s="910"/>
      <c r="Q339" s="930"/>
    </row>
    <row r="340" spans="1:17" ht="22.5" customHeight="1" x14ac:dyDescent="0.25">
      <c r="A340" s="936"/>
      <c r="B340" s="939"/>
      <c r="C340" s="942"/>
      <c r="D340" s="893" t="s">
        <v>7</v>
      </c>
      <c r="E340" s="895" t="s">
        <v>108</v>
      </c>
      <c r="F340" s="931" t="s">
        <v>529</v>
      </c>
      <c r="G340" s="898"/>
      <c r="H340" s="898"/>
      <c r="I340" s="899"/>
      <c r="J340" s="900" t="s">
        <v>8</v>
      </c>
      <c r="K340" s="901"/>
      <c r="L340" s="902"/>
      <c r="M340" s="903" t="s">
        <v>165</v>
      </c>
      <c r="N340" s="905" t="s">
        <v>164</v>
      </c>
      <c r="O340" s="932" t="s">
        <v>169</v>
      </c>
      <c r="P340" s="933"/>
      <c r="Q340" s="934"/>
    </row>
    <row r="341" spans="1:17" ht="45.75" thickBot="1" x14ac:dyDescent="0.3">
      <c r="A341" s="937"/>
      <c r="B341" s="940"/>
      <c r="C341" s="943"/>
      <c r="D341" s="894"/>
      <c r="E341" s="896"/>
      <c r="F341" s="448" t="s">
        <v>13</v>
      </c>
      <c r="G341" s="449" t="s">
        <v>14</v>
      </c>
      <c r="H341" s="449" t="s">
        <v>15</v>
      </c>
      <c r="I341" s="450" t="s">
        <v>166</v>
      </c>
      <c r="J341" s="641" t="s">
        <v>13</v>
      </c>
      <c r="K341" s="639" t="s">
        <v>14</v>
      </c>
      <c r="L341" s="640" t="s">
        <v>15</v>
      </c>
      <c r="M341" s="904"/>
      <c r="N341" s="906"/>
      <c r="O341" s="440" t="s">
        <v>170</v>
      </c>
      <c r="P341" s="441" t="s">
        <v>11</v>
      </c>
      <c r="Q341" s="442" t="s">
        <v>12</v>
      </c>
    </row>
    <row r="342" spans="1:17" ht="24" x14ac:dyDescent="0.25">
      <c r="A342" s="268" t="s">
        <v>103</v>
      </c>
      <c r="B342" s="435"/>
      <c r="C342" s="269" t="s">
        <v>245</v>
      </c>
      <c r="D342" s="270"/>
      <c r="E342" s="271"/>
      <c r="F342" s="330">
        <f>+G342+H342</f>
        <v>96290</v>
      </c>
      <c r="G342" s="272">
        <v>80640</v>
      </c>
      <c r="H342" s="272">
        <v>15650</v>
      </c>
      <c r="I342" s="349" t="str">
        <f>IFERROR(F342/#REF!,"-")</f>
        <v>-</v>
      </c>
      <c r="J342" s="453">
        <f>+K342+L342</f>
        <v>466864</v>
      </c>
      <c r="K342" s="454">
        <f>+G342+K276</f>
        <v>402640</v>
      </c>
      <c r="L342" s="455">
        <f>+H342+L276</f>
        <v>64224</v>
      </c>
      <c r="M342" s="334" t="str">
        <f>IFERROR(J342/D342,"-")</f>
        <v>-</v>
      </c>
      <c r="N342" s="341">
        <f t="shared" ref="N342:N343" si="306">IFERROR(L342/J342,"-")</f>
        <v>0.13756468693238288</v>
      </c>
      <c r="O342" s="503">
        <v>1.5669</v>
      </c>
      <c r="P342" s="398">
        <f>+O342*G342</f>
        <v>126354.81599999999</v>
      </c>
      <c r="Q342" s="443">
        <f>+O342*K342</f>
        <v>630896.61600000004</v>
      </c>
    </row>
    <row r="343" spans="1:17" ht="24" x14ac:dyDescent="0.25">
      <c r="A343" s="274" t="s">
        <v>103</v>
      </c>
      <c r="B343" s="434"/>
      <c r="C343" s="275" t="s">
        <v>244</v>
      </c>
      <c r="D343" s="276"/>
      <c r="E343" s="277"/>
      <c r="F343" s="331">
        <f t="shared" ref="F343:F347" si="307">+G343+H343</f>
        <v>0</v>
      </c>
      <c r="G343" s="679"/>
      <c r="H343" s="679"/>
      <c r="I343" s="350" t="str">
        <f>IFERROR(F343/#REF!,"-")</f>
        <v>-</v>
      </c>
      <c r="J343" s="331">
        <f t="shared" ref="J343:J347" si="308">+K343+L343</f>
        <v>0</v>
      </c>
      <c r="K343" s="278">
        <f t="shared" ref="K343:K347" si="309">+G343+K277</f>
        <v>0</v>
      </c>
      <c r="L343" s="432">
        <f t="shared" ref="L343:L347" si="310">+H343+L277</f>
        <v>0</v>
      </c>
      <c r="M343" s="335" t="str">
        <f t="shared" ref="M343:M347" si="311">IFERROR(J343/D343,"-")</f>
        <v>-</v>
      </c>
      <c r="N343" s="265" t="str">
        <f t="shared" si="306"/>
        <v>-</v>
      </c>
      <c r="O343" s="504">
        <v>2.3978999999999999</v>
      </c>
      <c r="P343" s="400">
        <f>+O343*G343</f>
        <v>0</v>
      </c>
      <c r="Q343" s="445">
        <f>+O343*K343</f>
        <v>0</v>
      </c>
    </row>
    <row r="344" spans="1:17" ht="24" x14ac:dyDescent="0.25">
      <c r="A344" s="274" t="s">
        <v>103</v>
      </c>
      <c r="B344" s="434"/>
      <c r="C344" s="275" t="s">
        <v>393</v>
      </c>
      <c r="D344" s="276"/>
      <c r="E344" s="277"/>
      <c r="F344" s="331">
        <f t="shared" si="307"/>
        <v>115874</v>
      </c>
      <c r="G344" s="278">
        <v>115000</v>
      </c>
      <c r="H344" s="679">
        <v>874</v>
      </c>
      <c r="I344" s="350" t="str">
        <f>IFERROR(F344/#REF!,"-")</f>
        <v>-</v>
      </c>
      <c r="J344" s="331">
        <f t="shared" si="308"/>
        <v>521864</v>
      </c>
      <c r="K344" s="278">
        <f t="shared" si="309"/>
        <v>517500</v>
      </c>
      <c r="L344" s="432">
        <f t="shared" si="310"/>
        <v>4364</v>
      </c>
      <c r="M344" s="335" t="str">
        <f t="shared" si="311"/>
        <v>-</v>
      </c>
      <c r="N344" s="676">
        <f>IFERROR(L344/J344,"-")</f>
        <v>8.362331948553646E-3</v>
      </c>
      <c r="O344" s="678">
        <v>3.6777000000000002</v>
      </c>
      <c r="P344" s="400">
        <f t="shared" ref="P344:P347" si="312">+O344*G344</f>
        <v>422935.5</v>
      </c>
      <c r="Q344" s="445">
        <f t="shared" ref="Q344:Q347" si="313">+O344*K344</f>
        <v>1903209.75</v>
      </c>
    </row>
    <row r="345" spans="1:17" ht="24" x14ac:dyDescent="0.25">
      <c r="A345" s="274"/>
      <c r="B345" s="447"/>
      <c r="C345" s="275" t="s">
        <v>317</v>
      </c>
      <c r="D345" s="280"/>
      <c r="E345" s="281"/>
      <c r="F345" s="331">
        <f t="shared" si="307"/>
        <v>22264</v>
      </c>
      <c r="G345" s="282">
        <v>22000</v>
      </c>
      <c r="H345" s="282">
        <v>264</v>
      </c>
      <c r="I345" s="350" t="str">
        <f>IFERROR(F345/#REF!,"-")</f>
        <v>-</v>
      </c>
      <c r="J345" s="331">
        <f t="shared" si="308"/>
        <v>133541</v>
      </c>
      <c r="K345" s="278">
        <f t="shared" si="309"/>
        <v>132000</v>
      </c>
      <c r="L345" s="432">
        <f t="shared" si="310"/>
        <v>1541</v>
      </c>
      <c r="M345" s="335" t="str">
        <f t="shared" si="311"/>
        <v>-</v>
      </c>
      <c r="N345" s="265">
        <f>IFERROR(L345/J345,"-")</f>
        <v>1.153952718640717E-2</v>
      </c>
      <c r="O345" s="505">
        <v>12.284700000000001</v>
      </c>
      <c r="P345" s="400">
        <f t="shared" si="312"/>
        <v>270263.40000000002</v>
      </c>
      <c r="Q345" s="445">
        <f t="shared" si="313"/>
        <v>1621580.4000000001</v>
      </c>
    </row>
    <row r="346" spans="1:17" ht="24.75" thickBot="1" x14ac:dyDescent="0.3">
      <c r="A346" s="274" t="s">
        <v>103</v>
      </c>
      <c r="B346" s="447"/>
      <c r="C346" s="275" t="s">
        <v>517</v>
      </c>
      <c r="D346" s="280"/>
      <c r="E346" s="281"/>
      <c r="F346" s="332">
        <f t="shared" si="307"/>
        <v>0</v>
      </c>
      <c r="G346" s="282"/>
      <c r="H346" s="282"/>
      <c r="I346" s="351" t="str">
        <f>IFERROR(F346/#REF!,"-")</f>
        <v>-</v>
      </c>
      <c r="J346" s="456">
        <f t="shared" si="308"/>
        <v>29590</v>
      </c>
      <c r="K346" s="457">
        <f t="shared" si="309"/>
        <v>29250</v>
      </c>
      <c r="L346" s="458">
        <f t="shared" si="310"/>
        <v>340</v>
      </c>
      <c r="M346" s="336" t="str">
        <f t="shared" si="311"/>
        <v>-</v>
      </c>
      <c r="N346" s="342">
        <f t="shared" ref="N346:N359" si="314">IFERROR(L346/J346,"-")</f>
        <v>1.1490368367691788E-2</v>
      </c>
      <c r="O346" s="678">
        <v>4.6797000000000004</v>
      </c>
      <c r="P346" s="401">
        <f t="shared" si="312"/>
        <v>0</v>
      </c>
      <c r="Q346" s="446">
        <f t="shared" si="313"/>
        <v>136881.22500000001</v>
      </c>
    </row>
    <row r="347" spans="1:17" ht="24.75" thickBot="1" x14ac:dyDescent="0.3">
      <c r="A347" s="274" t="s">
        <v>103</v>
      </c>
      <c r="B347" s="447"/>
      <c r="C347" s="275" t="s">
        <v>507</v>
      </c>
      <c r="D347" s="280"/>
      <c r="E347" s="281"/>
      <c r="F347" s="332">
        <f t="shared" si="307"/>
        <v>24282</v>
      </c>
      <c r="G347" s="282">
        <v>23500</v>
      </c>
      <c r="H347" s="282">
        <v>782</v>
      </c>
      <c r="I347" s="351" t="str">
        <f>IFERROR(F347/#REF!,"-")</f>
        <v>-</v>
      </c>
      <c r="J347" s="456">
        <f t="shared" si="308"/>
        <v>85940</v>
      </c>
      <c r="K347" s="457">
        <f t="shared" si="309"/>
        <v>83500</v>
      </c>
      <c r="L347" s="458">
        <f t="shared" si="310"/>
        <v>2440</v>
      </c>
      <c r="M347" s="336" t="str">
        <f t="shared" si="311"/>
        <v>-</v>
      </c>
      <c r="N347" s="342">
        <f t="shared" si="314"/>
        <v>2.8391901326506864E-2</v>
      </c>
      <c r="O347" s="678">
        <v>4.6797000000000004</v>
      </c>
      <c r="P347" s="401">
        <f t="shared" si="312"/>
        <v>109972.95000000001</v>
      </c>
      <c r="Q347" s="446">
        <f t="shared" si="313"/>
        <v>390754.95</v>
      </c>
    </row>
    <row r="348" spans="1:17" ht="23.25" customHeight="1" thickBot="1" x14ac:dyDescent="0.3">
      <c r="A348" s="274" t="s">
        <v>103</v>
      </c>
      <c r="B348" s="923" t="s">
        <v>21</v>
      </c>
      <c r="C348" s="878"/>
      <c r="D348" s="319">
        <f>SUM(D342:D347)</f>
        <v>0</v>
      </c>
      <c r="E348" s="284">
        <v>15000</v>
      </c>
      <c r="F348" s="319">
        <f>SUM(F342:F347)</f>
        <v>258710</v>
      </c>
      <c r="G348" s="320">
        <f>SUM(G342:G347)</f>
        <v>241140</v>
      </c>
      <c r="H348" s="320">
        <f>SUM(H342:H347)</f>
        <v>17570</v>
      </c>
      <c r="I348" s="343" t="str">
        <f>IFERROR(F348/#REF!,"-")</f>
        <v>-</v>
      </c>
      <c r="J348" s="319">
        <f>SUM(J342:J347)</f>
        <v>1237799</v>
      </c>
      <c r="K348" s="320">
        <f>SUM(K342:K347)</f>
        <v>1164890</v>
      </c>
      <c r="L348" s="321">
        <f>SUM(L342:L347)</f>
        <v>72909</v>
      </c>
      <c r="M348" s="337" t="str">
        <f>IFERROR(J348/D348,"-")</f>
        <v>-</v>
      </c>
      <c r="N348" s="343">
        <f t="shared" si="314"/>
        <v>5.8902131929335862E-2</v>
      </c>
      <c r="O348" s="387"/>
      <c r="P348" s="402">
        <f>SUM(P342:P347)</f>
        <v>929526.66599999997</v>
      </c>
      <c r="Q348" s="421">
        <f>SUM(Q342:Q347)</f>
        <v>4683322.9409999996</v>
      </c>
    </row>
    <row r="349" spans="1:17" ht="24" x14ac:dyDescent="0.25">
      <c r="A349" s="274" t="s">
        <v>103</v>
      </c>
      <c r="B349" s="435"/>
      <c r="C349" s="269" t="s">
        <v>243</v>
      </c>
      <c r="D349" s="270"/>
      <c r="E349" s="271"/>
      <c r="F349" s="330">
        <f t="shared" ref="F349:F355" si="315">+G349+H349</f>
        <v>13244</v>
      </c>
      <c r="G349" s="272">
        <v>12960</v>
      </c>
      <c r="H349" s="272">
        <v>284</v>
      </c>
      <c r="I349" s="349" t="str">
        <f>IFERROR(F349/#REF!,"-")</f>
        <v>-</v>
      </c>
      <c r="J349" s="453">
        <f t="shared" ref="J349:J355" si="316">+K349+L349</f>
        <v>40027</v>
      </c>
      <c r="K349" s="454">
        <f t="shared" ref="K349:K355" si="317">+G349+K283</f>
        <v>38880</v>
      </c>
      <c r="L349" s="455">
        <f t="shared" ref="L349:L355" si="318">+H349+L283</f>
        <v>1147</v>
      </c>
      <c r="M349" s="334" t="str">
        <f t="shared" ref="M349:M357" si="319">IFERROR(J349/D349,"-")</f>
        <v>-</v>
      </c>
      <c r="N349" s="344">
        <f t="shared" si="314"/>
        <v>2.8655657431233918E-2</v>
      </c>
      <c r="O349" s="503">
        <v>18.2316</v>
      </c>
      <c r="P349" s="398">
        <f t="shared" ref="P349:P355" si="320">+O349*G349</f>
        <v>236281.53599999999</v>
      </c>
      <c r="Q349" s="443">
        <f t="shared" ref="Q349:Q355" si="321">+O349*K349</f>
        <v>708844.60800000001</v>
      </c>
    </row>
    <row r="350" spans="1:17" ht="24" x14ac:dyDescent="0.25">
      <c r="A350" s="274" t="s">
        <v>103</v>
      </c>
      <c r="B350" s="434"/>
      <c r="C350" s="275" t="s">
        <v>89</v>
      </c>
      <c r="D350" s="276"/>
      <c r="E350" s="277"/>
      <c r="F350" s="331">
        <f t="shared" si="315"/>
        <v>60000</v>
      </c>
      <c r="G350" s="278">
        <v>60000</v>
      </c>
      <c r="H350" s="278"/>
      <c r="I350" s="350" t="str">
        <f>IFERROR(F350/#REF!,"-")</f>
        <v>-</v>
      </c>
      <c r="J350" s="331">
        <f t="shared" si="316"/>
        <v>60000</v>
      </c>
      <c r="K350" s="278">
        <f t="shared" si="317"/>
        <v>60000</v>
      </c>
      <c r="L350" s="432">
        <f t="shared" si="318"/>
        <v>0</v>
      </c>
      <c r="M350" s="335" t="str">
        <f t="shared" si="319"/>
        <v>-</v>
      </c>
      <c r="N350" s="263">
        <f t="shared" si="314"/>
        <v>0</v>
      </c>
      <c r="O350" s="504">
        <v>1.2824</v>
      </c>
      <c r="P350" s="400">
        <f t="shared" si="320"/>
        <v>76944</v>
      </c>
      <c r="Q350" s="445">
        <f t="shared" si="321"/>
        <v>76944</v>
      </c>
    </row>
    <row r="351" spans="1:17" ht="24" x14ac:dyDescent="0.25">
      <c r="A351" s="274" t="s">
        <v>103</v>
      </c>
      <c r="B351" s="434"/>
      <c r="C351" s="275" t="s">
        <v>299</v>
      </c>
      <c r="D351" s="276"/>
      <c r="E351" s="277"/>
      <c r="F351" s="331">
        <f t="shared" si="315"/>
        <v>0</v>
      </c>
      <c r="G351" s="278"/>
      <c r="H351" s="278"/>
      <c r="I351" s="350" t="str">
        <f>IFERROR(F351/#REF!,"-")</f>
        <v>-</v>
      </c>
      <c r="J351" s="331">
        <f t="shared" si="316"/>
        <v>0</v>
      </c>
      <c r="K351" s="278">
        <f t="shared" si="317"/>
        <v>0</v>
      </c>
      <c r="L351" s="432">
        <f t="shared" si="318"/>
        <v>0</v>
      </c>
      <c r="M351" s="335" t="str">
        <f t="shared" si="319"/>
        <v>-</v>
      </c>
      <c r="N351" s="263" t="str">
        <f t="shared" si="314"/>
        <v>-</v>
      </c>
      <c r="O351" s="670">
        <v>5.7342000000000004</v>
      </c>
      <c r="P351" s="400">
        <f t="shared" si="320"/>
        <v>0</v>
      </c>
      <c r="Q351" s="445">
        <f t="shared" si="321"/>
        <v>0</v>
      </c>
    </row>
    <row r="352" spans="1:17" ht="24" x14ac:dyDescent="0.25">
      <c r="A352" s="274" t="s">
        <v>103</v>
      </c>
      <c r="B352" s="434"/>
      <c r="C352" s="275" t="s">
        <v>313</v>
      </c>
      <c r="D352" s="276"/>
      <c r="E352" s="277"/>
      <c r="F352" s="331">
        <f t="shared" si="315"/>
        <v>0</v>
      </c>
      <c r="G352" s="278"/>
      <c r="H352" s="278"/>
      <c r="I352" s="350" t="str">
        <f>IFERROR(F352/#REF!,"-")</f>
        <v>-</v>
      </c>
      <c r="J352" s="331">
        <f t="shared" si="316"/>
        <v>0</v>
      </c>
      <c r="K352" s="278">
        <f t="shared" si="317"/>
        <v>0</v>
      </c>
      <c r="L352" s="432">
        <f t="shared" si="318"/>
        <v>0</v>
      </c>
      <c r="M352" s="335" t="str">
        <f t="shared" si="319"/>
        <v>-</v>
      </c>
      <c r="N352" s="263" t="str">
        <f t="shared" si="314"/>
        <v>-</v>
      </c>
      <c r="O352" s="504"/>
      <c r="P352" s="400">
        <f t="shared" si="320"/>
        <v>0</v>
      </c>
      <c r="Q352" s="445">
        <f t="shared" si="321"/>
        <v>0</v>
      </c>
    </row>
    <row r="353" spans="1:17" ht="24" x14ac:dyDescent="0.25">
      <c r="A353" s="274" t="s">
        <v>103</v>
      </c>
      <c r="B353" s="434"/>
      <c r="C353" s="275" t="s">
        <v>318</v>
      </c>
      <c r="D353" s="276"/>
      <c r="E353" s="277"/>
      <c r="F353" s="331">
        <f t="shared" si="315"/>
        <v>0</v>
      </c>
      <c r="G353" s="278"/>
      <c r="H353" s="278"/>
      <c r="I353" s="350" t="str">
        <f>IFERROR(F353/#REF!,"-")</f>
        <v>-</v>
      </c>
      <c r="J353" s="331">
        <f t="shared" si="316"/>
        <v>18064</v>
      </c>
      <c r="K353" s="278">
        <f t="shared" si="317"/>
        <v>18000</v>
      </c>
      <c r="L353" s="432">
        <f t="shared" si="318"/>
        <v>64</v>
      </c>
      <c r="M353" s="335" t="str">
        <f t="shared" si="319"/>
        <v>-</v>
      </c>
      <c r="N353" s="263">
        <f t="shared" si="314"/>
        <v>3.5429583702391498E-3</v>
      </c>
      <c r="O353" s="504">
        <v>12.029500000000001</v>
      </c>
      <c r="P353" s="400">
        <f t="shared" si="320"/>
        <v>0</v>
      </c>
      <c r="Q353" s="445">
        <f t="shared" si="321"/>
        <v>216531</v>
      </c>
    </row>
    <row r="354" spans="1:17" ht="24" x14ac:dyDescent="0.25">
      <c r="A354" s="274" t="s">
        <v>103</v>
      </c>
      <c r="B354" s="434"/>
      <c r="C354" s="275"/>
      <c r="D354" s="276"/>
      <c r="E354" s="277"/>
      <c r="F354" s="331">
        <f t="shared" si="315"/>
        <v>0</v>
      </c>
      <c r="G354" s="278"/>
      <c r="H354" s="278"/>
      <c r="I354" s="350" t="str">
        <f>IFERROR(F354/#REF!,"-")</f>
        <v>-</v>
      </c>
      <c r="J354" s="331">
        <f t="shared" si="316"/>
        <v>0</v>
      </c>
      <c r="K354" s="278">
        <f t="shared" si="317"/>
        <v>0</v>
      </c>
      <c r="L354" s="432">
        <f t="shared" si="318"/>
        <v>0</v>
      </c>
      <c r="M354" s="335" t="str">
        <f t="shared" si="319"/>
        <v>-</v>
      </c>
      <c r="N354" s="263" t="str">
        <f t="shared" si="314"/>
        <v>-</v>
      </c>
      <c r="O354" s="504"/>
      <c r="P354" s="400">
        <f t="shared" si="320"/>
        <v>0</v>
      </c>
      <c r="Q354" s="445">
        <f t="shared" si="321"/>
        <v>0</v>
      </c>
    </row>
    <row r="355" spans="1:17" ht="24.75" thickBot="1" x14ac:dyDescent="0.3">
      <c r="A355" s="274" t="s">
        <v>103</v>
      </c>
      <c r="B355" s="447"/>
      <c r="C355" s="279"/>
      <c r="D355" s="280">
        <v>0</v>
      </c>
      <c r="E355" s="281"/>
      <c r="F355" s="332">
        <f t="shared" si="315"/>
        <v>0</v>
      </c>
      <c r="G355" s="282"/>
      <c r="H355" s="282"/>
      <c r="I355" s="351" t="str">
        <f>IFERROR(F355/#REF!,"-")</f>
        <v>-</v>
      </c>
      <c r="J355" s="456">
        <f t="shared" si="316"/>
        <v>0</v>
      </c>
      <c r="K355" s="457">
        <f t="shared" si="317"/>
        <v>0</v>
      </c>
      <c r="L355" s="458">
        <f t="shared" si="318"/>
        <v>0</v>
      </c>
      <c r="M355" s="336" t="str">
        <f t="shared" si="319"/>
        <v>-</v>
      </c>
      <c r="N355" s="345" t="str">
        <f t="shared" si="314"/>
        <v>-</v>
      </c>
      <c r="O355" s="505"/>
      <c r="P355" s="401">
        <f t="shared" si="320"/>
        <v>0</v>
      </c>
      <c r="Q355" s="446">
        <f t="shared" si="321"/>
        <v>0</v>
      </c>
    </row>
    <row r="356" spans="1:17" ht="23.25" customHeight="1" thickBot="1" x14ac:dyDescent="0.3">
      <c r="A356" s="274" t="s">
        <v>103</v>
      </c>
      <c r="B356" s="923" t="s">
        <v>25</v>
      </c>
      <c r="C356" s="878"/>
      <c r="D356" s="319">
        <f t="shared" ref="D356" si="322">SUM(D349:D355)</f>
        <v>0</v>
      </c>
      <c r="E356" s="284">
        <v>100000</v>
      </c>
      <c r="F356" s="319">
        <f>SUM(F349:F355)</f>
        <v>73244</v>
      </c>
      <c r="G356" s="320">
        <f t="shared" ref="G356:H356" si="323">SUM(G349:G355)</f>
        <v>72960</v>
      </c>
      <c r="H356" s="320">
        <f t="shared" si="323"/>
        <v>284</v>
      </c>
      <c r="I356" s="343" t="str">
        <f>IFERROR(F356/#REF!,"-")</f>
        <v>-</v>
      </c>
      <c r="J356" s="319">
        <f t="shared" ref="J356:L356" si="324">SUM(J349:J355)</f>
        <v>118091</v>
      </c>
      <c r="K356" s="320">
        <f t="shared" si="324"/>
        <v>116880</v>
      </c>
      <c r="L356" s="321">
        <f t="shared" si="324"/>
        <v>1211</v>
      </c>
      <c r="M356" s="337" t="str">
        <f t="shared" si="319"/>
        <v>-</v>
      </c>
      <c r="N356" s="343">
        <f t="shared" si="314"/>
        <v>1.0254803498996537E-2</v>
      </c>
      <c r="O356" s="387"/>
      <c r="P356" s="402">
        <f t="shared" ref="P356:Q356" si="325">SUM(P349:P355)</f>
        <v>313225.53599999996</v>
      </c>
      <c r="Q356" s="421">
        <f t="shared" si="325"/>
        <v>1002319.608</v>
      </c>
    </row>
    <row r="357" spans="1:17" ht="23.25" customHeight="1" thickBot="1" x14ac:dyDescent="0.3">
      <c r="A357" s="274" t="s">
        <v>103</v>
      </c>
      <c r="B357" s="925" t="s">
        <v>172</v>
      </c>
      <c r="C357" s="926"/>
      <c r="D357" s="324">
        <f>+D348+D356</f>
        <v>0</v>
      </c>
      <c r="E357" s="325">
        <f t="shared" ref="E357:H357" si="326">+E348+E356</f>
        <v>115000</v>
      </c>
      <c r="F357" s="324">
        <f t="shared" si="326"/>
        <v>331954</v>
      </c>
      <c r="G357" s="322">
        <f t="shared" si="326"/>
        <v>314100</v>
      </c>
      <c r="H357" s="322">
        <f t="shared" si="326"/>
        <v>17854</v>
      </c>
      <c r="I357" s="347" t="str">
        <f>IFERROR(F357/#REF!,"-")</f>
        <v>-</v>
      </c>
      <c r="J357" s="324">
        <f t="shared" ref="J357:L357" si="327">+J348+J356</f>
        <v>1355890</v>
      </c>
      <c r="K357" s="322">
        <f t="shared" si="327"/>
        <v>1281770</v>
      </c>
      <c r="L357" s="323">
        <f t="shared" si="327"/>
        <v>74120</v>
      </c>
      <c r="M357" s="339" t="str">
        <f t="shared" si="319"/>
        <v>-</v>
      </c>
      <c r="N357" s="347">
        <f t="shared" si="314"/>
        <v>5.4665201454395268E-2</v>
      </c>
      <c r="O357" s="390"/>
      <c r="P357" s="406">
        <f t="shared" ref="P357:Q357" si="328">+P348+P356</f>
        <v>1242752.202</v>
      </c>
      <c r="Q357" s="424">
        <f t="shared" si="328"/>
        <v>5685642.5489999996</v>
      </c>
    </row>
    <row r="358" spans="1:17" ht="24" x14ac:dyDescent="0.25">
      <c r="A358" s="244" t="s">
        <v>101</v>
      </c>
      <c r="B358" s="574"/>
      <c r="C358" s="575" t="s">
        <v>282</v>
      </c>
      <c r="D358" s="522"/>
      <c r="E358" s="455"/>
      <c r="F358" s="453">
        <f>+G358+H358</f>
        <v>0</v>
      </c>
      <c r="G358" s="454"/>
      <c r="H358" s="454"/>
      <c r="I358" s="526" t="str">
        <f>IFERROR(F358/#REF!,"-")</f>
        <v>-</v>
      </c>
      <c r="J358" s="453">
        <f>+K358+L358</f>
        <v>0</v>
      </c>
      <c r="K358" s="454">
        <f t="shared" ref="K358:K364" si="329">+G358+K292</f>
        <v>0</v>
      </c>
      <c r="L358" s="455">
        <f t="shared" ref="L358:L364" si="330">+H358+L292</f>
        <v>0</v>
      </c>
      <c r="M358" s="579" t="str">
        <f>IFERROR(J358/D358,"-")</f>
        <v>-</v>
      </c>
      <c r="N358" s="528" t="str">
        <f t="shared" si="314"/>
        <v>-</v>
      </c>
      <c r="O358" s="617">
        <v>4.8285999999999998</v>
      </c>
      <c r="P358" s="529">
        <f t="shared" ref="P358:P360" si="331">+O358*G358</f>
        <v>0</v>
      </c>
      <c r="Q358" s="530">
        <f t="shared" ref="Q358:Q364" si="332">+O358*K358</f>
        <v>0</v>
      </c>
    </row>
    <row r="359" spans="1:17" ht="24" x14ac:dyDescent="0.25">
      <c r="A359" s="248" t="s">
        <v>101</v>
      </c>
      <c r="B359" s="576"/>
      <c r="C359" s="275" t="s">
        <v>283</v>
      </c>
      <c r="D359" s="276"/>
      <c r="E359" s="432"/>
      <c r="F359" s="331">
        <f t="shared" ref="F359:F360" si="333">+G359+H359</f>
        <v>0</v>
      </c>
      <c r="G359" s="278"/>
      <c r="H359" s="278"/>
      <c r="I359" s="350" t="str">
        <f>IFERROR(F359/#REF!,"-")</f>
        <v>-</v>
      </c>
      <c r="J359" s="331">
        <f t="shared" ref="J359:J364" si="334">+K359+L359</f>
        <v>0</v>
      </c>
      <c r="K359" s="278">
        <f t="shared" si="329"/>
        <v>0</v>
      </c>
      <c r="L359" s="432">
        <f t="shared" si="330"/>
        <v>0</v>
      </c>
      <c r="M359" s="335" t="str">
        <f t="shared" ref="M359:M361" si="335">IFERROR(J359/D359,"-")</f>
        <v>-</v>
      </c>
      <c r="N359" s="265" t="str">
        <f t="shared" si="314"/>
        <v>-</v>
      </c>
      <c r="O359" s="618">
        <v>1.4086000000000001</v>
      </c>
      <c r="P359" s="400">
        <f t="shared" si="331"/>
        <v>0</v>
      </c>
      <c r="Q359" s="445">
        <f t="shared" si="332"/>
        <v>0</v>
      </c>
    </row>
    <row r="360" spans="1:17" ht="24" x14ac:dyDescent="0.25">
      <c r="A360" s="248" t="s">
        <v>101</v>
      </c>
      <c r="B360" s="576"/>
      <c r="C360" s="275" t="s">
        <v>314</v>
      </c>
      <c r="D360" s="276"/>
      <c r="E360" s="432"/>
      <c r="F360" s="331">
        <f t="shared" si="333"/>
        <v>0</v>
      </c>
      <c r="G360" s="278"/>
      <c r="H360" s="278"/>
      <c r="I360" s="350" t="str">
        <f>IFERROR(F360/#REF!,"-")</f>
        <v>-</v>
      </c>
      <c r="J360" s="331">
        <f t="shared" si="334"/>
        <v>0</v>
      </c>
      <c r="K360" s="278">
        <f t="shared" si="329"/>
        <v>0</v>
      </c>
      <c r="L360" s="432">
        <f t="shared" si="330"/>
        <v>0</v>
      </c>
      <c r="M360" s="335" t="str">
        <f t="shared" si="335"/>
        <v>-</v>
      </c>
      <c r="N360" s="265" t="str">
        <f>IFERROR(L360/J360,"-")</f>
        <v>-</v>
      </c>
      <c r="O360" s="618">
        <v>2.2141000000000002</v>
      </c>
      <c r="P360" s="400">
        <f t="shared" si="331"/>
        <v>0</v>
      </c>
      <c r="Q360" s="445">
        <f t="shared" si="332"/>
        <v>0</v>
      </c>
    </row>
    <row r="361" spans="1:17" ht="24" x14ac:dyDescent="0.25">
      <c r="A361" s="248" t="s">
        <v>101</v>
      </c>
      <c r="B361" s="577"/>
      <c r="C361" s="275" t="s">
        <v>442</v>
      </c>
      <c r="D361" s="280"/>
      <c r="E361" s="523"/>
      <c r="F361" s="332">
        <f>+G361+H361</f>
        <v>0</v>
      </c>
      <c r="G361" s="282"/>
      <c r="H361" s="282"/>
      <c r="I361" s="351" t="str">
        <f>IFERROR(F361/#REF!,"-")</f>
        <v>-</v>
      </c>
      <c r="J361" s="331">
        <f t="shared" si="334"/>
        <v>483434</v>
      </c>
      <c r="K361" s="278">
        <f t="shared" si="329"/>
        <v>475750</v>
      </c>
      <c r="L361" s="432">
        <f t="shared" si="330"/>
        <v>7684</v>
      </c>
      <c r="M361" s="336" t="str">
        <f t="shared" si="335"/>
        <v>-</v>
      </c>
      <c r="N361" s="342">
        <f t="shared" ref="N361:N368" si="336">IFERROR(L361/J361,"-")</f>
        <v>1.5894620568681558E-2</v>
      </c>
      <c r="O361" s="618">
        <v>2.2141000000000002</v>
      </c>
      <c r="P361" s="401">
        <f>+O361*G361</f>
        <v>0</v>
      </c>
      <c r="Q361" s="446">
        <f t="shared" si="332"/>
        <v>1053358.0750000002</v>
      </c>
    </row>
    <row r="362" spans="1:17" ht="24" x14ac:dyDescent="0.25">
      <c r="A362" s="248" t="s">
        <v>101</v>
      </c>
      <c r="B362" s="436"/>
      <c r="C362" s="616" t="s">
        <v>351</v>
      </c>
      <c r="D362" s="506"/>
      <c r="E362" s="524"/>
      <c r="F362" s="331">
        <f t="shared" ref="F362:F364" si="337">+G362+H362</f>
        <v>0</v>
      </c>
      <c r="G362" s="540"/>
      <c r="H362" s="540"/>
      <c r="I362" s="350" t="str">
        <f>IFERROR(F362/#REF!,"-")</f>
        <v>-</v>
      </c>
      <c r="J362" s="331">
        <f t="shared" si="334"/>
        <v>0</v>
      </c>
      <c r="K362" s="278">
        <f t="shared" si="329"/>
        <v>0</v>
      </c>
      <c r="L362" s="432">
        <f t="shared" si="330"/>
        <v>0</v>
      </c>
      <c r="M362" s="643"/>
      <c r="N362" s="265" t="str">
        <f t="shared" si="336"/>
        <v>-</v>
      </c>
      <c r="O362" s="535">
        <v>4.8285999999999998</v>
      </c>
      <c r="P362" s="400">
        <f t="shared" ref="P362:P364" si="338">+O362*G362</f>
        <v>0</v>
      </c>
      <c r="Q362" s="445">
        <f t="shared" si="332"/>
        <v>0</v>
      </c>
    </row>
    <row r="363" spans="1:17" ht="24" x14ac:dyDescent="0.25">
      <c r="A363" s="248" t="s">
        <v>101</v>
      </c>
      <c r="B363" s="578"/>
      <c r="C363" s="616" t="s">
        <v>347</v>
      </c>
      <c r="D363" s="270"/>
      <c r="E363" s="431"/>
      <c r="F363" s="330">
        <f t="shared" si="337"/>
        <v>0</v>
      </c>
      <c r="G363" s="272"/>
      <c r="H363" s="272"/>
      <c r="I363" s="349" t="str">
        <f>IFERROR(F363/#REF!,"-")</f>
        <v>-</v>
      </c>
      <c r="J363" s="331">
        <f t="shared" si="334"/>
        <v>0</v>
      </c>
      <c r="K363" s="278">
        <f t="shared" si="329"/>
        <v>0</v>
      </c>
      <c r="L363" s="432">
        <f t="shared" si="330"/>
        <v>0</v>
      </c>
      <c r="M363" s="334" t="str">
        <f t="shared" ref="M363:M364" si="339">IFERROR(J363/D363,"-")</f>
        <v>-</v>
      </c>
      <c r="N363" s="344" t="str">
        <f t="shared" si="336"/>
        <v>-</v>
      </c>
      <c r="O363" s="503">
        <v>4.1712999999999996</v>
      </c>
      <c r="P363" s="398">
        <f t="shared" si="338"/>
        <v>0</v>
      </c>
      <c r="Q363" s="443">
        <f t="shared" si="332"/>
        <v>0</v>
      </c>
    </row>
    <row r="364" spans="1:17" ht="24.75" thickBot="1" x14ac:dyDescent="0.3">
      <c r="A364" s="248" t="s">
        <v>101</v>
      </c>
      <c r="B364" s="576"/>
      <c r="C364" s="275"/>
      <c r="D364" s="276"/>
      <c r="E364" s="432"/>
      <c r="F364" s="331">
        <f t="shared" si="337"/>
        <v>0</v>
      </c>
      <c r="G364" s="278"/>
      <c r="H364" s="278"/>
      <c r="I364" s="350" t="str">
        <f>IFERROR(F364/#REF!,"-")</f>
        <v>-</v>
      </c>
      <c r="J364" s="456">
        <f t="shared" si="334"/>
        <v>0</v>
      </c>
      <c r="K364" s="457">
        <f t="shared" si="329"/>
        <v>0</v>
      </c>
      <c r="L364" s="458">
        <f t="shared" si="330"/>
        <v>0</v>
      </c>
      <c r="M364" s="335" t="str">
        <f t="shared" si="339"/>
        <v>-</v>
      </c>
      <c r="N364" s="263" t="str">
        <f t="shared" si="336"/>
        <v>-</v>
      </c>
      <c r="O364" s="444"/>
      <c r="P364" s="400">
        <f t="shared" si="338"/>
        <v>0</v>
      </c>
      <c r="Q364" s="445">
        <f t="shared" si="332"/>
        <v>0</v>
      </c>
    </row>
    <row r="365" spans="1:17" ht="23.25" customHeight="1" thickBot="1" x14ac:dyDescent="0.3">
      <c r="A365" s="274" t="s">
        <v>101</v>
      </c>
      <c r="B365" s="923" t="s">
        <v>21</v>
      </c>
      <c r="C365" s="878"/>
      <c r="D365" s="319">
        <v>0</v>
      </c>
      <c r="E365" s="284">
        <v>15000</v>
      </c>
      <c r="F365" s="319">
        <f>SUM(F358:F364)</f>
        <v>0</v>
      </c>
      <c r="G365" s="320">
        <f t="shared" ref="G365:H365" si="340">SUM(G358:G364)</f>
        <v>0</v>
      </c>
      <c r="H365" s="320">
        <f t="shared" si="340"/>
        <v>0</v>
      </c>
      <c r="I365" s="343" t="str">
        <f>IFERROR(F365/#REF!,"-")</f>
        <v>-</v>
      </c>
      <c r="J365" s="509">
        <f t="shared" ref="J365" si="341">SUM(J358:J364)</f>
        <v>483434</v>
      </c>
      <c r="K365" s="515">
        <f>SUM(K358:K364)</f>
        <v>475750</v>
      </c>
      <c r="L365" s="515">
        <f>SUM(L358:L364)</f>
        <v>7684</v>
      </c>
      <c r="M365" s="337" t="str">
        <f>IFERROR(J365/D365,"-")</f>
        <v>-</v>
      </c>
      <c r="N365" s="343">
        <f t="shared" si="336"/>
        <v>1.5894620568681558E-2</v>
      </c>
      <c r="O365" s="387"/>
      <c r="P365" s="402">
        <f>SUM(P358:P364)</f>
        <v>0</v>
      </c>
      <c r="Q365" s="421">
        <f>SUM(Q358:Q364)</f>
        <v>1053358.0750000002</v>
      </c>
    </row>
    <row r="366" spans="1:17" ht="23.25" customHeight="1" thickBot="1" x14ac:dyDescent="0.3">
      <c r="A366" s="274" t="s">
        <v>101</v>
      </c>
      <c r="B366" s="925" t="s">
        <v>247</v>
      </c>
      <c r="C366" s="926"/>
      <c r="D366" s="508">
        <f>+D362+D365</f>
        <v>0</v>
      </c>
      <c r="E366" s="520">
        <f>+E362+E365</f>
        <v>15000</v>
      </c>
      <c r="F366" s="508">
        <f>+F362+F365</f>
        <v>0</v>
      </c>
      <c r="G366" s="510">
        <f>+G362+G365</f>
        <v>0</v>
      </c>
      <c r="H366" s="510">
        <f>+H362+H365</f>
        <v>0</v>
      </c>
      <c r="I366" s="511" t="str">
        <f>IFERROR(F366/#REF!,"-")</f>
        <v>-</v>
      </c>
      <c r="J366" s="508">
        <f>+J362+J365</f>
        <v>483434</v>
      </c>
      <c r="K366" s="510">
        <f>+K365</f>
        <v>475750</v>
      </c>
      <c r="L366" s="510">
        <f>+L365</f>
        <v>7684</v>
      </c>
      <c r="M366" s="512" t="str">
        <f t="shared" ref="M366" si="342">IFERROR(J366/D366,"-")</f>
        <v>-</v>
      </c>
      <c r="N366" s="511">
        <f t="shared" si="336"/>
        <v>1.5894620568681558E-2</v>
      </c>
      <c r="O366" s="513"/>
      <c r="P366" s="514">
        <f>+P365</f>
        <v>0</v>
      </c>
      <c r="Q366" s="514">
        <f>+Q365</f>
        <v>1053358.0750000002</v>
      </c>
    </row>
    <row r="367" spans="1:17" ht="24" x14ac:dyDescent="0.35">
      <c r="A367" s="244" t="s">
        <v>101</v>
      </c>
      <c r="B367" s="927" t="s">
        <v>249</v>
      </c>
      <c r="C367" s="536" t="s">
        <v>71</v>
      </c>
      <c r="D367" s="522"/>
      <c r="E367" s="455"/>
      <c r="F367" s="453">
        <f>+G367+H367</f>
        <v>0</v>
      </c>
      <c r="G367" s="454"/>
      <c r="H367" s="454"/>
      <c r="I367" s="526" t="str">
        <f>IFERROR(F367/#REF!,"-")</f>
        <v>-</v>
      </c>
      <c r="J367" s="453">
        <f>+K367+L367</f>
        <v>9098</v>
      </c>
      <c r="K367" s="454">
        <f t="shared" ref="K367:K400" si="343">+G367+K301</f>
        <v>9000</v>
      </c>
      <c r="L367" s="455">
        <f t="shared" ref="L367:L400" si="344">+H367+L301</f>
        <v>98</v>
      </c>
      <c r="M367" s="579" t="str">
        <f>IFERROR(J367/D367,"-")</f>
        <v>-</v>
      </c>
      <c r="N367" s="528">
        <f t="shared" si="336"/>
        <v>1.0771598153440316E-2</v>
      </c>
      <c r="O367" s="533">
        <v>32.946300000000001</v>
      </c>
      <c r="P367" s="529">
        <f t="shared" ref="P367:P400" si="345">+O367*G367</f>
        <v>0</v>
      </c>
      <c r="Q367" s="530">
        <f t="shared" ref="Q367:Q400" si="346">+O367*K367</f>
        <v>296516.7</v>
      </c>
    </row>
    <row r="368" spans="1:17" ht="24" x14ac:dyDescent="0.35">
      <c r="A368" s="248" t="s">
        <v>101</v>
      </c>
      <c r="B368" s="928"/>
      <c r="C368" s="537" t="s">
        <v>72</v>
      </c>
      <c r="D368" s="507"/>
      <c r="E368" s="432"/>
      <c r="F368" s="331">
        <f t="shared" ref="F368:F400" si="347">+G368+H368</f>
        <v>0</v>
      </c>
      <c r="G368" s="278"/>
      <c r="H368" s="278"/>
      <c r="I368" s="350" t="str">
        <f>IFERROR(F368/#REF!,"-")</f>
        <v>-</v>
      </c>
      <c r="J368" s="331">
        <f t="shared" ref="J368:J400" si="348">+K368+L368</f>
        <v>0</v>
      </c>
      <c r="K368" s="278">
        <f t="shared" si="343"/>
        <v>0</v>
      </c>
      <c r="L368" s="432">
        <f t="shared" si="344"/>
        <v>0</v>
      </c>
      <c r="M368" s="335" t="str">
        <f t="shared" ref="M368:M370" si="349">IFERROR(J368/D368,"-")</f>
        <v>-</v>
      </c>
      <c r="N368" s="265" t="str">
        <f t="shared" si="336"/>
        <v>-</v>
      </c>
      <c r="O368" s="504">
        <v>35.398400000000002</v>
      </c>
      <c r="P368" s="400">
        <f t="shared" si="345"/>
        <v>0</v>
      </c>
      <c r="Q368" s="445">
        <f t="shared" si="346"/>
        <v>0</v>
      </c>
    </row>
    <row r="369" spans="1:17" ht="24.75" thickBot="1" x14ac:dyDescent="0.4">
      <c r="A369" s="248" t="s">
        <v>101</v>
      </c>
      <c r="B369" s="929"/>
      <c r="C369" s="537" t="s">
        <v>450</v>
      </c>
      <c r="D369" s="276"/>
      <c r="E369" s="432"/>
      <c r="F369" s="331">
        <f t="shared" si="347"/>
        <v>0</v>
      </c>
      <c r="G369" s="278"/>
      <c r="H369" s="278"/>
      <c r="I369" s="350" t="str">
        <f>IFERROR(F369/#REF!,"-")</f>
        <v>-</v>
      </c>
      <c r="J369" s="331">
        <f t="shared" si="348"/>
        <v>0</v>
      </c>
      <c r="K369" s="278">
        <f t="shared" si="343"/>
        <v>0</v>
      </c>
      <c r="L369" s="432">
        <f t="shared" si="344"/>
        <v>0</v>
      </c>
      <c r="M369" s="335" t="str">
        <f t="shared" si="349"/>
        <v>-</v>
      </c>
      <c r="N369" s="265" t="str">
        <f>IFERROR(L369/J369,"-")</f>
        <v>-</v>
      </c>
      <c r="O369" s="504">
        <v>35.398400000000002</v>
      </c>
      <c r="P369" s="400">
        <f t="shared" si="345"/>
        <v>0</v>
      </c>
      <c r="Q369" s="445">
        <f t="shared" si="346"/>
        <v>0</v>
      </c>
    </row>
    <row r="370" spans="1:17" ht="24" x14ac:dyDescent="0.35">
      <c r="A370" s="248" t="s">
        <v>101</v>
      </c>
      <c r="B370" s="927" t="s">
        <v>250</v>
      </c>
      <c r="C370" s="538" t="s">
        <v>75</v>
      </c>
      <c r="D370" s="276"/>
      <c r="E370" s="523"/>
      <c r="F370" s="332">
        <f t="shared" si="347"/>
        <v>0</v>
      </c>
      <c r="G370" s="278"/>
      <c r="H370" s="278"/>
      <c r="I370" s="350" t="str">
        <f>IFERROR(F370/#REF!,"-")</f>
        <v>-</v>
      </c>
      <c r="J370" s="331">
        <f t="shared" si="348"/>
        <v>681</v>
      </c>
      <c r="K370" s="278">
        <f t="shared" si="343"/>
        <v>592</v>
      </c>
      <c r="L370" s="432">
        <f t="shared" si="344"/>
        <v>89</v>
      </c>
      <c r="M370" s="335" t="str">
        <f t="shared" si="349"/>
        <v>-</v>
      </c>
      <c r="N370" s="265">
        <f t="shared" ref="N370" si="350">IFERROR(L370/J370,"-")</f>
        <v>0.13069016152716592</v>
      </c>
      <c r="O370" s="504">
        <v>55.4758</v>
      </c>
      <c r="P370" s="400">
        <f t="shared" si="345"/>
        <v>0</v>
      </c>
      <c r="Q370" s="445">
        <f t="shared" si="346"/>
        <v>32841.673600000002</v>
      </c>
    </row>
    <row r="371" spans="1:17" ht="24" x14ac:dyDescent="0.35">
      <c r="A371" s="248" t="s">
        <v>101</v>
      </c>
      <c r="B371" s="928"/>
      <c r="C371" s="538" t="s">
        <v>72</v>
      </c>
      <c r="D371" s="276"/>
      <c r="E371" s="524"/>
      <c r="F371" s="332">
        <f t="shared" si="347"/>
        <v>0</v>
      </c>
      <c r="G371" s="278"/>
      <c r="H371" s="278"/>
      <c r="I371" s="350" t="str">
        <f>IFERROR(F371/#REF!,"-")</f>
        <v>-</v>
      </c>
      <c r="J371" s="331">
        <f t="shared" si="348"/>
        <v>0</v>
      </c>
      <c r="K371" s="278">
        <f t="shared" si="343"/>
        <v>0</v>
      </c>
      <c r="L371" s="432">
        <f t="shared" si="344"/>
        <v>0</v>
      </c>
      <c r="M371" s="643"/>
      <c r="N371" s="370"/>
      <c r="O371" s="535">
        <v>58.836300000000001</v>
      </c>
      <c r="P371" s="400">
        <f t="shared" si="345"/>
        <v>0</v>
      </c>
      <c r="Q371" s="445">
        <f t="shared" si="346"/>
        <v>0</v>
      </c>
    </row>
    <row r="372" spans="1:17" ht="24" x14ac:dyDescent="0.35">
      <c r="A372" s="248" t="s">
        <v>101</v>
      </c>
      <c r="B372" s="928"/>
      <c r="C372" s="538" t="s">
        <v>345</v>
      </c>
      <c r="D372" s="276"/>
      <c r="E372" s="431"/>
      <c r="F372" s="332">
        <f t="shared" si="347"/>
        <v>0</v>
      </c>
      <c r="G372" s="278"/>
      <c r="H372" s="278"/>
      <c r="I372" s="350" t="str">
        <f>IFERROR(F372/#REF!,"-")</f>
        <v>-</v>
      </c>
      <c r="J372" s="331">
        <f t="shared" si="348"/>
        <v>0</v>
      </c>
      <c r="K372" s="278">
        <f t="shared" si="343"/>
        <v>0</v>
      </c>
      <c r="L372" s="432">
        <f t="shared" si="344"/>
        <v>0</v>
      </c>
      <c r="M372" s="335" t="str">
        <f t="shared" ref="M372" si="351">IFERROR(J372/D372,"-")</f>
        <v>-</v>
      </c>
      <c r="N372" s="263" t="str">
        <f t="shared" ref="N372" si="352">IFERROR(L372/J372,"-")</f>
        <v>-</v>
      </c>
      <c r="O372" s="670">
        <v>58.836300000000001</v>
      </c>
      <c r="P372" s="400">
        <f t="shared" si="345"/>
        <v>0</v>
      </c>
      <c r="Q372" s="445">
        <f t="shared" si="346"/>
        <v>0</v>
      </c>
    </row>
    <row r="373" spans="1:17" ht="24.75" thickBot="1" x14ac:dyDescent="0.4">
      <c r="A373" s="248"/>
      <c r="B373" s="929"/>
      <c r="C373" s="538" t="s">
        <v>359</v>
      </c>
      <c r="D373" s="276"/>
      <c r="E373" s="431"/>
      <c r="F373" s="332">
        <f t="shared" si="347"/>
        <v>0</v>
      </c>
      <c r="G373" s="278"/>
      <c r="H373" s="278"/>
      <c r="I373" s="350"/>
      <c r="J373" s="331">
        <f t="shared" si="348"/>
        <v>0</v>
      </c>
      <c r="K373" s="278">
        <f t="shared" si="343"/>
        <v>0</v>
      </c>
      <c r="L373" s="432">
        <f t="shared" si="344"/>
        <v>0</v>
      </c>
      <c r="M373" s="335"/>
      <c r="N373" s="263" t="str">
        <f>IFERROR(L373/J373,"-")</f>
        <v>-</v>
      </c>
      <c r="O373" s="504">
        <v>55.4758</v>
      </c>
      <c r="P373" s="400">
        <f t="shared" si="345"/>
        <v>0</v>
      </c>
      <c r="Q373" s="445">
        <f t="shared" si="346"/>
        <v>0</v>
      </c>
    </row>
    <row r="374" spans="1:17" ht="24" x14ac:dyDescent="0.35">
      <c r="A374" s="248" t="s">
        <v>101</v>
      </c>
      <c r="B374" s="927" t="s">
        <v>407</v>
      </c>
      <c r="C374" s="537" t="s">
        <v>77</v>
      </c>
      <c r="D374" s="276"/>
      <c r="E374" s="432"/>
      <c r="F374" s="331">
        <f t="shared" si="347"/>
        <v>0</v>
      </c>
      <c r="G374" s="278"/>
      <c r="H374" s="278"/>
      <c r="I374" s="350" t="str">
        <f>IFERROR(F374/#REF!,"-")</f>
        <v>-</v>
      </c>
      <c r="J374" s="331">
        <f t="shared" si="348"/>
        <v>0</v>
      </c>
      <c r="K374" s="647">
        <f t="shared" si="343"/>
        <v>0</v>
      </c>
      <c r="L374" s="648">
        <f t="shared" si="344"/>
        <v>0</v>
      </c>
      <c r="M374" s="335" t="str">
        <f t="shared" ref="M374:M403" si="353">IFERROR(J374/D374,"-")</f>
        <v>-</v>
      </c>
      <c r="N374" s="263" t="str">
        <f t="shared" ref="N374:N402" si="354">IFERROR(L374/J374,"-")</f>
        <v>-</v>
      </c>
      <c r="O374" s="504">
        <v>25.687200000000001</v>
      </c>
      <c r="P374" s="400">
        <f t="shared" si="345"/>
        <v>0</v>
      </c>
      <c r="Q374" s="445">
        <f t="shared" si="346"/>
        <v>0</v>
      </c>
    </row>
    <row r="375" spans="1:17" ht="24.75" thickBot="1" x14ac:dyDescent="0.4">
      <c r="A375" s="248" t="s">
        <v>101</v>
      </c>
      <c r="B375" s="929"/>
      <c r="C375" s="537" t="s">
        <v>117</v>
      </c>
      <c r="D375" s="276"/>
      <c r="E375" s="432"/>
      <c r="F375" s="331">
        <f t="shared" si="347"/>
        <v>0</v>
      </c>
      <c r="G375" s="278"/>
      <c r="H375" s="278"/>
      <c r="I375" s="350" t="str">
        <f>IFERROR(F375/#REF!,"-")</f>
        <v>-</v>
      </c>
      <c r="J375" s="331">
        <f t="shared" si="348"/>
        <v>0</v>
      </c>
      <c r="K375" s="278">
        <f t="shared" si="343"/>
        <v>0</v>
      </c>
      <c r="L375" s="432">
        <f t="shared" si="344"/>
        <v>0</v>
      </c>
      <c r="M375" s="335" t="str">
        <f t="shared" si="353"/>
        <v>-</v>
      </c>
      <c r="N375" s="263" t="str">
        <f t="shared" si="354"/>
        <v>-</v>
      </c>
      <c r="O375" s="504">
        <v>25.033899999999999</v>
      </c>
      <c r="P375" s="400">
        <f t="shared" si="345"/>
        <v>0</v>
      </c>
      <c r="Q375" s="445">
        <f t="shared" si="346"/>
        <v>0</v>
      </c>
    </row>
    <row r="376" spans="1:17" ht="24" x14ac:dyDescent="0.35">
      <c r="A376" s="248"/>
      <c r="B376" s="927" t="s">
        <v>408</v>
      </c>
      <c r="C376" s="537" t="s">
        <v>79</v>
      </c>
      <c r="D376" s="276"/>
      <c r="E376" s="432"/>
      <c r="F376" s="331">
        <f t="shared" si="347"/>
        <v>0</v>
      </c>
      <c r="G376" s="278"/>
      <c r="H376" s="278"/>
      <c r="I376" s="350" t="str">
        <f>IFERROR(F376/#REF!,"-")</f>
        <v>-</v>
      </c>
      <c r="J376" s="331">
        <f t="shared" si="348"/>
        <v>5814</v>
      </c>
      <c r="K376" s="278">
        <f t="shared" si="343"/>
        <v>5767</v>
      </c>
      <c r="L376" s="432">
        <f t="shared" si="344"/>
        <v>47</v>
      </c>
      <c r="M376" s="335" t="str">
        <f t="shared" si="353"/>
        <v>-</v>
      </c>
      <c r="N376" s="263">
        <f t="shared" si="354"/>
        <v>8.0839353285173717E-3</v>
      </c>
      <c r="O376" s="504">
        <v>41.992699999999999</v>
      </c>
      <c r="P376" s="400">
        <f t="shared" si="345"/>
        <v>0</v>
      </c>
      <c r="Q376" s="445">
        <f t="shared" si="346"/>
        <v>242171.90090000001</v>
      </c>
    </row>
    <row r="377" spans="1:17" ht="24" x14ac:dyDescent="0.35">
      <c r="A377" s="248"/>
      <c r="B377" s="928"/>
      <c r="C377" s="537" t="s">
        <v>72</v>
      </c>
      <c r="D377" s="276"/>
      <c r="E377" s="432"/>
      <c r="F377" s="331">
        <f t="shared" si="347"/>
        <v>0</v>
      </c>
      <c r="G377" s="278"/>
      <c r="H377" s="278"/>
      <c r="I377" s="350" t="str">
        <f>IFERROR(F377/#REF!,"-")</f>
        <v>-</v>
      </c>
      <c r="J377" s="331">
        <f t="shared" si="348"/>
        <v>0</v>
      </c>
      <c r="K377" s="278">
        <f t="shared" si="343"/>
        <v>0</v>
      </c>
      <c r="L377" s="432">
        <f t="shared" si="344"/>
        <v>0</v>
      </c>
      <c r="M377" s="335" t="str">
        <f t="shared" si="353"/>
        <v>-</v>
      </c>
      <c r="N377" s="263" t="str">
        <f t="shared" si="354"/>
        <v>-</v>
      </c>
      <c r="O377" s="504">
        <v>42.283799999999999</v>
      </c>
      <c r="P377" s="400">
        <f t="shared" si="345"/>
        <v>0</v>
      </c>
      <c r="Q377" s="445">
        <f t="shared" si="346"/>
        <v>0</v>
      </c>
    </row>
    <row r="378" spans="1:17" ht="24" x14ac:dyDescent="0.35">
      <c r="A378" s="248"/>
      <c r="B378" s="928"/>
      <c r="C378" s="537" t="s">
        <v>378</v>
      </c>
      <c r="D378" s="276"/>
      <c r="E378" s="432"/>
      <c r="F378" s="331">
        <f t="shared" si="347"/>
        <v>0</v>
      </c>
      <c r="G378" s="278"/>
      <c r="H378" s="278"/>
      <c r="I378" s="350" t="str">
        <f>IFERROR(F378/#REF!,"-")</f>
        <v>-</v>
      </c>
      <c r="J378" s="331">
        <f t="shared" si="348"/>
        <v>1476</v>
      </c>
      <c r="K378" s="278">
        <f t="shared" si="343"/>
        <v>1476</v>
      </c>
      <c r="L378" s="432">
        <f t="shared" si="344"/>
        <v>0</v>
      </c>
      <c r="M378" s="335" t="str">
        <f t="shared" si="353"/>
        <v>-</v>
      </c>
      <c r="N378" s="263">
        <f t="shared" si="354"/>
        <v>0</v>
      </c>
      <c r="O378" s="670">
        <v>41.992699999999999</v>
      </c>
      <c r="P378" s="400">
        <f t="shared" si="345"/>
        <v>0</v>
      </c>
      <c r="Q378" s="445">
        <f t="shared" si="346"/>
        <v>61981.225200000001</v>
      </c>
    </row>
    <row r="379" spans="1:17" ht="24.75" thickBot="1" x14ac:dyDescent="0.4">
      <c r="A379" s="248"/>
      <c r="B379" s="929"/>
      <c r="C379" s="537" t="s">
        <v>379</v>
      </c>
      <c r="D379" s="276"/>
      <c r="E379" s="432"/>
      <c r="F379" s="331">
        <f t="shared" si="347"/>
        <v>0</v>
      </c>
      <c r="G379" s="278"/>
      <c r="H379" s="278"/>
      <c r="I379" s="350" t="str">
        <f>IFERROR(F379/#REF!,"-")</f>
        <v>-</v>
      </c>
      <c r="J379" s="331">
        <f t="shared" si="348"/>
        <v>3340</v>
      </c>
      <c r="K379" s="278">
        <f t="shared" si="343"/>
        <v>3337</v>
      </c>
      <c r="L379" s="432">
        <f t="shared" si="344"/>
        <v>3</v>
      </c>
      <c r="M379" s="335" t="str">
        <f t="shared" si="353"/>
        <v>-</v>
      </c>
      <c r="N379" s="263">
        <f t="shared" si="354"/>
        <v>8.9820359281437125E-4</v>
      </c>
      <c r="O379" s="670">
        <v>41.992699999999999</v>
      </c>
      <c r="P379" s="400">
        <f t="shared" si="345"/>
        <v>0</v>
      </c>
      <c r="Q379" s="445">
        <f t="shared" si="346"/>
        <v>140129.63990000001</v>
      </c>
    </row>
    <row r="380" spans="1:17" ht="24.75" thickBot="1" x14ac:dyDescent="0.4">
      <c r="A380" s="248"/>
      <c r="B380" s="677" t="s">
        <v>80</v>
      </c>
      <c r="C380" s="537" t="s">
        <v>81</v>
      </c>
      <c r="D380" s="276"/>
      <c r="E380" s="432"/>
      <c r="F380" s="331">
        <f t="shared" si="347"/>
        <v>0</v>
      </c>
      <c r="G380" s="278"/>
      <c r="H380" s="278"/>
      <c r="I380" s="350" t="str">
        <f>IFERROR(F380/#REF!,"-")</f>
        <v>-</v>
      </c>
      <c r="J380" s="331">
        <f t="shared" si="348"/>
        <v>0</v>
      </c>
      <c r="K380" s="278">
        <f t="shared" si="343"/>
        <v>0</v>
      </c>
      <c r="L380" s="432">
        <f t="shared" si="344"/>
        <v>0</v>
      </c>
      <c r="M380" s="335" t="str">
        <f t="shared" si="353"/>
        <v>-</v>
      </c>
      <c r="N380" s="263" t="str">
        <f t="shared" si="354"/>
        <v>-</v>
      </c>
      <c r="O380" s="504">
        <v>4.3535000000000004</v>
      </c>
      <c r="P380" s="400">
        <f t="shared" si="345"/>
        <v>0</v>
      </c>
      <c r="Q380" s="445">
        <f t="shared" si="346"/>
        <v>0</v>
      </c>
    </row>
    <row r="381" spans="1:17" ht="24" x14ac:dyDescent="0.35">
      <c r="A381" s="248"/>
      <c r="B381" s="927" t="s">
        <v>252</v>
      </c>
      <c r="C381" s="537" t="s">
        <v>77</v>
      </c>
      <c r="D381" s="276"/>
      <c r="E381" s="432"/>
      <c r="F381" s="331">
        <f t="shared" si="347"/>
        <v>69586</v>
      </c>
      <c r="G381" s="278">
        <v>68800</v>
      </c>
      <c r="H381" s="278">
        <v>786</v>
      </c>
      <c r="I381" s="350" t="str">
        <f>IFERROR(F381/#REF!,"-")</f>
        <v>-</v>
      </c>
      <c r="J381" s="331">
        <f t="shared" si="348"/>
        <v>304102</v>
      </c>
      <c r="K381" s="278">
        <f t="shared" si="343"/>
        <v>299800</v>
      </c>
      <c r="L381" s="432">
        <f t="shared" si="344"/>
        <v>4302</v>
      </c>
      <c r="M381" s="335" t="str">
        <f t="shared" si="353"/>
        <v>-</v>
      </c>
      <c r="N381" s="263">
        <f t="shared" si="354"/>
        <v>1.4146569243214448E-2</v>
      </c>
      <c r="O381" s="504">
        <v>4.6184000000000003</v>
      </c>
      <c r="P381" s="400">
        <f t="shared" si="345"/>
        <v>317745.92000000004</v>
      </c>
      <c r="Q381" s="445">
        <f t="shared" si="346"/>
        <v>1384596.32</v>
      </c>
    </row>
    <row r="382" spans="1:17" ht="24" x14ac:dyDescent="0.35">
      <c r="A382" s="248"/>
      <c r="B382" s="928"/>
      <c r="C382" s="537" t="s">
        <v>338</v>
      </c>
      <c r="D382" s="276"/>
      <c r="E382" s="432"/>
      <c r="F382" s="331">
        <f t="shared" si="347"/>
        <v>0</v>
      </c>
      <c r="G382" s="278"/>
      <c r="H382" s="278"/>
      <c r="I382" s="350" t="str">
        <f>IFERROR(F382/#REF!,"-")</f>
        <v>-</v>
      </c>
      <c r="J382" s="331">
        <f t="shared" si="348"/>
        <v>0</v>
      </c>
      <c r="K382" s="278">
        <f t="shared" si="343"/>
        <v>0</v>
      </c>
      <c r="L382" s="432">
        <f t="shared" si="344"/>
        <v>0</v>
      </c>
      <c r="M382" s="335" t="str">
        <f t="shared" si="353"/>
        <v>-</v>
      </c>
      <c r="N382" s="263" t="str">
        <f t="shared" si="354"/>
        <v>-</v>
      </c>
      <c r="O382" s="504">
        <v>4.6184000000000003</v>
      </c>
      <c r="P382" s="400">
        <f t="shared" si="345"/>
        <v>0</v>
      </c>
      <c r="Q382" s="445">
        <f t="shared" si="346"/>
        <v>0</v>
      </c>
    </row>
    <row r="383" spans="1:17" ht="24" x14ac:dyDescent="0.35">
      <c r="A383" s="248"/>
      <c r="B383" s="928"/>
      <c r="C383" s="537" t="s">
        <v>251</v>
      </c>
      <c r="D383" s="276"/>
      <c r="E383" s="432"/>
      <c r="F383" s="331">
        <f t="shared" si="347"/>
        <v>0</v>
      </c>
      <c r="G383" s="278"/>
      <c r="H383" s="278"/>
      <c r="I383" s="350" t="str">
        <f>IFERROR(F383/#REF!,"-")</f>
        <v>-</v>
      </c>
      <c r="J383" s="331">
        <f t="shared" si="348"/>
        <v>0</v>
      </c>
      <c r="K383" s="278">
        <f t="shared" si="343"/>
        <v>0</v>
      </c>
      <c r="L383" s="432">
        <f t="shared" si="344"/>
        <v>0</v>
      </c>
      <c r="M383" s="335" t="str">
        <f t="shared" si="353"/>
        <v>-</v>
      </c>
      <c r="N383" s="263" t="str">
        <f t="shared" si="354"/>
        <v>-</v>
      </c>
      <c r="O383" s="504">
        <v>4.6184000000000003</v>
      </c>
      <c r="P383" s="400">
        <f t="shared" si="345"/>
        <v>0</v>
      </c>
      <c r="Q383" s="445">
        <f t="shared" si="346"/>
        <v>0</v>
      </c>
    </row>
    <row r="384" spans="1:17" ht="24" x14ac:dyDescent="0.35">
      <c r="A384" s="248"/>
      <c r="B384" s="928"/>
      <c r="C384" s="537" t="s">
        <v>348</v>
      </c>
      <c r="D384" s="276"/>
      <c r="E384" s="432"/>
      <c r="F384" s="331">
        <f t="shared" si="347"/>
        <v>0</v>
      </c>
      <c r="G384" s="278"/>
      <c r="H384" s="278"/>
      <c r="I384" s="350" t="str">
        <f>IFERROR(F384/#REF!,"-")</f>
        <v>-</v>
      </c>
      <c r="J384" s="331">
        <f t="shared" si="348"/>
        <v>0</v>
      </c>
      <c r="K384" s="647">
        <f t="shared" si="343"/>
        <v>0</v>
      </c>
      <c r="L384" s="648">
        <f t="shared" si="344"/>
        <v>0</v>
      </c>
      <c r="M384" s="335" t="str">
        <f t="shared" si="353"/>
        <v>-</v>
      </c>
      <c r="N384" s="263" t="str">
        <f t="shared" si="354"/>
        <v>-</v>
      </c>
      <c r="O384" s="504">
        <v>4.7636000000000003</v>
      </c>
      <c r="P384" s="400">
        <f t="shared" si="345"/>
        <v>0</v>
      </c>
      <c r="Q384" s="445">
        <f t="shared" si="346"/>
        <v>0</v>
      </c>
    </row>
    <row r="385" spans="1:17" ht="24.75" thickBot="1" x14ac:dyDescent="0.4">
      <c r="A385" s="248"/>
      <c r="B385" s="929"/>
      <c r="C385" s="537" t="s">
        <v>344</v>
      </c>
      <c r="D385" s="276"/>
      <c r="E385" s="432"/>
      <c r="F385" s="331">
        <f t="shared" si="347"/>
        <v>0</v>
      </c>
      <c r="G385" s="278"/>
      <c r="H385" s="278"/>
      <c r="I385" s="350" t="str">
        <f>IFERROR(F385/#REF!,"-")</f>
        <v>-</v>
      </c>
      <c r="J385" s="331">
        <f t="shared" si="348"/>
        <v>0</v>
      </c>
      <c r="K385" s="278">
        <f t="shared" si="343"/>
        <v>0</v>
      </c>
      <c r="L385" s="432">
        <f t="shared" si="344"/>
        <v>0</v>
      </c>
      <c r="M385" s="335" t="str">
        <f t="shared" si="353"/>
        <v>-</v>
      </c>
      <c r="N385" s="263" t="str">
        <f t="shared" si="354"/>
        <v>-</v>
      </c>
      <c r="O385" s="504">
        <v>4.8738000000000001</v>
      </c>
      <c r="P385" s="400">
        <f t="shared" si="345"/>
        <v>0</v>
      </c>
      <c r="Q385" s="445">
        <f t="shared" si="346"/>
        <v>0</v>
      </c>
    </row>
    <row r="386" spans="1:17" ht="24.75" thickBot="1" x14ac:dyDescent="0.4">
      <c r="A386" s="248"/>
      <c r="B386" s="677" t="s">
        <v>253</v>
      </c>
      <c r="C386" s="537" t="s">
        <v>124</v>
      </c>
      <c r="D386" s="276"/>
      <c r="E386" s="432"/>
      <c r="F386" s="331">
        <f t="shared" si="347"/>
        <v>0</v>
      </c>
      <c r="G386" s="278"/>
      <c r="H386" s="278"/>
      <c r="I386" s="350" t="str">
        <f>IFERROR(F386/#REF!,"-")</f>
        <v>-</v>
      </c>
      <c r="J386" s="331">
        <f t="shared" si="348"/>
        <v>0</v>
      </c>
      <c r="K386" s="278">
        <f t="shared" si="343"/>
        <v>0</v>
      </c>
      <c r="L386" s="432">
        <f t="shared" si="344"/>
        <v>0</v>
      </c>
      <c r="M386" s="335" t="str">
        <f t="shared" si="353"/>
        <v>-</v>
      </c>
      <c r="N386" s="263" t="str">
        <f t="shared" si="354"/>
        <v>-</v>
      </c>
      <c r="O386" s="504">
        <v>4.8738000000000001</v>
      </c>
      <c r="P386" s="400">
        <f t="shared" si="345"/>
        <v>0</v>
      </c>
      <c r="Q386" s="445">
        <f t="shared" si="346"/>
        <v>0</v>
      </c>
    </row>
    <row r="387" spans="1:17" ht="24" x14ac:dyDescent="0.35">
      <c r="A387" s="248"/>
      <c r="B387" s="927" t="s">
        <v>255</v>
      </c>
      <c r="C387" s="537" t="s">
        <v>77</v>
      </c>
      <c r="D387" s="276"/>
      <c r="E387" s="432"/>
      <c r="F387" s="331">
        <f t="shared" si="347"/>
        <v>38741</v>
      </c>
      <c r="G387" s="278">
        <v>37800</v>
      </c>
      <c r="H387" s="278">
        <v>941</v>
      </c>
      <c r="I387" s="350" t="str">
        <f>IFERROR(F387/#REF!,"-")</f>
        <v>-</v>
      </c>
      <c r="J387" s="331">
        <f t="shared" si="348"/>
        <v>257174</v>
      </c>
      <c r="K387" s="679">
        <f t="shared" si="343"/>
        <v>251300</v>
      </c>
      <c r="L387" s="807">
        <f t="shared" si="344"/>
        <v>5874</v>
      </c>
      <c r="M387" s="335" t="str">
        <f t="shared" si="353"/>
        <v>-</v>
      </c>
      <c r="N387" s="263">
        <f t="shared" si="354"/>
        <v>2.2840567086875034E-2</v>
      </c>
      <c r="O387" s="504">
        <v>4.9344999999999999</v>
      </c>
      <c r="P387" s="400">
        <f t="shared" si="345"/>
        <v>186524.1</v>
      </c>
      <c r="Q387" s="445">
        <f t="shared" si="346"/>
        <v>1240039.8499999999</v>
      </c>
    </row>
    <row r="388" spans="1:17" ht="24" x14ac:dyDescent="0.35">
      <c r="A388" s="248"/>
      <c r="B388" s="928"/>
      <c r="C388" s="537" t="s">
        <v>135</v>
      </c>
      <c r="D388" s="276"/>
      <c r="E388" s="432"/>
      <c r="F388" s="331">
        <f t="shared" si="347"/>
        <v>0</v>
      </c>
      <c r="G388" s="278"/>
      <c r="H388" s="278"/>
      <c r="I388" s="350" t="str">
        <f>IFERROR(F388/#REF!,"-")</f>
        <v>-</v>
      </c>
      <c r="J388" s="331">
        <f t="shared" si="348"/>
        <v>0</v>
      </c>
      <c r="K388" s="278">
        <f t="shared" si="343"/>
        <v>0</v>
      </c>
      <c r="L388" s="432">
        <f t="shared" si="344"/>
        <v>0</v>
      </c>
      <c r="M388" s="335" t="str">
        <f t="shared" si="353"/>
        <v>-</v>
      </c>
      <c r="N388" s="263" t="str">
        <f t="shared" si="354"/>
        <v>-</v>
      </c>
      <c r="O388" s="504">
        <v>4.9344999999999999</v>
      </c>
      <c r="P388" s="400">
        <f t="shared" si="345"/>
        <v>0</v>
      </c>
      <c r="Q388" s="445">
        <f t="shared" si="346"/>
        <v>0</v>
      </c>
    </row>
    <row r="389" spans="1:17" ht="24" x14ac:dyDescent="0.35">
      <c r="A389" s="248"/>
      <c r="B389" s="928"/>
      <c r="C389" s="537" t="s">
        <v>129</v>
      </c>
      <c r="D389" s="276"/>
      <c r="E389" s="432"/>
      <c r="F389" s="331">
        <f t="shared" si="347"/>
        <v>0</v>
      </c>
      <c r="G389" s="278"/>
      <c r="H389" s="278"/>
      <c r="I389" s="350" t="str">
        <f>IFERROR(F389/#REF!,"-")</f>
        <v>-</v>
      </c>
      <c r="J389" s="331">
        <f t="shared" si="348"/>
        <v>0</v>
      </c>
      <c r="K389" s="278">
        <f t="shared" si="343"/>
        <v>0</v>
      </c>
      <c r="L389" s="432">
        <f t="shared" si="344"/>
        <v>0</v>
      </c>
      <c r="M389" s="335" t="str">
        <f t="shared" si="353"/>
        <v>-</v>
      </c>
      <c r="N389" s="263" t="str">
        <f t="shared" si="354"/>
        <v>-</v>
      </c>
      <c r="O389" s="504">
        <v>4.9344999999999999</v>
      </c>
      <c r="P389" s="400">
        <f t="shared" si="345"/>
        <v>0</v>
      </c>
      <c r="Q389" s="445">
        <f t="shared" si="346"/>
        <v>0</v>
      </c>
    </row>
    <row r="390" spans="1:17" ht="24.75" thickBot="1" x14ac:dyDescent="0.4">
      <c r="A390" s="248"/>
      <c r="B390" s="929"/>
      <c r="C390" s="792" t="s">
        <v>254</v>
      </c>
      <c r="D390" s="276"/>
      <c r="E390" s="432"/>
      <c r="F390" s="331">
        <f t="shared" si="347"/>
        <v>0</v>
      </c>
      <c r="G390" s="278"/>
      <c r="H390" s="278"/>
      <c r="I390" s="350" t="str">
        <f>IFERROR(F390/#REF!,"-")</f>
        <v>-</v>
      </c>
      <c r="J390" s="331">
        <f t="shared" si="348"/>
        <v>0</v>
      </c>
      <c r="K390" s="278">
        <f t="shared" si="343"/>
        <v>0</v>
      </c>
      <c r="L390" s="432">
        <f t="shared" si="344"/>
        <v>0</v>
      </c>
      <c r="M390" s="335" t="str">
        <f t="shared" si="353"/>
        <v>-</v>
      </c>
      <c r="N390" s="263" t="str">
        <f t="shared" si="354"/>
        <v>-</v>
      </c>
      <c r="O390" s="504">
        <v>5.5069999999999997</v>
      </c>
      <c r="P390" s="400">
        <f t="shared" si="345"/>
        <v>0</v>
      </c>
      <c r="Q390" s="445">
        <f t="shared" si="346"/>
        <v>0</v>
      </c>
    </row>
    <row r="391" spans="1:17" ht="24" x14ac:dyDescent="0.35">
      <c r="A391" s="248"/>
      <c r="B391" s="872" t="s">
        <v>260</v>
      </c>
      <c r="C391" s="536" t="s">
        <v>256</v>
      </c>
      <c r="D391" s="507"/>
      <c r="E391" s="432"/>
      <c r="F391" s="331">
        <f t="shared" si="347"/>
        <v>33331</v>
      </c>
      <c r="G391" s="278">
        <v>32350</v>
      </c>
      <c r="H391" s="278">
        <v>981</v>
      </c>
      <c r="I391" s="350" t="str">
        <f>IFERROR(F391/#REF!,"-")</f>
        <v>-</v>
      </c>
      <c r="J391" s="331">
        <f t="shared" si="348"/>
        <v>249813</v>
      </c>
      <c r="K391" s="278">
        <f t="shared" si="343"/>
        <v>244600</v>
      </c>
      <c r="L391" s="432">
        <f t="shared" si="344"/>
        <v>5213</v>
      </c>
      <c r="M391" s="335" t="str">
        <f t="shared" si="353"/>
        <v>-</v>
      </c>
      <c r="N391" s="263">
        <f t="shared" si="354"/>
        <v>2.0867608971510691E-2</v>
      </c>
      <c r="O391" s="670">
        <v>5.5069999999999997</v>
      </c>
      <c r="P391" s="400">
        <f t="shared" si="345"/>
        <v>178151.44999999998</v>
      </c>
      <c r="Q391" s="445">
        <f t="shared" si="346"/>
        <v>1347012.2</v>
      </c>
    </row>
    <row r="392" spans="1:17" ht="24" x14ac:dyDescent="0.35">
      <c r="A392" s="248"/>
      <c r="B392" s="873"/>
      <c r="C392" s="537" t="s">
        <v>257</v>
      </c>
      <c r="D392" s="507"/>
      <c r="E392" s="432"/>
      <c r="F392" s="331">
        <f t="shared" si="347"/>
        <v>0</v>
      </c>
      <c r="G392" s="278"/>
      <c r="H392" s="278"/>
      <c r="I392" s="350" t="str">
        <f>IFERROR(F392/#REF!,"-")</f>
        <v>-</v>
      </c>
      <c r="J392" s="331">
        <f t="shared" si="348"/>
        <v>0</v>
      </c>
      <c r="K392" s="278">
        <f t="shared" si="343"/>
        <v>0</v>
      </c>
      <c r="L392" s="432">
        <f t="shared" si="344"/>
        <v>0</v>
      </c>
      <c r="M392" s="335" t="str">
        <f t="shared" si="353"/>
        <v>-</v>
      </c>
      <c r="N392" s="263" t="str">
        <f t="shared" si="354"/>
        <v>-</v>
      </c>
      <c r="O392" s="504">
        <v>5.6550000000000002</v>
      </c>
      <c r="P392" s="400">
        <f t="shared" si="345"/>
        <v>0</v>
      </c>
      <c r="Q392" s="445">
        <f t="shared" si="346"/>
        <v>0</v>
      </c>
    </row>
    <row r="393" spans="1:17" ht="24" x14ac:dyDescent="0.35">
      <c r="A393" s="248"/>
      <c r="B393" s="873"/>
      <c r="C393" s="537" t="s">
        <v>319</v>
      </c>
      <c r="D393" s="507"/>
      <c r="E393" s="432"/>
      <c r="F393" s="331">
        <f t="shared" si="347"/>
        <v>0</v>
      </c>
      <c r="G393" s="278"/>
      <c r="H393" s="278"/>
      <c r="I393" s="350" t="str">
        <f>IFERROR(F393/#REF!,"-")</f>
        <v>-</v>
      </c>
      <c r="J393" s="331">
        <f t="shared" si="348"/>
        <v>0</v>
      </c>
      <c r="K393" s="647">
        <f t="shared" si="343"/>
        <v>0</v>
      </c>
      <c r="L393" s="648">
        <f t="shared" si="344"/>
        <v>0</v>
      </c>
      <c r="M393" s="335" t="str">
        <f t="shared" si="353"/>
        <v>-</v>
      </c>
      <c r="N393" s="263" t="str">
        <f t="shared" si="354"/>
        <v>-</v>
      </c>
      <c r="O393" s="504">
        <v>5.6550000000000002</v>
      </c>
      <c r="P393" s="400">
        <f t="shared" si="345"/>
        <v>0</v>
      </c>
      <c r="Q393" s="445">
        <f t="shared" si="346"/>
        <v>0</v>
      </c>
    </row>
    <row r="394" spans="1:17" ht="24" x14ac:dyDescent="0.35">
      <c r="A394" s="248"/>
      <c r="B394" s="873"/>
      <c r="C394" s="537" t="s">
        <v>258</v>
      </c>
      <c r="D394" s="507"/>
      <c r="E394" s="432"/>
      <c r="F394" s="331">
        <f t="shared" si="347"/>
        <v>0</v>
      </c>
      <c r="G394" s="278"/>
      <c r="H394" s="278"/>
      <c r="I394" s="350" t="str">
        <f>IFERROR(F394/#REF!,"-")</f>
        <v>-</v>
      </c>
      <c r="J394" s="331">
        <f t="shared" si="348"/>
        <v>0</v>
      </c>
      <c r="K394" s="278">
        <f t="shared" si="343"/>
        <v>0</v>
      </c>
      <c r="L394" s="432">
        <f t="shared" si="344"/>
        <v>0</v>
      </c>
      <c r="M394" s="335" t="str">
        <f t="shared" si="353"/>
        <v>-</v>
      </c>
      <c r="N394" s="263" t="str">
        <f t="shared" si="354"/>
        <v>-</v>
      </c>
      <c r="O394" s="504">
        <v>5.6550000000000002</v>
      </c>
      <c r="P394" s="400">
        <f t="shared" si="345"/>
        <v>0</v>
      </c>
      <c r="Q394" s="445">
        <f t="shared" si="346"/>
        <v>0</v>
      </c>
    </row>
    <row r="395" spans="1:17" ht="24" x14ac:dyDescent="0.35">
      <c r="A395" s="248" t="s">
        <v>101</v>
      </c>
      <c r="B395" s="873"/>
      <c r="C395" s="537" t="s">
        <v>259</v>
      </c>
      <c r="D395" s="507"/>
      <c r="E395" s="432"/>
      <c r="F395" s="331">
        <f t="shared" si="347"/>
        <v>0</v>
      </c>
      <c r="G395" s="278"/>
      <c r="H395" s="278"/>
      <c r="I395" s="350" t="str">
        <f>IFERROR(F395/#REF!,"-")</f>
        <v>-</v>
      </c>
      <c r="J395" s="331">
        <f t="shared" si="348"/>
        <v>0</v>
      </c>
      <c r="K395" s="278">
        <f t="shared" si="343"/>
        <v>0</v>
      </c>
      <c r="L395" s="432">
        <f t="shared" si="344"/>
        <v>0</v>
      </c>
      <c r="M395" s="335" t="str">
        <f t="shared" si="353"/>
        <v>-</v>
      </c>
      <c r="N395" s="263" t="str">
        <f t="shared" si="354"/>
        <v>-</v>
      </c>
      <c r="O395" s="504">
        <v>3.2963</v>
      </c>
      <c r="P395" s="400">
        <f t="shared" si="345"/>
        <v>0</v>
      </c>
      <c r="Q395" s="445">
        <f t="shared" si="346"/>
        <v>0</v>
      </c>
    </row>
    <row r="396" spans="1:17" ht="24.75" thickBot="1" x14ac:dyDescent="0.4">
      <c r="A396" s="248" t="s">
        <v>101</v>
      </c>
      <c r="B396" s="874"/>
      <c r="C396" s="794" t="s">
        <v>254</v>
      </c>
      <c r="D396" s="507"/>
      <c r="E396" s="432"/>
      <c r="F396" s="331">
        <f t="shared" si="347"/>
        <v>0</v>
      </c>
      <c r="G396" s="278"/>
      <c r="H396" s="278"/>
      <c r="I396" s="350" t="str">
        <f>IFERROR(F396/#REF!,"-")</f>
        <v>-</v>
      </c>
      <c r="J396" s="331">
        <f t="shared" si="348"/>
        <v>0</v>
      </c>
      <c r="K396" s="278">
        <f t="shared" si="343"/>
        <v>0</v>
      </c>
      <c r="L396" s="432">
        <f t="shared" si="344"/>
        <v>0</v>
      </c>
      <c r="M396" s="335" t="str">
        <f t="shared" si="353"/>
        <v>-</v>
      </c>
      <c r="N396" s="263" t="str">
        <f t="shared" si="354"/>
        <v>-</v>
      </c>
      <c r="O396" s="504">
        <v>3.2963</v>
      </c>
      <c r="P396" s="400">
        <f t="shared" si="345"/>
        <v>0</v>
      </c>
      <c r="Q396" s="445">
        <f t="shared" si="346"/>
        <v>0</v>
      </c>
    </row>
    <row r="397" spans="1:17" ht="24" x14ac:dyDescent="0.35">
      <c r="A397" s="248"/>
      <c r="B397" s="832"/>
      <c r="C397" s="793" t="s">
        <v>497</v>
      </c>
      <c r="D397" s="507"/>
      <c r="E397" s="432"/>
      <c r="F397" s="331">
        <f t="shared" si="347"/>
        <v>0</v>
      </c>
      <c r="G397" s="278"/>
      <c r="H397" s="278"/>
      <c r="I397" s="350" t="str">
        <f>IFERROR(F397/#REF!,"-")</f>
        <v>-</v>
      </c>
      <c r="J397" s="331">
        <f t="shared" si="348"/>
        <v>19578</v>
      </c>
      <c r="K397" s="278">
        <f t="shared" si="343"/>
        <v>18400</v>
      </c>
      <c r="L397" s="432">
        <f t="shared" si="344"/>
        <v>1178</v>
      </c>
      <c r="M397" s="335" t="str">
        <f t="shared" si="353"/>
        <v>-</v>
      </c>
      <c r="N397" s="263">
        <f t="shared" si="354"/>
        <v>6.0169578097864954E-2</v>
      </c>
      <c r="O397" s="504">
        <v>3.2963</v>
      </c>
      <c r="P397" s="400">
        <f t="shared" si="345"/>
        <v>0</v>
      </c>
      <c r="Q397" s="445">
        <f t="shared" si="346"/>
        <v>60651.92</v>
      </c>
    </row>
    <row r="398" spans="1:17" ht="24" x14ac:dyDescent="0.35">
      <c r="A398" s="248"/>
      <c r="B398" s="832"/>
      <c r="C398" s="537" t="s">
        <v>498</v>
      </c>
      <c r="D398" s="507"/>
      <c r="E398" s="432"/>
      <c r="F398" s="331">
        <f t="shared" si="347"/>
        <v>0</v>
      </c>
      <c r="G398" s="278"/>
      <c r="H398" s="278"/>
      <c r="I398" s="350" t="str">
        <f>IFERROR(F398/#REF!,"-")</f>
        <v>-</v>
      </c>
      <c r="J398" s="331">
        <f t="shared" si="348"/>
        <v>19160</v>
      </c>
      <c r="K398" s="278">
        <f t="shared" si="343"/>
        <v>18400</v>
      </c>
      <c r="L398" s="432">
        <f t="shared" si="344"/>
        <v>760</v>
      </c>
      <c r="M398" s="335" t="str">
        <f t="shared" si="353"/>
        <v>-</v>
      </c>
      <c r="N398" s="263">
        <f t="shared" si="354"/>
        <v>3.9665970772442591E-2</v>
      </c>
      <c r="O398" s="504">
        <v>3.2963</v>
      </c>
      <c r="P398" s="400">
        <f t="shared" si="345"/>
        <v>0</v>
      </c>
      <c r="Q398" s="445">
        <f t="shared" si="346"/>
        <v>60651.92</v>
      </c>
    </row>
    <row r="399" spans="1:17" ht="24" x14ac:dyDescent="0.35">
      <c r="A399" s="248" t="s">
        <v>101</v>
      </c>
      <c r="B399" s="539"/>
      <c r="C399" s="537" t="s">
        <v>89</v>
      </c>
      <c r="D399" s="507"/>
      <c r="E399" s="432"/>
      <c r="F399" s="331">
        <f t="shared" si="347"/>
        <v>0</v>
      </c>
      <c r="G399" s="278"/>
      <c r="H399" s="278"/>
      <c r="I399" s="350" t="str">
        <f>IFERROR(F399/#REF!,"-")</f>
        <v>-</v>
      </c>
      <c r="J399" s="331">
        <f t="shared" si="348"/>
        <v>0</v>
      </c>
      <c r="K399" s="278">
        <f t="shared" si="343"/>
        <v>0</v>
      </c>
      <c r="L399" s="432">
        <f t="shared" si="344"/>
        <v>0</v>
      </c>
      <c r="M399" s="335" t="str">
        <f t="shared" si="353"/>
        <v>-</v>
      </c>
      <c r="N399" s="263" t="str">
        <f t="shared" si="354"/>
        <v>-</v>
      </c>
      <c r="O399" s="504">
        <v>2.3201000000000001</v>
      </c>
      <c r="P399" s="400">
        <f t="shared" si="345"/>
        <v>0</v>
      </c>
      <c r="Q399" s="445">
        <f t="shared" si="346"/>
        <v>0</v>
      </c>
    </row>
    <row r="400" spans="1:17" ht="24.75" thickBot="1" x14ac:dyDescent="0.3">
      <c r="A400" s="248" t="s">
        <v>101</v>
      </c>
      <c r="B400" s="791"/>
      <c r="C400" s="633"/>
      <c r="D400" s="746"/>
      <c r="E400" s="458"/>
      <c r="F400" s="456">
        <f t="shared" si="347"/>
        <v>0</v>
      </c>
      <c r="G400" s="457"/>
      <c r="H400" s="457"/>
      <c r="I400" s="527" t="str">
        <f>IFERROR(F400/#REF!,"-")</f>
        <v>-</v>
      </c>
      <c r="J400" s="456">
        <f t="shared" si="348"/>
        <v>0</v>
      </c>
      <c r="K400" s="457">
        <f t="shared" si="343"/>
        <v>0</v>
      </c>
      <c r="L400" s="458">
        <f t="shared" si="344"/>
        <v>0</v>
      </c>
      <c r="M400" s="644" t="str">
        <f t="shared" si="353"/>
        <v>-</v>
      </c>
      <c r="N400" s="264" t="str">
        <f t="shared" si="354"/>
        <v>-</v>
      </c>
      <c r="O400" s="534"/>
      <c r="P400" s="531">
        <f t="shared" si="345"/>
        <v>0</v>
      </c>
      <c r="Q400" s="532">
        <f t="shared" si="346"/>
        <v>0</v>
      </c>
    </row>
    <row r="401" spans="1:17" ht="23.25" customHeight="1" thickBot="1" x14ac:dyDescent="0.3">
      <c r="A401" s="274" t="s">
        <v>101</v>
      </c>
      <c r="B401" s="923" t="s">
        <v>25</v>
      </c>
      <c r="C401" s="924"/>
      <c r="D401" s="509">
        <f>SUM(D372:D400)</f>
        <v>0</v>
      </c>
      <c r="E401" s="521">
        <v>100000</v>
      </c>
      <c r="F401" s="515">
        <f>SUM(F367:F400)</f>
        <v>141658</v>
      </c>
      <c r="G401" s="515">
        <f>SUM(G367:G400)</f>
        <v>138950</v>
      </c>
      <c r="H401" s="515">
        <f>SUM(H367:H400)</f>
        <v>2708</v>
      </c>
      <c r="I401" s="516" t="str">
        <f>IFERROR(F401/#REF!,"-")</f>
        <v>-</v>
      </c>
      <c r="J401" s="509">
        <f>SUM(J367:J400)</f>
        <v>870236</v>
      </c>
      <c r="K401" s="509">
        <f t="shared" ref="K401:L401" si="355">SUM(K367:K400)</f>
        <v>852672</v>
      </c>
      <c r="L401" s="509">
        <f t="shared" si="355"/>
        <v>17564</v>
      </c>
      <c r="M401" s="517" t="str">
        <f t="shared" si="353"/>
        <v>-</v>
      </c>
      <c r="N401" s="516">
        <f t="shared" si="354"/>
        <v>2.0183030810033139E-2</v>
      </c>
      <c r="O401" s="518"/>
      <c r="P401" s="519">
        <f>SUM(P367:P400)</f>
        <v>682421.47</v>
      </c>
      <c r="Q401" s="519">
        <f>SUM(Q367:Q400)</f>
        <v>4866593.3496000003</v>
      </c>
    </row>
    <row r="402" spans="1:17" ht="23.25" customHeight="1" thickBot="1" x14ac:dyDescent="0.3">
      <c r="A402" s="317" t="s">
        <v>101</v>
      </c>
      <c r="B402" s="925" t="s">
        <v>248</v>
      </c>
      <c r="C402" s="926"/>
      <c r="D402" s="324">
        <f>+D371+D401</f>
        <v>0</v>
      </c>
      <c r="E402" s="325">
        <f>+E371+E401</f>
        <v>100000</v>
      </c>
      <c r="F402" s="324">
        <f>+F401</f>
        <v>141658</v>
      </c>
      <c r="G402" s="324">
        <f t="shared" ref="G402:H402" si="356">+G401</f>
        <v>138950</v>
      </c>
      <c r="H402" s="324">
        <f t="shared" si="356"/>
        <v>2708</v>
      </c>
      <c r="I402" s="347" t="str">
        <f>IFERROR(F402/#REF!,"-")</f>
        <v>-</v>
      </c>
      <c r="J402" s="324">
        <f>+J401</f>
        <v>870236</v>
      </c>
      <c r="K402" s="324">
        <f t="shared" ref="K402:L402" si="357">+K401</f>
        <v>852672</v>
      </c>
      <c r="L402" s="324">
        <f t="shared" si="357"/>
        <v>17564</v>
      </c>
      <c r="M402" s="339" t="str">
        <f t="shared" si="353"/>
        <v>-</v>
      </c>
      <c r="N402" s="347">
        <f t="shared" si="354"/>
        <v>2.0183030810033139E-2</v>
      </c>
      <c r="O402" s="390"/>
      <c r="P402" s="406">
        <f>+P401</f>
        <v>682421.47</v>
      </c>
      <c r="Q402" s="424">
        <f>Q401</f>
        <v>4866593.3496000003</v>
      </c>
    </row>
    <row r="403" spans="1:17" ht="26.25" thickBot="1" x14ac:dyDescent="0.3">
      <c r="A403" s="318"/>
      <c r="B403" s="944" t="s">
        <v>174</v>
      </c>
      <c r="C403" s="945"/>
      <c r="D403" s="372">
        <f>+D402+D366+D357</f>
        <v>0</v>
      </c>
      <c r="E403" s="372">
        <f>+E402+E366+E357</f>
        <v>230000</v>
      </c>
      <c r="F403" s="372">
        <f>+F402+F366+F357</f>
        <v>473612</v>
      </c>
      <c r="G403" s="372">
        <f>+G402+G366+G357</f>
        <v>453050</v>
      </c>
      <c r="H403" s="372">
        <f>+H402+H366+H357</f>
        <v>20562</v>
      </c>
      <c r="I403" s="373" t="str">
        <f>IFERROR(F403/#REF!,"-")</f>
        <v>-</v>
      </c>
      <c r="J403" s="372">
        <f>+J402+J366+J357</f>
        <v>2709560</v>
      </c>
      <c r="K403" s="372">
        <f>+K402+K366+K357</f>
        <v>2610192</v>
      </c>
      <c r="L403" s="372">
        <f>+L402+L366+L357</f>
        <v>99368</v>
      </c>
      <c r="M403" s="373" t="str">
        <f t="shared" si="353"/>
        <v>-</v>
      </c>
      <c r="N403" s="373">
        <f>IFERROR(L403/J403,"-")</f>
        <v>3.6673112977752845E-2</v>
      </c>
      <c r="O403" s="397"/>
      <c r="P403" s="414">
        <f>+P402+P366+P357</f>
        <v>1925173.672</v>
      </c>
      <c r="Q403" s="414">
        <f>+Q402+Q366+Q357</f>
        <v>11605593.9736</v>
      </c>
    </row>
    <row r="405" spans="1:17" x14ac:dyDescent="0.25">
      <c r="F405" s="222"/>
      <c r="I405" s="222"/>
      <c r="J405" s="222"/>
      <c r="M405" s="222"/>
      <c r="N405" s="222"/>
      <c r="O405" s="222"/>
      <c r="P405" s="222"/>
      <c r="Q405" s="222"/>
    </row>
  </sheetData>
  <mergeCells count="163">
    <mergeCell ref="B381:B385"/>
    <mergeCell ref="B387:B390"/>
    <mergeCell ref="B391:B396"/>
    <mergeCell ref="B401:C401"/>
    <mergeCell ref="B402:C402"/>
    <mergeCell ref="B403:C403"/>
    <mergeCell ref="B348:C348"/>
    <mergeCell ref="B356:C356"/>
    <mergeCell ref="B357:C357"/>
    <mergeCell ref="B365:C365"/>
    <mergeCell ref="B366:C366"/>
    <mergeCell ref="B367:B369"/>
    <mergeCell ref="B370:B373"/>
    <mergeCell ref="B374:B375"/>
    <mergeCell ref="B376:B379"/>
    <mergeCell ref="A339:A341"/>
    <mergeCell ref="B339:B341"/>
    <mergeCell ref="C339:C341"/>
    <mergeCell ref="D339:N339"/>
    <mergeCell ref="O339:Q339"/>
    <mergeCell ref="D340:D341"/>
    <mergeCell ref="E340:E341"/>
    <mergeCell ref="F340:I340"/>
    <mergeCell ref="J340:L340"/>
    <mergeCell ref="M340:M341"/>
    <mergeCell ref="N340:N341"/>
    <mergeCell ref="O340:Q340"/>
    <mergeCell ref="B315:B319"/>
    <mergeCell ref="B321:B324"/>
    <mergeCell ref="B325:B330"/>
    <mergeCell ref="B335:C335"/>
    <mergeCell ref="B336:C336"/>
    <mergeCell ref="B337:C337"/>
    <mergeCell ref="B282:C282"/>
    <mergeCell ref="B290:C290"/>
    <mergeCell ref="B291:C291"/>
    <mergeCell ref="B299:C299"/>
    <mergeCell ref="B300:C300"/>
    <mergeCell ref="B301:B303"/>
    <mergeCell ref="B304:B307"/>
    <mergeCell ref="B308:B309"/>
    <mergeCell ref="B310:B313"/>
    <mergeCell ref="A273:A275"/>
    <mergeCell ref="B273:B275"/>
    <mergeCell ref="C273:C275"/>
    <mergeCell ref="D273:N273"/>
    <mergeCell ref="O273:Q273"/>
    <mergeCell ref="D274:D275"/>
    <mergeCell ref="E274:E275"/>
    <mergeCell ref="F274:I274"/>
    <mergeCell ref="J274:L274"/>
    <mergeCell ref="M274:M275"/>
    <mergeCell ref="N274:N275"/>
    <mergeCell ref="O274:Q274"/>
    <mergeCell ref="B255:B258"/>
    <mergeCell ref="B259:B264"/>
    <mergeCell ref="B269:C269"/>
    <mergeCell ref="B270:C270"/>
    <mergeCell ref="B271:C271"/>
    <mergeCell ref="B235:B237"/>
    <mergeCell ref="B238:B241"/>
    <mergeCell ref="B242:B243"/>
    <mergeCell ref="B244:B247"/>
    <mergeCell ref="B249:B253"/>
    <mergeCell ref="B216:C216"/>
    <mergeCell ref="B224:C224"/>
    <mergeCell ref="B225:C225"/>
    <mergeCell ref="B233:C233"/>
    <mergeCell ref="B234:C234"/>
    <mergeCell ref="A207:A209"/>
    <mergeCell ref="B207:B209"/>
    <mergeCell ref="C207:C209"/>
    <mergeCell ref="D207:N207"/>
    <mergeCell ref="O207:Q207"/>
    <mergeCell ref="D208:D209"/>
    <mergeCell ref="E208:E209"/>
    <mergeCell ref="F208:I208"/>
    <mergeCell ref="J208:L208"/>
    <mergeCell ref="M208:M209"/>
    <mergeCell ref="N208:N209"/>
    <mergeCell ref="O208:Q208"/>
    <mergeCell ref="B189:B192"/>
    <mergeCell ref="B193:B198"/>
    <mergeCell ref="B203:C203"/>
    <mergeCell ref="B204:C204"/>
    <mergeCell ref="B205:C205"/>
    <mergeCell ref="B169:B171"/>
    <mergeCell ref="B172:B175"/>
    <mergeCell ref="B176:B177"/>
    <mergeCell ref="B178:B181"/>
    <mergeCell ref="B183:B187"/>
    <mergeCell ref="B150:C150"/>
    <mergeCell ref="B158:C158"/>
    <mergeCell ref="B159:C159"/>
    <mergeCell ref="B167:C167"/>
    <mergeCell ref="B168:C168"/>
    <mergeCell ref="A141:A143"/>
    <mergeCell ref="B141:B143"/>
    <mergeCell ref="C141:C143"/>
    <mergeCell ref="D141:N141"/>
    <mergeCell ref="O141:Q141"/>
    <mergeCell ref="D142:D143"/>
    <mergeCell ref="E142:E143"/>
    <mergeCell ref="F142:I142"/>
    <mergeCell ref="J142:L142"/>
    <mergeCell ref="M142:M143"/>
    <mergeCell ref="N142:N143"/>
    <mergeCell ref="O142:Q142"/>
    <mergeCell ref="B123:B126"/>
    <mergeCell ref="B127:B132"/>
    <mergeCell ref="B137:C137"/>
    <mergeCell ref="B138:C138"/>
    <mergeCell ref="B139:C139"/>
    <mergeCell ref="B103:B105"/>
    <mergeCell ref="B106:B109"/>
    <mergeCell ref="B110:B111"/>
    <mergeCell ref="B112:B115"/>
    <mergeCell ref="B117:B121"/>
    <mergeCell ref="B84:C84"/>
    <mergeCell ref="B92:C92"/>
    <mergeCell ref="B93:C93"/>
    <mergeCell ref="B101:C101"/>
    <mergeCell ref="B102:C102"/>
    <mergeCell ref="A76:A78"/>
    <mergeCell ref="B76:B78"/>
    <mergeCell ref="C76:C78"/>
    <mergeCell ref="D76:N76"/>
    <mergeCell ref="O76:Q76"/>
    <mergeCell ref="D77:D78"/>
    <mergeCell ref="E77:E78"/>
    <mergeCell ref="F77:I77"/>
    <mergeCell ref="J77:L77"/>
    <mergeCell ref="M77:M78"/>
    <mergeCell ref="N77:N78"/>
    <mergeCell ref="O77:Q77"/>
    <mergeCell ref="A9:Q9"/>
    <mergeCell ref="A11:A13"/>
    <mergeCell ref="B11:B13"/>
    <mergeCell ref="C11:C13"/>
    <mergeCell ref="D11:N11"/>
    <mergeCell ref="O11:Q11"/>
    <mergeCell ref="D12:D13"/>
    <mergeCell ref="E12:E13"/>
    <mergeCell ref="F12:I12"/>
    <mergeCell ref="J12:L12"/>
    <mergeCell ref="M12:M13"/>
    <mergeCell ref="N12:N13"/>
    <mergeCell ref="O12:Q12"/>
    <mergeCell ref="B74:C74"/>
    <mergeCell ref="B19:C19"/>
    <mergeCell ref="B27:C27"/>
    <mergeCell ref="B62:B67"/>
    <mergeCell ref="B72:C72"/>
    <mergeCell ref="B73:C73"/>
    <mergeCell ref="B28:C28"/>
    <mergeCell ref="B36:C36"/>
    <mergeCell ref="B37:C37"/>
    <mergeCell ref="B38:B40"/>
    <mergeCell ref="B41:B44"/>
    <mergeCell ref="B45:B46"/>
    <mergeCell ref="B47:B50"/>
    <mergeCell ref="B52:B56"/>
    <mergeCell ref="B58:B61"/>
  </mergeCells>
  <pageMargins left="0.19685039370078741" right="0.19685039370078741" top="0.19685039370078741" bottom="0.19685039370078741" header="0.19685039370078741" footer="0.19685039370078741"/>
  <pageSetup paperSize="9" scale="26" orientation="portrait" verticalDpi="300" r:id="rId1"/>
  <rowBreaks count="4" manualBreakCount="4">
    <brk id="74" max="16" man="1"/>
    <brk id="139" max="16" man="1"/>
    <brk id="271" max="16" man="1"/>
    <brk id="33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7:M667"/>
  <sheetViews>
    <sheetView view="pageBreakPreview" topLeftCell="A590" zoomScale="50" zoomScaleNormal="70" zoomScaleSheetLayoutView="50" workbookViewId="0">
      <selection activeCell="I603" sqref="I603"/>
    </sheetView>
  </sheetViews>
  <sheetFormatPr baseColWidth="10" defaultColWidth="9.140625" defaultRowHeight="16.5" x14ac:dyDescent="0.25"/>
  <cols>
    <col min="1" max="1" width="10.140625" style="229" customWidth="1"/>
    <col min="2" max="2" width="14.42578125" style="266" customWidth="1"/>
    <col min="3" max="3" width="86" style="266" customWidth="1"/>
    <col min="4" max="4" width="38.7109375" style="229" customWidth="1"/>
    <col min="5" max="6" width="24" style="222" customWidth="1"/>
    <col min="7" max="7" width="24" style="223" customWidth="1"/>
    <col min="8" max="8" width="30.42578125" style="223" bestFit="1" customWidth="1"/>
    <col min="9" max="9" width="32.28515625" style="222" customWidth="1"/>
    <col min="10" max="10" width="0.28515625" style="224" customWidth="1"/>
    <col min="11" max="11" width="15.28515625" style="229" bestFit="1" customWidth="1"/>
    <col min="12" max="12" width="17.5703125" style="229" customWidth="1"/>
    <col min="13" max="13" width="14.140625" style="229" bestFit="1" customWidth="1"/>
    <col min="14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879" t="s">
        <v>494</v>
      </c>
      <c r="B9" s="880"/>
      <c r="C9" s="880"/>
      <c r="D9" s="880"/>
      <c r="E9" s="880"/>
      <c r="F9" s="880"/>
      <c r="G9" s="880"/>
      <c r="H9" s="880"/>
      <c r="I9" s="880"/>
      <c r="J9" s="880"/>
    </row>
    <row r="10" spans="1:10" ht="24.6" customHeight="1" thickBot="1" x14ac:dyDescent="0.3">
      <c r="A10" s="230"/>
      <c r="B10" s="230"/>
      <c r="C10" s="230"/>
      <c r="D10" s="230"/>
      <c r="E10" s="232"/>
      <c r="F10" s="232"/>
      <c r="G10" s="232"/>
      <c r="H10" s="232"/>
      <c r="I10" s="267"/>
      <c r="J10" s="234"/>
    </row>
    <row r="11" spans="1:10" ht="35.25" customHeight="1" x14ac:dyDescent="0.25">
      <c r="A11" s="881" t="s">
        <v>1</v>
      </c>
      <c r="B11" s="884" t="s">
        <v>2</v>
      </c>
      <c r="C11" s="955" t="s">
        <v>394</v>
      </c>
      <c r="D11" s="935" t="s">
        <v>395</v>
      </c>
      <c r="E11" s="959" t="s">
        <v>487</v>
      </c>
      <c r="F11" s="891"/>
      <c r="G11" s="891"/>
      <c r="H11" s="891"/>
      <c r="I11" s="891"/>
      <c r="J11" s="892"/>
    </row>
    <row r="12" spans="1:10" ht="35.25" customHeight="1" x14ac:dyDescent="0.25">
      <c r="A12" s="953"/>
      <c r="B12" s="954"/>
      <c r="C12" s="956"/>
      <c r="D12" s="936"/>
      <c r="E12" s="960" t="s">
        <v>410</v>
      </c>
      <c r="F12" s="961"/>
      <c r="G12" s="960" t="s">
        <v>409</v>
      </c>
      <c r="H12" s="962"/>
      <c r="I12" s="962"/>
      <c r="J12" s="961"/>
    </row>
    <row r="13" spans="1:10" ht="35.25" customHeight="1" x14ac:dyDescent="0.25">
      <c r="A13" s="882"/>
      <c r="B13" s="885"/>
      <c r="C13" s="957"/>
      <c r="D13" s="936"/>
      <c r="E13" s="893" t="s">
        <v>411</v>
      </c>
      <c r="F13" s="895" t="s">
        <v>412</v>
      </c>
      <c r="G13" s="964" t="s">
        <v>90</v>
      </c>
      <c r="H13" s="966" t="s">
        <v>91</v>
      </c>
      <c r="I13" s="966" t="s">
        <v>91</v>
      </c>
      <c r="J13" s="968" t="s">
        <v>12</v>
      </c>
    </row>
    <row r="14" spans="1:10" ht="35.25" customHeight="1" thickBot="1" x14ac:dyDescent="0.3">
      <c r="A14" s="883"/>
      <c r="B14" s="886"/>
      <c r="C14" s="958"/>
      <c r="D14" s="937"/>
      <c r="E14" s="894"/>
      <c r="F14" s="963"/>
      <c r="G14" s="965"/>
      <c r="H14" s="967"/>
      <c r="I14" s="967"/>
      <c r="J14" s="969"/>
    </row>
    <row r="15" spans="1:10" ht="35.25" customHeight="1" x14ac:dyDescent="0.25">
      <c r="A15" s="950" t="s">
        <v>103</v>
      </c>
      <c r="B15" s="435"/>
      <c r="C15" s="570" t="s">
        <v>437</v>
      </c>
      <c r="D15" s="630" t="s">
        <v>372</v>
      </c>
      <c r="E15" s="660"/>
      <c r="F15" s="636">
        <f>+E15</f>
        <v>0</v>
      </c>
      <c r="G15" s="691">
        <v>107.85</v>
      </c>
      <c r="H15" s="584">
        <f t="shared" ref="H15:H30" si="0">E15*G15</f>
        <v>0</v>
      </c>
      <c r="I15" s="587">
        <f>+G15*F15</f>
        <v>0</v>
      </c>
      <c r="J15" s="349"/>
    </row>
    <row r="16" spans="1:10" ht="35.25" customHeight="1" x14ac:dyDescent="0.25">
      <c r="A16" s="951"/>
      <c r="B16" s="434"/>
      <c r="C16" s="437" t="s">
        <v>263</v>
      </c>
      <c r="D16" s="631" t="s">
        <v>264</v>
      </c>
      <c r="E16" s="661"/>
      <c r="F16" s="662">
        <f t="shared" ref="F16:F30" si="1">+E16</f>
        <v>0</v>
      </c>
      <c r="G16" s="658">
        <v>11</v>
      </c>
      <c r="H16" s="585">
        <f t="shared" si="0"/>
        <v>0</v>
      </c>
      <c r="I16" s="588">
        <f>+G16*F16</f>
        <v>0</v>
      </c>
      <c r="J16" s="350"/>
    </row>
    <row r="17" spans="1:10" ht="35.25" customHeight="1" x14ac:dyDescent="0.25">
      <c r="A17" s="951"/>
      <c r="B17" s="434"/>
      <c r="C17" s="437" t="s">
        <v>294</v>
      </c>
      <c r="D17" s="631" t="s">
        <v>448</v>
      </c>
      <c r="E17" s="661"/>
      <c r="F17" s="662">
        <f t="shared" si="1"/>
        <v>0</v>
      </c>
      <c r="G17" s="658">
        <v>139.04</v>
      </c>
      <c r="H17" s="585">
        <f t="shared" si="0"/>
        <v>0</v>
      </c>
      <c r="I17" s="588">
        <f t="shared" ref="I17:I30" si="2">+G17*F17</f>
        <v>0</v>
      </c>
      <c r="J17" s="350"/>
    </row>
    <row r="18" spans="1:10" ht="35.25" customHeight="1" x14ac:dyDescent="0.25">
      <c r="A18" s="951"/>
      <c r="B18" s="434"/>
      <c r="C18" s="437" t="s">
        <v>355</v>
      </c>
      <c r="D18" s="631" t="s">
        <v>356</v>
      </c>
      <c r="E18" s="661"/>
      <c r="F18" s="662">
        <f t="shared" si="1"/>
        <v>0</v>
      </c>
      <c r="G18" s="675">
        <v>20.5</v>
      </c>
      <c r="H18" s="585">
        <f t="shared" si="0"/>
        <v>0</v>
      </c>
      <c r="I18" s="588">
        <f t="shared" si="2"/>
        <v>0</v>
      </c>
      <c r="J18" s="350"/>
    </row>
    <row r="19" spans="1:10" ht="35.25" customHeight="1" x14ac:dyDescent="0.25">
      <c r="A19" s="951"/>
      <c r="B19" s="434"/>
      <c r="C19" s="437" t="s">
        <v>287</v>
      </c>
      <c r="D19" s="631" t="s">
        <v>177</v>
      </c>
      <c r="E19" s="661"/>
      <c r="F19" s="662">
        <f t="shared" si="1"/>
        <v>0</v>
      </c>
      <c r="G19" s="658">
        <v>14.79</v>
      </c>
      <c r="H19" s="585">
        <f t="shared" si="0"/>
        <v>0</v>
      </c>
      <c r="I19" s="588">
        <f t="shared" si="2"/>
        <v>0</v>
      </c>
      <c r="J19" s="350"/>
    </row>
    <row r="20" spans="1:10" ht="35.25" customHeight="1" x14ac:dyDescent="0.25">
      <c r="A20" s="951"/>
      <c r="B20" s="434"/>
      <c r="C20" s="437" t="s">
        <v>294</v>
      </c>
      <c r="D20" s="631" t="s">
        <v>264</v>
      </c>
      <c r="E20" s="661"/>
      <c r="F20" s="662">
        <f t="shared" si="1"/>
        <v>0</v>
      </c>
      <c r="G20" s="658">
        <v>139.04</v>
      </c>
      <c r="H20" s="585">
        <f t="shared" si="0"/>
        <v>0</v>
      </c>
      <c r="I20" s="588">
        <f t="shared" si="2"/>
        <v>0</v>
      </c>
      <c r="J20" s="350"/>
    </row>
    <row r="21" spans="1:10" ht="35.25" customHeight="1" x14ac:dyDescent="0.25">
      <c r="A21" s="951"/>
      <c r="B21" s="434"/>
      <c r="C21" s="437" t="s">
        <v>389</v>
      </c>
      <c r="D21" s="632" t="s">
        <v>354</v>
      </c>
      <c r="E21" s="661"/>
      <c r="F21" s="662">
        <f t="shared" si="1"/>
        <v>0</v>
      </c>
      <c r="G21" s="658">
        <v>147.58000000000001</v>
      </c>
      <c r="H21" s="585">
        <f t="shared" si="0"/>
        <v>0</v>
      </c>
      <c r="I21" s="588">
        <f t="shared" si="2"/>
        <v>0</v>
      </c>
      <c r="J21" s="350"/>
    </row>
    <row r="22" spans="1:10" ht="35.25" customHeight="1" x14ac:dyDescent="0.25">
      <c r="A22" s="951"/>
      <c r="B22" s="434"/>
      <c r="C22" s="437" t="s">
        <v>312</v>
      </c>
      <c r="D22" s="632" t="s">
        <v>440</v>
      </c>
      <c r="E22" s="661"/>
      <c r="F22" s="662">
        <f t="shared" si="1"/>
        <v>0</v>
      </c>
      <c r="G22" s="658">
        <v>18.84</v>
      </c>
      <c r="H22" s="585">
        <f t="shared" si="0"/>
        <v>0</v>
      </c>
      <c r="I22" s="588">
        <f t="shared" si="2"/>
        <v>0</v>
      </c>
      <c r="J22" s="350"/>
    </row>
    <row r="23" spans="1:10" ht="35.25" customHeight="1" x14ac:dyDescent="0.25">
      <c r="A23" s="951"/>
      <c r="B23" s="434"/>
      <c r="C23" s="437" t="s">
        <v>312</v>
      </c>
      <c r="D23" s="632" t="s">
        <v>264</v>
      </c>
      <c r="E23" s="661"/>
      <c r="F23" s="662">
        <f t="shared" si="1"/>
        <v>0</v>
      </c>
      <c r="G23" s="658">
        <v>18.84</v>
      </c>
      <c r="H23" s="585">
        <f t="shared" si="0"/>
        <v>0</v>
      </c>
      <c r="I23" s="588">
        <f t="shared" si="2"/>
        <v>0</v>
      </c>
      <c r="J23" s="350"/>
    </row>
    <row r="24" spans="1:10" ht="35.25" customHeight="1" x14ac:dyDescent="0.25">
      <c r="A24" s="951"/>
      <c r="B24" s="434"/>
      <c r="C24" s="437" t="s">
        <v>320</v>
      </c>
      <c r="D24" s="632" t="s">
        <v>231</v>
      </c>
      <c r="E24" s="661"/>
      <c r="F24" s="662">
        <f t="shared" si="1"/>
        <v>0</v>
      </c>
      <c r="G24" s="658">
        <v>21.18</v>
      </c>
      <c r="H24" s="585">
        <f t="shared" si="0"/>
        <v>0</v>
      </c>
      <c r="I24" s="588">
        <f t="shared" si="2"/>
        <v>0</v>
      </c>
      <c r="J24" s="350"/>
    </row>
    <row r="25" spans="1:10" ht="35.25" customHeight="1" x14ac:dyDescent="0.25">
      <c r="A25" s="951"/>
      <c r="B25" s="434"/>
      <c r="C25" s="437" t="s">
        <v>322</v>
      </c>
      <c r="D25" s="632" t="s">
        <v>323</v>
      </c>
      <c r="E25" s="661"/>
      <c r="F25" s="662">
        <f t="shared" si="1"/>
        <v>0</v>
      </c>
      <c r="G25" s="658">
        <v>21.28</v>
      </c>
      <c r="H25" s="585">
        <f t="shared" si="0"/>
        <v>0</v>
      </c>
      <c r="I25" s="588">
        <f t="shared" si="2"/>
        <v>0</v>
      </c>
      <c r="J25" s="350"/>
    </row>
    <row r="26" spans="1:10" ht="35.25" customHeight="1" x14ac:dyDescent="0.25">
      <c r="A26" s="951"/>
      <c r="B26" s="434"/>
      <c r="C26" s="437" t="s">
        <v>376</v>
      </c>
      <c r="D26" s="632" t="s">
        <v>372</v>
      </c>
      <c r="E26" s="661"/>
      <c r="F26" s="662">
        <f t="shared" si="1"/>
        <v>0</v>
      </c>
      <c r="G26" s="658">
        <v>143.28</v>
      </c>
      <c r="H26" s="585">
        <f t="shared" si="0"/>
        <v>0</v>
      </c>
      <c r="I26" s="588">
        <f t="shared" si="2"/>
        <v>0</v>
      </c>
      <c r="J26" s="350"/>
    </row>
    <row r="27" spans="1:10" ht="35.25" customHeight="1" x14ac:dyDescent="0.25">
      <c r="A27" s="951"/>
      <c r="B27" s="434"/>
      <c r="C27" s="437" t="s">
        <v>466</v>
      </c>
      <c r="D27" s="632"/>
      <c r="E27" s="661"/>
      <c r="F27" s="662">
        <f t="shared" si="1"/>
        <v>0</v>
      </c>
      <c r="G27" s="658">
        <v>14.79</v>
      </c>
      <c r="H27" s="585">
        <f t="shared" si="0"/>
        <v>0</v>
      </c>
      <c r="I27" s="588">
        <f t="shared" si="2"/>
        <v>0</v>
      </c>
      <c r="J27" s="350"/>
    </row>
    <row r="28" spans="1:10" ht="35.25" customHeight="1" x14ac:dyDescent="0.25">
      <c r="A28" s="951"/>
      <c r="B28" s="434"/>
      <c r="C28" s="437" t="s">
        <v>446</v>
      </c>
      <c r="D28" s="631" t="s">
        <v>177</v>
      </c>
      <c r="E28" s="661"/>
      <c r="F28" s="662">
        <f t="shared" si="1"/>
        <v>0</v>
      </c>
      <c r="G28" s="658">
        <v>14.55</v>
      </c>
      <c r="H28" s="585">
        <f t="shared" si="0"/>
        <v>0</v>
      </c>
      <c r="I28" s="588">
        <f t="shared" si="2"/>
        <v>0</v>
      </c>
      <c r="J28" s="350"/>
    </row>
    <row r="29" spans="1:10" ht="35.25" customHeight="1" x14ac:dyDescent="0.25">
      <c r="A29" s="951"/>
      <c r="B29" s="434"/>
      <c r="C29" s="437" t="s">
        <v>325</v>
      </c>
      <c r="D29" s="632" t="s">
        <v>188</v>
      </c>
      <c r="E29" s="661"/>
      <c r="F29" s="662">
        <f t="shared" si="1"/>
        <v>0</v>
      </c>
      <c r="G29" s="658">
        <v>21.28</v>
      </c>
      <c r="H29" s="585">
        <f t="shared" si="0"/>
        <v>0</v>
      </c>
      <c r="I29" s="588">
        <f t="shared" si="2"/>
        <v>0</v>
      </c>
      <c r="J29" s="350"/>
    </row>
    <row r="30" spans="1:10" ht="35.25" customHeight="1" thickBot="1" x14ac:dyDescent="0.3">
      <c r="A30" s="951"/>
      <c r="B30" s="434"/>
      <c r="C30" s="437" t="s">
        <v>334</v>
      </c>
      <c r="D30" s="633" t="s">
        <v>178</v>
      </c>
      <c r="E30" s="661"/>
      <c r="F30" s="637">
        <f t="shared" si="1"/>
        <v>0</v>
      </c>
      <c r="G30" s="658">
        <v>36.44</v>
      </c>
      <c r="H30" s="585">
        <f t="shared" si="0"/>
        <v>0</v>
      </c>
      <c r="I30" s="588">
        <f t="shared" si="2"/>
        <v>0</v>
      </c>
      <c r="J30" s="350"/>
    </row>
    <row r="31" spans="1:10" ht="35.25" customHeight="1" thickBot="1" x14ac:dyDescent="0.3">
      <c r="A31" s="951"/>
      <c r="B31" s="946" t="s">
        <v>265</v>
      </c>
      <c r="C31" s="947"/>
      <c r="D31" s="697"/>
      <c r="E31" s="324">
        <f>SUM(E15:E30)</f>
        <v>0</v>
      </c>
      <c r="F31" s="659">
        <f>SUM(F15:F30)</f>
        <v>0</v>
      </c>
      <c r="G31" s="324"/>
      <c r="H31" s="580">
        <f>SUM(H15:H30)</f>
        <v>0</v>
      </c>
      <c r="I31" s="573">
        <f>SUM(I15:I30)</f>
        <v>0</v>
      </c>
      <c r="J31" s="347"/>
    </row>
    <row r="32" spans="1:10" ht="35.25" customHeight="1" x14ac:dyDescent="0.25">
      <c r="A32" s="951"/>
      <c r="B32" s="698"/>
      <c r="C32" s="279" t="s">
        <v>270</v>
      </c>
      <c r="D32" s="430" t="s">
        <v>237</v>
      </c>
      <c r="E32" s="280"/>
      <c r="F32" s="431">
        <f t="shared" ref="F32:F45" si="3">+E32</f>
        <v>0</v>
      </c>
      <c r="G32" s="571">
        <v>160.44999999999999</v>
      </c>
      <c r="H32" s="586">
        <f t="shared" ref="H32:H45" si="4">E32*G32</f>
        <v>0</v>
      </c>
      <c r="I32" s="589">
        <f t="shared" ref="I32:I45" si="5">+G32*F32</f>
        <v>0</v>
      </c>
      <c r="J32" s="371"/>
    </row>
    <row r="33" spans="1:10" ht="35.25" customHeight="1" x14ac:dyDescent="0.25">
      <c r="A33" s="951"/>
      <c r="B33" s="698"/>
      <c r="C33" s="279" t="s">
        <v>285</v>
      </c>
      <c r="D33" s="430" t="s">
        <v>237</v>
      </c>
      <c r="E33" s="280"/>
      <c r="F33" s="431">
        <f t="shared" si="3"/>
        <v>0</v>
      </c>
      <c r="G33" s="571">
        <v>160.44999999999999</v>
      </c>
      <c r="H33" s="586">
        <f t="shared" si="4"/>
        <v>0</v>
      </c>
      <c r="I33" s="589">
        <f t="shared" si="5"/>
        <v>0</v>
      </c>
      <c r="J33" s="371"/>
    </row>
    <row r="34" spans="1:10" ht="35.25" customHeight="1" x14ac:dyDescent="0.25">
      <c r="A34" s="951"/>
      <c r="B34" s="698"/>
      <c r="C34" s="279" t="s">
        <v>386</v>
      </c>
      <c r="D34" s="430" t="s">
        <v>237</v>
      </c>
      <c r="E34" s="280"/>
      <c r="F34" s="431">
        <f t="shared" si="3"/>
        <v>0</v>
      </c>
      <c r="G34" s="571">
        <v>160.44999999999999</v>
      </c>
      <c r="H34" s="586">
        <f t="shared" si="4"/>
        <v>0</v>
      </c>
      <c r="I34" s="589">
        <f t="shared" si="5"/>
        <v>0</v>
      </c>
      <c r="J34" s="371"/>
    </row>
    <row r="35" spans="1:10" ht="35.25" customHeight="1" x14ac:dyDescent="0.25">
      <c r="A35" s="951"/>
      <c r="B35" s="698"/>
      <c r="C35" s="279" t="s">
        <v>286</v>
      </c>
      <c r="D35" s="430" t="s">
        <v>93</v>
      </c>
      <c r="E35" s="280"/>
      <c r="F35" s="431">
        <f t="shared" si="3"/>
        <v>0</v>
      </c>
      <c r="G35" s="571">
        <v>27</v>
      </c>
      <c r="H35" s="586">
        <f t="shared" si="4"/>
        <v>0</v>
      </c>
      <c r="I35" s="589">
        <f t="shared" si="5"/>
        <v>0</v>
      </c>
      <c r="J35" s="371"/>
    </row>
    <row r="36" spans="1:10" ht="35.25" customHeight="1" x14ac:dyDescent="0.25">
      <c r="A36" s="951"/>
      <c r="B36" s="698"/>
      <c r="C36" s="279" t="s">
        <v>286</v>
      </c>
      <c r="D36" s="430" t="s">
        <v>291</v>
      </c>
      <c r="E36" s="280"/>
      <c r="F36" s="431">
        <f t="shared" si="3"/>
        <v>0</v>
      </c>
      <c r="G36" s="571">
        <v>27.5</v>
      </c>
      <c r="H36" s="586">
        <f t="shared" si="4"/>
        <v>0</v>
      </c>
      <c r="I36" s="589">
        <f t="shared" si="5"/>
        <v>0</v>
      </c>
      <c r="J36" s="371"/>
    </row>
    <row r="37" spans="1:10" ht="35.25" customHeight="1" x14ac:dyDescent="0.25">
      <c r="A37" s="951"/>
      <c r="B37" s="698"/>
      <c r="C37" s="279" t="s">
        <v>275</v>
      </c>
      <c r="D37" s="430" t="s">
        <v>291</v>
      </c>
      <c r="E37" s="280"/>
      <c r="F37" s="431">
        <f t="shared" si="3"/>
        <v>0</v>
      </c>
      <c r="G37" s="571">
        <v>34.5</v>
      </c>
      <c r="H37" s="586">
        <f t="shared" si="4"/>
        <v>0</v>
      </c>
      <c r="I37" s="589">
        <f t="shared" si="5"/>
        <v>0</v>
      </c>
      <c r="J37" s="371"/>
    </row>
    <row r="38" spans="1:10" ht="35.25" customHeight="1" x14ac:dyDescent="0.25">
      <c r="A38" s="951"/>
      <c r="B38" s="698"/>
      <c r="C38" s="279" t="s">
        <v>467</v>
      </c>
      <c r="D38" s="430" t="s">
        <v>435</v>
      </c>
      <c r="E38" s="280"/>
      <c r="F38" s="431">
        <f t="shared" si="3"/>
        <v>0</v>
      </c>
      <c r="G38" s="571">
        <v>10.57</v>
      </c>
      <c r="H38" s="586">
        <f t="shared" si="4"/>
        <v>0</v>
      </c>
      <c r="I38" s="589">
        <f t="shared" si="5"/>
        <v>0</v>
      </c>
      <c r="J38" s="371"/>
    </row>
    <row r="39" spans="1:10" ht="35.25" customHeight="1" x14ac:dyDescent="0.25">
      <c r="A39" s="951"/>
      <c r="B39" s="698"/>
      <c r="C39" s="279" t="s">
        <v>275</v>
      </c>
      <c r="D39" s="430" t="s">
        <v>435</v>
      </c>
      <c r="E39" s="280"/>
      <c r="F39" s="431">
        <f t="shared" si="3"/>
        <v>0</v>
      </c>
      <c r="G39" s="571">
        <v>55.76</v>
      </c>
      <c r="H39" s="586">
        <f t="shared" si="4"/>
        <v>0</v>
      </c>
      <c r="I39" s="589">
        <f t="shared" si="5"/>
        <v>0</v>
      </c>
      <c r="J39" s="371"/>
    </row>
    <row r="40" spans="1:10" ht="35.25" customHeight="1" x14ac:dyDescent="0.25">
      <c r="A40" s="951"/>
      <c r="B40" s="698"/>
      <c r="C40" s="279" t="s">
        <v>419</v>
      </c>
      <c r="D40" s="430" t="s">
        <v>237</v>
      </c>
      <c r="E40" s="280"/>
      <c r="F40" s="431">
        <f t="shared" si="3"/>
        <v>0</v>
      </c>
      <c r="G40" s="571">
        <v>160.44999999999999</v>
      </c>
      <c r="H40" s="586">
        <f t="shared" si="4"/>
        <v>0</v>
      </c>
      <c r="I40" s="589">
        <f t="shared" si="5"/>
        <v>0</v>
      </c>
      <c r="J40" s="371"/>
    </row>
    <row r="41" spans="1:10" ht="35.25" customHeight="1" x14ac:dyDescent="0.25">
      <c r="A41" s="951"/>
      <c r="B41" s="698"/>
      <c r="C41" s="279" t="s">
        <v>346</v>
      </c>
      <c r="D41" s="430" t="s">
        <v>237</v>
      </c>
      <c r="E41" s="280"/>
      <c r="F41" s="431">
        <f t="shared" si="3"/>
        <v>0</v>
      </c>
      <c r="G41" s="571">
        <v>160.44999999999999</v>
      </c>
      <c r="H41" s="586">
        <f t="shared" si="4"/>
        <v>0</v>
      </c>
      <c r="I41" s="589">
        <f t="shared" si="5"/>
        <v>0</v>
      </c>
      <c r="J41" s="371"/>
    </row>
    <row r="42" spans="1:10" ht="35.25" customHeight="1" x14ac:dyDescent="0.25">
      <c r="A42" s="951"/>
      <c r="B42" s="698"/>
      <c r="C42" s="279" t="s">
        <v>385</v>
      </c>
      <c r="D42" s="430" t="s">
        <v>237</v>
      </c>
      <c r="E42" s="280"/>
      <c r="F42" s="431">
        <f t="shared" si="3"/>
        <v>0</v>
      </c>
      <c r="G42" s="571">
        <v>160.44999999999999</v>
      </c>
      <c r="H42" s="586">
        <f t="shared" si="4"/>
        <v>0</v>
      </c>
      <c r="I42" s="589">
        <f t="shared" si="5"/>
        <v>0</v>
      </c>
      <c r="J42" s="371"/>
    </row>
    <row r="43" spans="1:10" ht="35.25" customHeight="1" x14ac:dyDescent="0.25">
      <c r="A43" s="951"/>
      <c r="B43" s="698"/>
      <c r="C43" s="279" t="s">
        <v>436</v>
      </c>
      <c r="D43" s="430" t="s">
        <v>237</v>
      </c>
      <c r="E43" s="280"/>
      <c r="F43" s="431">
        <f t="shared" si="3"/>
        <v>0</v>
      </c>
      <c r="G43" s="571">
        <v>160.44999999999999</v>
      </c>
      <c r="H43" s="586">
        <f t="shared" si="4"/>
        <v>0</v>
      </c>
      <c r="I43" s="589">
        <f t="shared" si="5"/>
        <v>0</v>
      </c>
      <c r="J43" s="371"/>
    </row>
    <row r="44" spans="1:10" ht="35.25" customHeight="1" x14ac:dyDescent="0.25">
      <c r="A44" s="951"/>
      <c r="B44" s="698"/>
      <c r="C44" s="279" t="s">
        <v>301</v>
      </c>
      <c r="D44" s="430" t="s">
        <v>237</v>
      </c>
      <c r="E44" s="280"/>
      <c r="F44" s="431">
        <f t="shared" si="3"/>
        <v>0</v>
      </c>
      <c r="G44" s="571">
        <v>160.44999999999999</v>
      </c>
      <c r="H44" s="586">
        <f t="shared" si="4"/>
        <v>0</v>
      </c>
      <c r="I44" s="589">
        <f t="shared" si="5"/>
        <v>0</v>
      </c>
      <c r="J44" s="371"/>
    </row>
    <row r="45" spans="1:10" ht="35.25" customHeight="1" thickBot="1" x14ac:dyDescent="0.3">
      <c r="A45" s="951"/>
      <c r="B45" s="698"/>
      <c r="C45" s="279" t="s">
        <v>309</v>
      </c>
      <c r="D45" s="430" t="s">
        <v>237</v>
      </c>
      <c r="E45" s="280"/>
      <c r="F45" s="431">
        <f t="shared" si="3"/>
        <v>0</v>
      </c>
      <c r="G45" s="571">
        <v>160.44999999999999</v>
      </c>
      <c r="H45" s="586">
        <f t="shared" si="4"/>
        <v>0</v>
      </c>
      <c r="I45" s="589">
        <f t="shared" si="5"/>
        <v>0</v>
      </c>
      <c r="J45" s="371"/>
    </row>
    <row r="46" spans="1:10" ht="35.25" customHeight="1" thickBot="1" x14ac:dyDescent="0.3">
      <c r="A46" s="951"/>
      <c r="B46" s="946" t="s">
        <v>266</v>
      </c>
      <c r="C46" s="947"/>
      <c r="D46" s="697"/>
      <c r="E46" s="324">
        <f>SUM(E32:E45)</f>
        <v>0</v>
      </c>
      <c r="F46" s="324">
        <f>SUM(F32:F45)</f>
        <v>0</v>
      </c>
      <c r="G46" s="324"/>
      <c r="H46" s="580">
        <f>SUM(H32:H45)</f>
        <v>0</v>
      </c>
      <c r="I46" s="573">
        <f>SUM(I32:I45)</f>
        <v>0</v>
      </c>
      <c r="J46" s="347"/>
    </row>
    <row r="47" spans="1:10" ht="35.25" customHeight="1" x14ac:dyDescent="0.25">
      <c r="A47" s="951"/>
      <c r="B47" s="698"/>
      <c r="C47" s="279" t="s">
        <v>370</v>
      </c>
      <c r="D47" s="430" t="s">
        <v>371</v>
      </c>
      <c r="E47" s="280"/>
      <c r="F47" s="431">
        <f t="shared" ref="F47:F52" si="6">+E47</f>
        <v>0</v>
      </c>
      <c r="G47" s="571">
        <v>5.34</v>
      </c>
      <c r="H47" s="586">
        <f t="shared" ref="H47:H53" si="7">E47*G47</f>
        <v>0</v>
      </c>
      <c r="I47" s="589">
        <f t="shared" ref="I47" si="8">+G47*F47</f>
        <v>0</v>
      </c>
      <c r="J47" s="371"/>
    </row>
    <row r="48" spans="1:10" ht="35.25" customHeight="1" x14ac:dyDescent="0.25">
      <c r="A48" s="951"/>
      <c r="B48" s="698"/>
      <c r="C48" s="279" t="s">
        <v>387</v>
      </c>
      <c r="D48" s="430" t="s">
        <v>264</v>
      </c>
      <c r="E48" s="280"/>
      <c r="F48" s="431">
        <f t="shared" si="6"/>
        <v>0</v>
      </c>
      <c r="G48" s="571">
        <v>31.73</v>
      </c>
      <c r="H48" s="586">
        <f t="shared" si="7"/>
        <v>0</v>
      </c>
      <c r="I48" s="589">
        <f>+G48*F48</f>
        <v>0</v>
      </c>
      <c r="J48" s="371"/>
    </row>
    <row r="49" spans="1:13" ht="35.25" customHeight="1" x14ac:dyDescent="0.25">
      <c r="A49" s="951"/>
      <c r="B49" s="698"/>
      <c r="C49" s="279" t="s">
        <v>390</v>
      </c>
      <c r="D49" s="430" t="s">
        <v>391</v>
      </c>
      <c r="E49" s="280"/>
      <c r="F49" s="431">
        <f t="shared" si="6"/>
        <v>0</v>
      </c>
      <c r="G49" s="571">
        <v>10.58</v>
      </c>
      <c r="H49" s="586">
        <f t="shared" si="7"/>
        <v>0</v>
      </c>
      <c r="I49" s="589">
        <f>+G49*F49</f>
        <v>0</v>
      </c>
      <c r="J49" s="371"/>
    </row>
    <row r="50" spans="1:13" ht="35.25" customHeight="1" x14ac:dyDescent="0.25">
      <c r="A50" s="951"/>
      <c r="B50" s="698"/>
      <c r="C50" s="279" t="s">
        <v>276</v>
      </c>
      <c r="D50" s="430" t="s">
        <v>277</v>
      </c>
      <c r="E50" s="280"/>
      <c r="F50" s="431">
        <f t="shared" si="6"/>
        <v>0</v>
      </c>
      <c r="G50" s="571">
        <v>2500</v>
      </c>
      <c r="H50" s="586">
        <f t="shared" si="7"/>
        <v>0</v>
      </c>
      <c r="I50" s="589">
        <f>+G50*F50</f>
        <v>0</v>
      </c>
      <c r="J50" s="371"/>
    </row>
    <row r="51" spans="1:13" ht="35.25" customHeight="1" x14ac:dyDescent="0.25">
      <c r="A51" s="951"/>
      <c r="B51" s="698"/>
      <c r="C51" s="279" t="s">
        <v>449</v>
      </c>
      <c r="D51" s="430"/>
      <c r="E51" s="280"/>
      <c r="F51" s="431">
        <f t="shared" si="6"/>
        <v>0</v>
      </c>
      <c r="G51" s="571">
        <v>30000</v>
      </c>
      <c r="H51" s="586">
        <f t="shared" si="7"/>
        <v>0</v>
      </c>
      <c r="I51" s="589">
        <f>+G51*F51</f>
        <v>0</v>
      </c>
      <c r="J51" s="371"/>
    </row>
    <row r="52" spans="1:13" ht="35.25" customHeight="1" x14ac:dyDescent="0.25">
      <c r="A52" s="951"/>
      <c r="B52" s="698"/>
      <c r="C52" s="279" t="s">
        <v>377</v>
      </c>
      <c r="D52" s="430" t="s">
        <v>303</v>
      </c>
      <c r="E52" s="280"/>
      <c r="F52" s="431">
        <f t="shared" si="6"/>
        <v>0</v>
      </c>
      <c r="G52" s="571">
        <v>360</v>
      </c>
      <c r="H52" s="586">
        <f t="shared" si="7"/>
        <v>0</v>
      </c>
      <c r="I52" s="589">
        <f>+G52*F52</f>
        <v>0</v>
      </c>
      <c r="J52" s="371"/>
    </row>
    <row r="53" spans="1:13" ht="35.25" customHeight="1" thickBot="1" x14ac:dyDescent="0.3">
      <c r="A53" s="951"/>
      <c r="B53" s="698"/>
      <c r="C53" s="279" t="s">
        <v>425</v>
      </c>
      <c r="D53" s="430" t="s">
        <v>303</v>
      </c>
      <c r="E53" s="280"/>
      <c r="F53" s="431">
        <f>+E53</f>
        <v>0</v>
      </c>
      <c r="G53" s="572">
        <v>10</v>
      </c>
      <c r="H53" s="586">
        <f t="shared" si="7"/>
        <v>0</v>
      </c>
      <c r="I53" s="589">
        <f t="shared" ref="I53" si="9">+G53*F53</f>
        <v>0</v>
      </c>
      <c r="J53" s="371"/>
    </row>
    <row r="54" spans="1:13" ht="35.25" customHeight="1" thickBot="1" x14ac:dyDescent="0.3">
      <c r="A54" s="951"/>
      <c r="B54" s="946" t="s">
        <v>271</v>
      </c>
      <c r="C54" s="947"/>
      <c r="D54" s="697"/>
      <c r="E54" s="324">
        <f>SUM(E47:E53)</f>
        <v>0</v>
      </c>
      <c r="F54" s="324">
        <f>SUM(F47:F53)</f>
        <v>0</v>
      </c>
      <c r="G54" s="324"/>
      <c r="H54" s="580">
        <f>SUM(H47:H53)</f>
        <v>0</v>
      </c>
      <c r="I54" s="573">
        <f>SUM(I47:I53)</f>
        <v>0</v>
      </c>
      <c r="J54" s="371"/>
    </row>
    <row r="55" spans="1:13" ht="35.25" customHeight="1" thickBot="1" x14ac:dyDescent="0.3">
      <c r="A55" s="951"/>
      <c r="B55" s="698"/>
      <c r="C55" s="279"/>
      <c r="D55" s="430"/>
      <c r="E55" s="280"/>
      <c r="F55" s="316"/>
      <c r="G55" s="572"/>
      <c r="H55" s="581"/>
      <c r="I55" s="282">
        <f t="shared" ref="I55" si="10">+G55*F55</f>
        <v>0</v>
      </c>
      <c r="J55" s="371"/>
    </row>
    <row r="56" spans="1:13" ht="35.25" customHeight="1" thickBot="1" x14ac:dyDescent="0.3">
      <c r="A56" s="952"/>
      <c r="B56" s="946" t="s">
        <v>268</v>
      </c>
      <c r="C56" s="947"/>
      <c r="D56" s="699"/>
      <c r="E56" s="324">
        <f>+E54+E46+E31</f>
        <v>0</v>
      </c>
      <c r="F56" s="324">
        <f>+F54+F46+F31</f>
        <v>0</v>
      </c>
      <c r="G56" s="324"/>
      <c r="H56" s="573">
        <f>+H46+H31+H54</f>
        <v>0</v>
      </c>
      <c r="I56" s="573">
        <f>+I46+I31+I54</f>
        <v>0</v>
      </c>
      <c r="J56" s="371"/>
      <c r="K56" s="664"/>
      <c r="M56" s="664"/>
    </row>
    <row r="57" spans="1:13" ht="35.25" customHeight="1" x14ac:dyDescent="0.25">
      <c r="A57" s="950" t="s">
        <v>101</v>
      </c>
      <c r="B57" s="698"/>
      <c r="C57" s="279" t="s">
        <v>280</v>
      </c>
      <c r="D57" s="430" t="s">
        <v>178</v>
      </c>
      <c r="E57" s="280"/>
      <c r="F57" s="431">
        <f t="shared" ref="F57:F88" si="11">+E57</f>
        <v>0</v>
      </c>
      <c r="G57" s="595">
        <v>13.25</v>
      </c>
      <c r="H57" s="590">
        <f t="shared" ref="H57:H88" si="12">E57*G57</f>
        <v>0</v>
      </c>
      <c r="I57" s="589">
        <f t="shared" ref="I57:I88" si="13">+G57*F57</f>
        <v>0</v>
      </c>
      <c r="J57" s="371"/>
      <c r="K57" s="664"/>
    </row>
    <row r="58" spans="1:13" ht="35.25" customHeight="1" x14ac:dyDescent="0.25">
      <c r="A58" s="951"/>
      <c r="B58" s="698"/>
      <c r="C58" s="279" t="s">
        <v>281</v>
      </c>
      <c r="D58" s="430"/>
      <c r="E58" s="280"/>
      <c r="F58" s="431">
        <f t="shared" si="11"/>
        <v>0</v>
      </c>
      <c r="G58" s="596">
        <v>5000</v>
      </c>
      <c r="H58" s="590">
        <f t="shared" si="12"/>
        <v>0</v>
      </c>
      <c r="I58" s="589">
        <f t="shared" si="13"/>
        <v>0</v>
      </c>
      <c r="J58" s="371"/>
      <c r="K58" s="664"/>
    </row>
    <row r="59" spans="1:13" ht="35.25" customHeight="1" x14ac:dyDescent="0.25">
      <c r="A59" s="951"/>
      <c r="B59" s="698"/>
      <c r="C59" s="279" t="s">
        <v>281</v>
      </c>
      <c r="D59" s="430"/>
      <c r="E59" s="280"/>
      <c r="F59" s="431">
        <f t="shared" si="11"/>
        <v>0</v>
      </c>
      <c r="G59" s="596">
        <v>18000</v>
      </c>
      <c r="H59" s="590">
        <f t="shared" si="12"/>
        <v>0</v>
      </c>
      <c r="I59" s="589">
        <f t="shared" si="13"/>
        <v>0</v>
      </c>
      <c r="J59" s="371"/>
    </row>
    <row r="60" spans="1:13" ht="35.25" customHeight="1" x14ac:dyDescent="0.25">
      <c r="A60" s="951"/>
      <c r="B60" s="698"/>
      <c r="C60" s="279" t="s">
        <v>459</v>
      </c>
      <c r="D60" s="430" t="s">
        <v>458</v>
      </c>
      <c r="E60" s="280"/>
      <c r="F60" s="431">
        <f t="shared" si="11"/>
        <v>0</v>
      </c>
      <c r="G60" s="595">
        <v>21.01</v>
      </c>
      <c r="H60" s="590">
        <f t="shared" si="12"/>
        <v>0</v>
      </c>
      <c r="I60" s="589">
        <f t="shared" si="13"/>
        <v>0</v>
      </c>
      <c r="J60" s="371"/>
    </row>
    <row r="61" spans="1:13" ht="35.25" customHeight="1" x14ac:dyDescent="0.25">
      <c r="A61" s="951"/>
      <c r="B61" s="698"/>
      <c r="C61" s="279" t="s">
        <v>459</v>
      </c>
      <c r="D61" s="430" t="s">
        <v>336</v>
      </c>
      <c r="E61" s="280"/>
      <c r="F61" s="431">
        <f t="shared" si="11"/>
        <v>0</v>
      </c>
      <c r="G61" s="595">
        <v>24.93</v>
      </c>
      <c r="H61" s="590">
        <f t="shared" si="12"/>
        <v>0</v>
      </c>
      <c r="I61" s="589">
        <f t="shared" si="13"/>
        <v>0</v>
      </c>
      <c r="J61" s="371"/>
    </row>
    <row r="62" spans="1:13" ht="35.25" customHeight="1" x14ac:dyDescent="0.25">
      <c r="A62" s="951"/>
      <c r="B62" s="698"/>
      <c r="C62" s="279" t="s">
        <v>459</v>
      </c>
      <c r="D62" s="430" t="s">
        <v>92</v>
      </c>
      <c r="E62" s="280"/>
      <c r="F62" s="431">
        <f t="shared" si="11"/>
        <v>0</v>
      </c>
      <c r="G62" s="595">
        <v>24.93</v>
      </c>
      <c r="H62" s="590">
        <f t="shared" si="12"/>
        <v>0</v>
      </c>
      <c r="I62" s="589">
        <f t="shared" si="13"/>
        <v>0</v>
      </c>
      <c r="J62" s="371"/>
    </row>
    <row r="63" spans="1:13" ht="35.25" customHeight="1" x14ac:dyDescent="0.25">
      <c r="A63" s="951"/>
      <c r="B63" s="698"/>
      <c r="C63" s="705" t="s">
        <v>460</v>
      </c>
      <c r="D63" s="706" t="s">
        <v>92</v>
      </c>
      <c r="E63" s="280"/>
      <c r="F63" s="431">
        <f t="shared" si="11"/>
        <v>0</v>
      </c>
      <c r="G63" s="595">
        <v>20.8</v>
      </c>
      <c r="H63" s="590">
        <f t="shared" si="12"/>
        <v>0</v>
      </c>
      <c r="I63" s="589">
        <f t="shared" si="13"/>
        <v>0</v>
      </c>
      <c r="J63" s="371"/>
    </row>
    <row r="64" spans="1:13" ht="35.25" customHeight="1" x14ac:dyDescent="0.25">
      <c r="A64" s="951"/>
      <c r="B64" s="698"/>
      <c r="C64" s="705" t="s">
        <v>461</v>
      </c>
      <c r="D64" s="706" t="s">
        <v>462</v>
      </c>
      <c r="E64" s="280"/>
      <c r="F64" s="431">
        <f t="shared" si="11"/>
        <v>0</v>
      </c>
      <c r="G64" s="595">
        <v>24.93</v>
      </c>
      <c r="H64" s="590">
        <f t="shared" si="12"/>
        <v>0</v>
      </c>
      <c r="I64" s="589">
        <f t="shared" si="13"/>
        <v>0</v>
      </c>
      <c r="J64" s="371"/>
    </row>
    <row r="65" spans="1:10" ht="35.25" customHeight="1" x14ac:dyDescent="0.25">
      <c r="A65" s="951"/>
      <c r="B65" s="698"/>
      <c r="C65" s="705" t="s">
        <v>461</v>
      </c>
      <c r="D65" s="706" t="s">
        <v>462</v>
      </c>
      <c r="E65" s="280"/>
      <c r="F65" s="431">
        <f t="shared" si="11"/>
        <v>0</v>
      </c>
      <c r="G65" s="595">
        <v>25.49</v>
      </c>
      <c r="H65" s="590">
        <f t="shared" si="12"/>
        <v>0</v>
      </c>
      <c r="I65" s="589">
        <f t="shared" si="13"/>
        <v>0</v>
      </c>
      <c r="J65" s="371"/>
    </row>
    <row r="66" spans="1:10" s="716" customFormat="1" ht="35.25" customHeight="1" x14ac:dyDescent="0.25">
      <c r="A66" s="951"/>
      <c r="B66" s="707"/>
      <c r="C66" s="708" t="s">
        <v>463</v>
      </c>
      <c r="D66" s="709" t="s">
        <v>308</v>
      </c>
      <c r="E66" s="710"/>
      <c r="F66" s="711">
        <f t="shared" si="11"/>
        <v>0</v>
      </c>
      <c r="G66" s="712">
        <v>24.41</v>
      </c>
      <c r="H66" s="713">
        <f t="shared" si="12"/>
        <v>0</v>
      </c>
      <c r="I66" s="714">
        <f t="shared" si="13"/>
        <v>0</v>
      </c>
      <c r="J66" s="715"/>
    </row>
    <row r="67" spans="1:10" ht="35.25" customHeight="1" x14ac:dyDescent="0.25">
      <c r="A67" s="951"/>
      <c r="B67" s="698"/>
      <c r="C67" s="279" t="s">
        <v>439</v>
      </c>
      <c r="D67" s="430" t="s">
        <v>421</v>
      </c>
      <c r="E67" s="280"/>
      <c r="F67" s="431">
        <f t="shared" si="11"/>
        <v>0</v>
      </c>
      <c r="G67" s="595">
        <v>20.76</v>
      </c>
      <c r="H67" s="590">
        <f t="shared" si="12"/>
        <v>0</v>
      </c>
      <c r="I67" s="589">
        <f t="shared" si="13"/>
        <v>0</v>
      </c>
      <c r="J67" s="371"/>
    </row>
    <row r="68" spans="1:10" ht="35.25" customHeight="1" x14ac:dyDescent="0.25">
      <c r="A68" s="951"/>
      <c r="B68" s="698"/>
      <c r="C68" s="279" t="s">
        <v>297</v>
      </c>
      <c r="D68" s="430" t="s">
        <v>107</v>
      </c>
      <c r="E68" s="280"/>
      <c r="F68" s="431">
        <f t="shared" si="11"/>
        <v>0</v>
      </c>
      <c r="G68" s="595">
        <v>24.93</v>
      </c>
      <c r="H68" s="590">
        <f t="shared" si="12"/>
        <v>0</v>
      </c>
      <c r="I68" s="589">
        <f t="shared" si="13"/>
        <v>0</v>
      </c>
      <c r="J68" s="371"/>
    </row>
    <row r="69" spans="1:10" ht="35.25" customHeight="1" x14ac:dyDescent="0.25">
      <c r="A69" s="951"/>
      <c r="B69" s="698"/>
      <c r="C69" s="279" t="s">
        <v>298</v>
      </c>
      <c r="D69" s="430" t="s">
        <v>279</v>
      </c>
      <c r="E69" s="280"/>
      <c r="F69" s="431">
        <f t="shared" si="11"/>
        <v>0</v>
      </c>
      <c r="G69" s="595">
        <v>24.93</v>
      </c>
      <c r="H69" s="590">
        <f t="shared" si="12"/>
        <v>0</v>
      </c>
      <c r="I69" s="589">
        <f t="shared" si="13"/>
        <v>0</v>
      </c>
      <c r="J69" s="371"/>
    </row>
    <row r="70" spans="1:10" ht="35.25" customHeight="1" x14ac:dyDescent="0.25">
      <c r="A70" s="951"/>
      <c r="B70" s="698"/>
      <c r="C70" s="279" t="s">
        <v>423</v>
      </c>
      <c r="D70" s="430" t="s">
        <v>358</v>
      </c>
      <c r="E70" s="280"/>
      <c r="F70" s="431">
        <f t="shared" si="11"/>
        <v>0</v>
      </c>
      <c r="G70" s="595">
        <v>23.78</v>
      </c>
      <c r="H70" s="590">
        <f t="shared" si="12"/>
        <v>0</v>
      </c>
      <c r="I70" s="589">
        <f t="shared" si="13"/>
        <v>0</v>
      </c>
      <c r="J70" s="371"/>
    </row>
    <row r="71" spans="1:10" ht="35.25" customHeight="1" x14ac:dyDescent="0.25">
      <c r="A71" s="951"/>
      <c r="B71" s="698"/>
      <c r="C71" s="279" t="s">
        <v>423</v>
      </c>
      <c r="D71" s="430" t="s">
        <v>308</v>
      </c>
      <c r="E71" s="280"/>
      <c r="F71" s="431">
        <f t="shared" si="11"/>
        <v>0</v>
      </c>
      <c r="G71" s="595">
        <v>23.78</v>
      </c>
      <c r="H71" s="590">
        <f t="shared" si="12"/>
        <v>0</v>
      </c>
      <c r="I71" s="589">
        <f t="shared" si="13"/>
        <v>0</v>
      </c>
      <c r="J71" s="371"/>
    </row>
    <row r="72" spans="1:10" ht="35.25" customHeight="1" x14ac:dyDescent="0.25">
      <c r="A72" s="951"/>
      <c r="B72" s="698"/>
      <c r="C72" s="279" t="s">
        <v>352</v>
      </c>
      <c r="D72" s="430" t="s">
        <v>308</v>
      </c>
      <c r="E72" s="280"/>
      <c r="F72" s="431">
        <f t="shared" si="11"/>
        <v>0</v>
      </c>
      <c r="G72" s="595">
        <v>37.4566666666</v>
      </c>
      <c r="H72" s="590">
        <f t="shared" si="12"/>
        <v>0</v>
      </c>
      <c r="I72" s="589">
        <f t="shared" si="13"/>
        <v>0</v>
      </c>
      <c r="J72" s="371"/>
    </row>
    <row r="73" spans="1:10" ht="35.25" customHeight="1" x14ac:dyDescent="0.25">
      <c r="A73" s="951"/>
      <c r="B73" s="698"/>
      <c r="C73" s="279" t="s">
        <v>353</v>
      </c>
      <c r="D73" s="430" t="s">
        <v>308</v>
      </c>
      <c r="E73" s="280"/>
      <c r="F73" s="431">
        <f t="shared" si="11"/>
        <v>0</v>
      </c>
      <c r="G73" s="595">
        <v>37.89</v>
      </c>
      <c r="H73" s="590">
        <f t="shared" si="12"/>
        <v>0</v>
      </c>
      <c r="I73" s="589">
        <f t="shared" si="13"/>
        <v>0</v>
      </c>
      <c r="J73" s="371"/>
    </row>
    <row r="74" spans="1:10" ht="35.25" customHeight="1" x14ac:dyDescent="0.25">
      <c r="A74" s="951"/>
      <c r="B74" s="698"/>
      <c r="C74" s="279" t="s">
        <v>455</v>
      </c>
      <c r="D74" s="430" t="s">
        <v>92</v>
      </c>
      <c r="E74" s="280"/>
      <c r="F74" s="431">
        <f t="shared" si="11"/>
        <v>0</v>
      </c>
      <c r="G74" s="595">
        <v>28.31</v>
      </c>
      <c r="H74" s="590">
        <f t="shared" si="12"/>
        <v>0</v>
      </c>
      <c r="I74" s="589">
        <f t="shared" si="13"/>
        <v>0</v>
      </c>
      <c r="J74" s="371"/>
    </row>
    <row r="75" spans="1:10" ht="35.25" customHeight="1" x14ac:dyDescent="0.25">
      <c r="A75" s="951"/>
      <c r="B75" s="698"/>
      <c r="C75" s="279" t="s">
        <v>455</v>
      </c>
      <c r="D75" s="430" t="s">
        <v>421</v>
      </c>
      <c r="E75" s="280"/>
      <c r="F75" s="431">
        <f t="shared" si="11"/>
        <v>0</v>
      </c>
      <c r="G75" s="595">
        <v>28.88</v>
      </c>
      <c r="H75" s="590">
        <f t="shared" si="12"/>
        <v>0</v>
      </c>
      <c r="I75" s="589">
        <f t="shared" si="13"/>
        <v>0</v>
      </c>
      <c r="J75" s="371"/>
    </row>
    <row r="76" spans="1:10" ht="35.25" customHeight="1" x14ac:dyDescent="0.25">
      <c r="A76" s="951"/>
      <c r="B76" s="698"/>
      <c r="C76" s="279" t="s">
        <v>456</v>
      </c>
      <c r="D76" s="430" t="s">
        <v>421</v>
      </c>
      <c r="E76" s="280"/>
      <c r="F76" s="431">
        <f t="shared" si="11"/>
        <v>0</v>
      </c>
      <c r="G76" s="595">
        <v>28.21</v>
      </c>
      <c r="H76" s="590">
        <f t="shared" si="12"/>
        <v>0</v>
      </c>
      <c r="I76" s="589">
        <f t="shared" si="13"/>
        <v>0</v>
      </c>
      <c r="J76" s="371"/>
    </row>
    <row r="77" spans="1:10" ht="35.25" customHeight="1" x14ac:dyDescent="0.25">
      <c r="A77" s="951"/>
      <c r="B77" s="698"/>
      <c r="C77" s="279" t="s">
        <v>457</v>
      </c>
      <c r="D77" s="430" t="s">
        <v>336</v>
      </c>
      <c r="E77" s="280"/>
      <c r="F77" s="431">
        <f t="shared" si="11"/>
        <v>0</v>
      </c>
      <c r="G77" s="595">
        <v>39</v>
      </c>
      <c r="H77" s="590">
        <f t="shared" ref="H77:H79" si="14">E77*G77</f>
        <v>0</v>
      </c>
      <c r="I77" s="589">
        <f t="shared" ref="I77:I79" si="15">+G77*F77</f>
        <v>0</v>
      </c>
      <c r="J77" s="371"/>
    </row>
    <row r="78" spans="1:10" ht="35.25" customHeight="1" x14ac:dyDescent="0.25">
      <c r="A78" s="951"/>
      <c r="B78" s="698"/>
      <c r="C78" s="279" t="s">
        <v>457</v>
      </c>
      <c r="D78" s="430" t="s">
        <v>92</v>
      </c>
      <c r="E78" s="280"/>
      <c r="F78" s="431">
        <f t="shared" si="11"/>
        <v>0</v>
      </c>
      <c r="G78" s="595">
        <v>32.65</v>
      </c>
      <c r="H78" s="590">
        <f t="shared" si="14"/>
        <v>0</v>
      </c>
      <c r="I78" s="589">
        <f t="shared" si="15"/>
        <v>0</v>
      </c>
      <c r="J78" s="371"/>
    </row>
    <row r="79" spans="1:10" ht="35.25" customHeight="1" x14ac:dyDescent="0.25">
      <c r="A79" s="951"/>
      <c r="B79" s="698"/>
      <c r="C79" s="279" t="s">
        <v>457</v>
      </c>
      <c r="D79" s="430" t="s">
        <v>421</v>
      </c>
      <c r="E79" s="280"/>
      <c r="F79" s="431">
        <f t="shared" si="11"/>
        <v>0</v>
      </c>
      <c r="G79" s="595">
        <v>33.299999999999997</v>
      </c>
      <c r="H79" s="590">
        <f t="shared" si="14"/>
        <v>0</v>
      </c>
      <c r="I79" s="589">
        <f t="shared" si="15"/>
        <v>0</v>
      </c>
      <c r="J79" s="371"/>
    </row>
    <row r="80" spans="1:10" ht="35.25" customHeight="1" x14ac:dyDescent="0.25">
      <c r="A80" s="951"/>
      <c r="B80" s="698"/>
      <c r="C80" s="279" t="s">
        <v>298</v>
      </c>
      <c r="D80" s="430" t="s">
        <v>278</v>
      </c>
      <c r="E80" s="280"/>
      <c r="F80" s="431">
        <f t="shared" si="11"/>
        <v>0</v>
      </c>
      <c r="G80" s="595">
        <v>24.93</v>
      </c>
      <c r="H80" s="590">
        <f t="shared" si="12"/>
        <v>0</v>
      </c>
      <c r="I80" s="589">
        <f t="shared" si="13"/>
        <v>0</v>
      </c>
      <c r="J80" s="371"/>
    </row>
    <row r="81" spans="1:10" ht="35.25" customHeight="1" x14ac:dyDescent="0.25">
      <c r="A81" s="951"/>
      <c r="B81" s="698"/>
      <c r="C81" s="279" t="s">
        <v>298</v>
      </c>
      <c r="D81" s="430"/>
      <c r="E81" s="280"/>
      <c r="F81" s="431">
        <f t="shared" si="11"/>
        <v>0</v>
      </c>
      <c r="G81" s="595">
        <v>24.93</v>
      </c>
      <c r="H81" s="590">
        <f t="shared" si="12"/>
        <v>0</v>
      </c>
      <c r="I81" s="589">
        <f t="shared" si="13"/>
        <v>0</v>
      </c>
      <c r="J81" s="371"/>
    </row>
    <row r="82" spans="1:10" ht="35.25" customHeight="1" x14ac:dyDescent="0.25">
      <c r="A82" s="951"/>
      <c r="B82" s="698"/>
      <c r="C82" s="279" t="s">
        <v>315</v>
      </c>
      <c r="D82" s="430" t="s">
        <v>288</v>
      </c>
      <c r="E82" s="280"/>
      <c r="F82" s="431">
        <f t="shared" si="11"/>
        <v>0</v>
      </c>
      <c r="G82" s="595">
        <v>34.26</v>
      </c>
      <c r="H82" s="590">
        <f t="shared" si="12"/>
        <v>0</v>
      </c>
      <c r="I82" s="589">
        <f t="shared" si="13"/>
        <v>0</v>
      </c>
      <c r="J82" s="371"/>
    </row>
    <row r="83" spans="1:10" ht="35.25" customHeight="1" x14ac:dyDescent="0.25">
      <c r="A83" s="951"/>
      <c r="B83" s="698"/>
      <c r="C83" s="279" t="s">
        <v>326</v>
      </c>
      <c r="D83" s="430" t="s">
        <v>358</v>
      </c>
      <c r="E83" s="280"/>
      <c r="F83" s="431">
        <f t="shared" si="11"/>
        <v>0</v>
      </c>
      <c r="G83" s="595">
        <v>37.89</v>
      </c>
      <c r="H83" s="590">
        <f t="shared" si="12"/>
        <v>0</v>
      </c>
      <c r="I83" s="589">
        <f t="shared" si="13"/>
        <v>0</v>
      </c>
      <c r="J83" s="371"/>
    </row>
    <row r="84" spans="1:10" ht="35.25" customHeight="1" x14ac:dyDescent="0.25">
      <c r="A84" s="951"/>
      <c r="B84" s="698"/>
      <c r="C84" s="279" t="s">
        <v>361</v>
      </c>
      <c r="D84" s="430" t="s">
        <v>336</v>
      </c>
      <c r="E84" s="280"/>
      <c r="F84" s="431">
        <f t="shared" si="11"/>
        <v>0</v>
      </c>
      <c r="G84" s="595">
        <v>39</v>
      </c>
      <c r="H84" s="590">
        <f t="shared" si="12"/>
        <v>0</v>
      </c>
      <c r="I84" s="589">
        <f t="shared" si="13"/>
        <v>0</v>
      </c>
      <c r="J84" s="371"/>
    </row>
    <row r="85" spans="1:10" ht="35.25" customHeight="1" x14ac:dyDescent="0.25">
      <c r="A85" s="951"/>
      <c r="B85" s="698"/>
      <c r="C85" s="279" t="s">
        <v>298</v>
      </c>
      <c r="D85" s="430" t="s">
        <v>177</v>
      </c>
      <c r="E85" s="280"/>
      <c r="F85" s="431">
        <f t="shared" si="11"/>
        <v>0</v>
      </c>
      <c r="G85" s="595">
        <v>21.22</v>
      </c>
      <c r="H85" s="590">
        <f t="shared" si="12"/>
        <v>0</v>
      </c>
      <c r="I85" s="589">
        <f t="shared" si="13"/>
        <v>0</v>
      </c>
      <c r="J85" s="371"/>
    </row>
    <row r="86" spans="1:10" ht="35.25" customHeight="1" x14ac:dyDescent="0.25">
      <c r="A86" s="951"/>
      <c r="B86" s="698"/>
      <c r="C86" s="279" t="s">
        <v>297</v>
      </c>
      <c r="D86" s="430" t="s">
        <v>177</v>
      </c>
      <c r="E86" s="280"/>
      <c r="F86" s="431">
        <f t="shared" si="11"/>
        <v>0</v>
      </c>
      <c r="G86" s="595">
        <v>21.22</v>
      </c>
      <c r="H86" s="590">
        <f t="shared" si="12"/>
        <v>0</v>
      </c>
      <c r="I86" s="589">
        <f t="shared" si="13"/>
        <v>0</v>
      </c>
      <c r="J86" s="371"/>
    </row>
    <row r="87" spans="1:10" ht="35.25" customHeight="1" x14ac:dyDescent="0.25">
      <c r="A87" s="951"/>
      <c r="B87" s="698"/>
      <c r="C87" s="279" t="s">
        <v>337</v>
      </c>
      <c r="D87" s="430" t="s">
        <v>303</v>
      </c>
      <c r="E87" s="280"/>
      <c r="F87" s="431">
        <f t="shared" si="11"/>
        <v>0</v>
      </c>
      <c r="G87" s="595">
        <v>10000</v>
      </c>
      <c r="H87" s="590">
        <f t="shared" si="12"/>
        <v>0</v>
      </c>
      <c r="I87" s="589">
        <f t="shared" si="13"/>
        <v>0</v>
      </c>
      <c r="J87" s="371"/>
    </row>
    <row r="88" spans="1:10" ht="35.25" customHeight="1" thickBot="1" x14ac:dyDescent="0.3">
      <c r="A88" s="951"/>
      <c r="B88" s="698"/>
      <c r="C88" s="279" t="s">
        <v>302</v>
      </c>
      <c r="D88" s="430" t="s">
        <v>303</v>
      </c>
      <c r="E88" s="280"/>
      <c r="F88" s="431">
        <f t="shared" si="11"/>
        <v>0</v>
      </c>
      <c r="G88" s="595">
        <v>360</v>
      </c>
      <c r="H88" s="590">
        <f t="shared" si="12"/>
        <v>0</v>
      </c>
      <c r="I88" s="589">
        <f t="shared" si="13"/>
        <v>0</v>
      </c>
      <c r="J88" s="371"/>
    </row>
    <row r="89" spans="1:10" ht="35.25" customHeight="1" thickBot="1" x14ac:dyDescent="0.3">
      <c r="A89" s="952"/>
      <c r="B89" s="946" t="s">
        <v>267</v>
      </c>
      <c r="C89" s="947"/>
      <c r="D89" s="697"/>
      <c r="E89" s="324">
        <f>SUM(E57:E88)</f>
        <v>0</v>
      </c>
      <c r="F89" s="324">
        <f>SUM(F57:F88)</f>
        <v>0</v>
      </c>
      <c r="G89" s="324"/>
      <c r="H89" s="580">
        <f>SUM(H57:H88)</f>
        <v>0</v>
      </c>
      <c r="I89" s="573">
        <f>SUM(I57:I88)</f>
        <v>0</v>
      </c>
      <c r="J89" s="371"/>
    </row>
    <row r="90" spans="1:10" ht="35.25" customHeight="1" x14ac:dyDescent="0.25">
      <c r="A90" s="950" t="s">
        <v>102</v>
      </c>
      <c r="B90" s="698"/>
      <c r="C90" s="279" t="s">
        <v>272</v>
      </c>
      <c r="D90" s="430" t="s">
        <v>237</v>
      </c>
      <c r="E90" s="280"/>
      <c r="F90" s="431">
        <f t="shared" ref="F90:F114" si="16">+E90</f>
        <v>0</v>
      </c>
      <c r="G90" s="595">
        <v>430.02</v>
      </c>
      <c r="H90" s="586">
        <f>E90*G90</f>
        <v>0</v>
      </c>
      <c r="I90" s="589">
        <f t="shared" ref="I90:I114" si="17">+G90*F90</f>
        <v>0</v>
      </c>
      <c r="J90" s="371"/>
    </row>
    <row r="91" spans="1:10" ht="35.25" customHeight="1" x14ac:dyDescent="0.25">
      <c r="A91" s="951"/>
      <c r="B91" s="698"/>
      <c r="C91" s="279" t="s">
        <v>273</v>
      </c>
      <c r="D91" s="430" t="s">
        <v>237</v>
      </c>
      <c r="E91" s="280"/>
      <c r="F91" s="431">
        <f t="shared" si="16"/>
        <v>0</v>
      </c>
      <c r="G91" s="595">
        <v>445.38</v>
      </c>
      <c r="H91" s="586">
        <f t="shared" ref="H91:H114" si="18">E91*G91</f>
        <v>0</v>
      </c>
      <c r="I91" s="589">
        <f t="shared" si="17"/>
        <v>0</v>
      </c>
      <c r="J91" s="371"/>
    </row>
    <row r="92" spans="1:10" ht="35.25" customHeight="1" x14ac:dyDescent="0.25">
      <c r="A92" s="951"/>
      <c r="B92" s="698"/>
      <c r="C92" s="279" t="s">
        <v>388</v>
      </c>
      <c r="D92" s="430" t="s">
        <v>237</v>
      </c>
      <c r="E92" s="280"/>
      <c r="F92" s="431">
        <f t="shared" si="16"/>
        <v>0</v>
      </c>
      <c r="G92" s="595">
        <v>445.38</v>
      </c>
      <c r="H92" s="586">
        <f t="shared" si="18"/>
        <v>0</v>
      </c>
      <c r="I92" s="589">
        <f t="shared" si="17"/>
        <v>0</v>
      </c>
      <c r="J92" s="371"/>
    </row>
    <row r="93" spans="1:10" ht="35.25" customHeight="1" x14ac:dyDescent="0.25">
      <c r="A93" s="951"/>
      <c r="B93" s="698"/>
      <c r="C93" s="279" t="s">
        <v>300</v>
      </c>
      <c r="D93" s="430" t="s">
        <v>237</v>
      </c>
      <c r="E93" s="280"/>
      <c r="F93" s="431">
        <f t="shared" si="16"/>
        <v>0</v>
      </c>
      <c r="G93" s="595">
        <v>63.55</v>
      </c>
      <c r="H93" s="586">
        <f t="shared" si="18"/>
        <v>0</v>
      </c>
      <c r="I93" s="589">
        <f t="shared" si="17"/>
        <v>0</v>
      </c>
      <c r="J93" s="371"/>
    </row>
    <row r="94" spans="1:10" ht="35.25" customHeight="1" x14ac:dyDescent="0.25">
      <c r="A94" s="951"/>
      <c r="B94" s="698"/>
      <c r="C94" s="279" t="s">
        <v>274</v>
      </c>
      <c r="D94" s="430" t="s">
        <v>237</v>
      </c>
      <c r="E94" s="280"/>
      <c r="F94" s="431">
        <f t="shared" si="16"/>
        <v>0</v>
      </c>
      <c r="G94" s="595">
        <v>71.44</v>
      </c>
      <c r="H94" s="586">
        <f t="shared" si="18"/>
        <v>0</v>
      </c>
      <c r="I94" s="589">
        <f t="shared" si="17"/>
        <v>0</v>
      </c>
      <c r="J94" s="371"/>
    </row>
    <row r="95" spans="1:10" ht="35.25" customHeight="1" x14ac:dyDescent="0.25">
      <c r="A95" s="951"/>
      <c r="B95" s="698"/>
      <c r="C95" s="279" t="s">
        <v>275</v>
      </c>
      <c r="D95" s="430" t="s">
        <v>237</v>
      </c>
      <c r="E95" s="280"/>
      <c r="F95" s="431">
        <f t="shared" si="16"/>
        <v>0</v>
      </c>
      <c r="G95" s="595">
        <v>36.5</v>
      </c>
      <c r="H95" s="586">
        <f t="shared" si="18"/>
        <v>0</v>
      </c>
      <c r="I95" s="589">
        <f t="shared" si="17"/>
        <v>0</v>
      </c>
      <c r="J95" s="371"/>
    </row>
    <row r="96" spans="1:10" ht="35.25" customHeight="1" x14ac:dyDescent="0.25">
      <c r="A96" s="951"/>
      <c r="B96" s="698"/>
      <c r="C96" s="279" t="s">
        <v>424</v>
      </c>
      <c r="D96" s="430" t="s">
        <v>237</v>
      </c>
      <c r="E96" s="280"/>
      <c r="F96" s="431">
        <f t="shared" si="16"/>
        <v>0</v>
      </c>
      <c r="G96" s="595">
        <v>320.35000000000002</v>
      </c>
      <c r="H96" s="586">
        <f t="shared" si="18"/>
        <v>0</v>
      </c>
      <c r="I96" s="589">
        <f t="shared" si="17"/>
        <v>0</v>
      </c>
      <c r="J96" s="371"/>
    </row>
    <row r="97" spans="1:10" ht="35.25" customHeight="1" x14ac:dyDescent="0.25">
      <c r="A97" s="951"/>
      <c r="B97" s="698"/>
      <c r="C97" s="279" t="s">
        <v>284</v>
      </c>
      <c r="D97" s="430" t="s">
        <v>237</v>
      </c>
      <c r="E97" s="280"/>
      <c r="F97" s="431">
        <f t="shared" si="16"/>
        <v>0</v>
      </c>
      <c r="G97" s="595">
        <v>320.35000000000002</v>
      </c>
      <c r="H97" s="586">
        <f t="shared" si="18"/>
        <v>0</v>
      </c>
      <c r="I97" s="589">
        <f t="shared" si="17"/>
        <v>0</v>
      </c>
      <c r="J97" s="371"/>
    </row>
    <row r="98" spans="1:10" ht="35.25" customHeight="1" x14ac:dyDescent="0.25">
      <c r="A98" s="951"/>
      <c r="B98" s="698"/>
      <c r="C98" s="279" t="s">
        <v>295</v>
      </c>
      <c r="D98" s="430" t="s">
        <v>237</v>
      </c>
      <c r="E98" s="280"/>
      <c r="F98" s="431">
        <f t="shared" si="16"/>
        <v>0</v>
      </c>
      <c r="G98" s="595">
        <v>434.41</v>
      </c>
      <c r="H98" s="586">
        <f t="shared" si="18"/>
        <v>0</v>
      </c>
      <c r="I98" s="589">
        <f t="shared" si="17"/>
        <v>0</v>
      </c>
      <c r="J98" s="371"/>
    </row>
    <row r="99" spans="1:10" ht="35.25" customHeight="1" x14ac:dyDescent="0.25">
      <c r="A99" s="951"/>
      <c r="B99" s="698"/>
      <c r="C99" s="279" t="s">
        <v>281</v>
      </c>
      <c r="D99" s="430" t="s">
        <v>237</v>
      </c>
      <c r="E99" s="280"/>
      <c r="F99" s="431">
        <f t="shared" si="16"/>
        <v>0</v>
      </c>
      <c r="G99" s="595">
        <v>29690</v>
      </c>
      <c r="H99" s="586">
        <f t="shared" si="18"/>
        <v>0</v>
      </c>
      <c r="I99" s="589">
        <f t="shared" si="17"/>
        <v>0</v>
      </c>
      <c r="J99" s="371"/>
    </row>
    <row r="100" spans="1:10" ht="35.25" customHeight="1" x14ac:dyDescent="0.25">
      <c r="A100" s="951"/>
      <c r="B100" s="698"/>
      <c r="C100" s="279" t="s">
        <v>281</v>
      </c>
      <c r="D100" s="430" t="s">
        <v>237</v>
      </c>
      <c r="E100" s="280"/>
      <c r="F100" s="431">
        <f t="shared" si="16"/>
        <v>0</v>
      </c>
      <c r="G100" s="595">
        <v>26445</v>
      </c>
      <c r="H100" s="586">
        <f t="shared" si="18"/>
        <v>0</v>
      </c>
      <c r="I100" s="589">
        <f t="shared" si="17"/>
        <v>0</v>
      </c>
      <c r="J100" s="371"/>
    </row>
    <row r="101" spans="1:10" ht="35.25" customHeight="1" x14ac:dyDescent="0.25">
      <c r="A101" s="951"/>
      <c r="B101" s="698"/>
      <c r="C101" s="279" t="s">
        <v>281</v>
      </c>
      <c r="D101" s="430"/>
      <c r="E101" s="280">
        <v>4</v>
      </c>
      <c r="F101" s="431">
        <f t="shared" si="16"/>
        <v>4</v>
      </c>
      <c r="G101" s="595">
        <v>29690</v>
      </c>
      <c r="H101" s="586">
        <f t="shared" si="18"/>
        <v>118760</v>
      </c>
      <c r="I101" s="589">
        <f t="shared" si="17"/>
        <v>118760</v>
      </c>
      <c r="J101" s="371"/>
    </row>
    <row r="102" spans="1:10" ht="35.25" customHeight="1" x14ac:dyDescent="0.25">
      <c r="A102" s="951"/>
      <c r="B102" s="698"/>
      <c r="C102" s="279" t="s">
        <v>310</v>
      </c>
      <c r="D102" s="430" t="s">
        <v>335</v>
      </c>
      <c r="E102" s="280"/>
      <c r="F102" s="431">
        <f t="shared" si="16"/>
        <v>0</v>
      </c>
      <c r="G102" s="595">
        <v>50</v>
      </c>
      <c r="H102" s="586">
        <f t="shared" si="18"/>
        <v>0</v>
      </c>
      <c r="I102" s="589">
        <f t="shared" si="17"/>
        <v>0</v>
      </c>
      <c r="J102" s="371"/>
    </row>
    <row r="103" spans="1:10" ht="35.25" customHeight="1" x14ac:dyDescent="0.25">
      <c r="A103" s="951"/>
      <c r="B103" s="698"/>
      <c r="C103" s="279" t="s">
        <v>310</v>
      </c>
      <c r="D103" s="430"/>
      <c r="E103" s="280"/>
      <c r="F103" s="431">
        <f t="shared" si="16"/>
        <v>0</v>
      </c>
      <c r="G103" s="595">
        <v>10</v>
      </c>
      <c r="H103" s="586">
        <f t="shared" si="18"/>
        <v>0</v>
      </c>
      <c r="I103" s="589">
        <f t="shared" si="17"/>
        <v>0</v>
      </c>
      <c r="J103" s="371"/>
    </row>
    <row r="104" spans="1:10" ht="35.25" customHeight="1" x14ac:dyDescent="0.25">
      <c r="A104" s="951"/>
      <c r="B104" s="698"/>
      <c r="C104" s="279" t="s">
        <v>327</v>
      </c>
      <c r="D104" s="430" t="s">
        <v>368</v>
      </c>
      <c r="E104" s="280"/>
      <c r="F104" s="431">
        <f t="shared" si="16"/>
        <v>0</v>
      </c>
      <c r="G104" s="595">
        <v>57.64</v>
      </c>
      <c r="H104" s="586">
        <f t="shared" si="18"/>
        <v>0</v>
      </c>
      <c r="I104" s="589">
        <f t="shared" si="17"/>
        <v>0</v>
      </c>
      <c r="J104" s="371"/>
    </row>
    <row r="105" spans="1:10" ht="35.25" customHeight="1" x14ac:dyDescent="0.25">
      <c r="A105" s="951"/>
      <c r="B105" s="698"/>
      <c r="C105" s="279" t="s">
        <v>327</v>
      </c>
      <c r="D105" s="430" t="s">
        <v>362</v>
      </c>
      <c r="E105" s="280"/>
      <c r="F105" s="431">
        <f t="shared" si="16"/>
        <v>0</v>
      </c>
      <c r="G105" s="595">
        <v>57.64</v>
      </c>
      <c r="H105" s="586">
        <f t="shared" si="18"/>
        <v>0</v>
      </c>
      <c r="I105" s="589">
        <f t="shared" si="17"/>
        <v>0</v>
      </c>
      <c r="J105" s="371"/>
    </row>
    <row r="106" spans="1:10" ht="35.25" customHeight="1" x14ac:dyDescent="0.25">
      <c r="A106" s="951"/>
      <c r="B106" s="698"/>
      <c r="C106" s="279" t="s">
        <v>328</v>
      </c>
      <c r="D106" s="430" t="s">
        <v>329</v>
      </c>
      <c r="E106" s="280"/>
      <c r="F106" s="431">
        <f t="shared" si="16"/>
        <v>0</v>
      </c>
      <c r="G106" s="595">
        <v>434.41</v>
      </c>
      <c r="H106" s="586">
        <f t="shared" si="18"/>
        <v>0</v>
      </c>
      <c r="I106" s="589">
        <f t="shared" si="17"/>
        <v>0</v>
      </c>
      <c r="J106" s="371"/>
    </row>
    <row r="107" spans="1:10" ht="35.25" customHeight="1" x14ac:dyDescent="0.25">
      <c r="A107" s="951"/>
      <c r="B107" s="698"/>
      <c r="C107" s="279" t="s">
        <v>341</v>
      </c>
      <c r="D107" s="430" t="s">
        <v>237</v>
      </c>
      <c r="E107" s="280"/>
      <c r="F107" s="431">
        <f t="shared" si="16"/>
        <v>0</v>
      </c>
      <c r="G107" s="595">
        <v>624.26</v>
      </c>
      <c r="H107" s="586">
        <f t="shared" si="18"/>
        <v>0</v>
      </c>
      <c r="I107" s="589">
        <f t="shared" si="17"/>
        <v>0</v>
      </c>
      <c r="J107" s="371"/>
    </row>
    <row r="108" spans="1:10" ht="35.25" customHeight="1" x14ac:dyDescent="0.25">
      <c r="A108" s="951"/>
      <c r="B108" s="698"/>
      <c r="C108" s="279" t="s">
        <v>330</v>
      </c>
      <c r="D108" s="430" t="s">
        <v>329</v>
      </c>
      <c r="E108" s="280"/>
      <c r="F108" s="431">
        <f t="shared" si="16"/>
        <v>0</v>
      </c>
      <c r="G108" s="595">
        <v>63.55</v>
      </c>
      <c r="H108" s="586">
        <f t="shared" si="18"/>
        <v>0</v>
      </c>
      <c r="I108" s="589">
        <f t="shared" si="17"/>
        <v>0</v>
      </c>
      <c r="J108" s="371"/>
    </row>
    <row r="109" spans="1:10" ht="35.25" customHeight="1" x14ac:dyDescent="0.25">
      <c r="A109" s="951"/>
      <c r="B109" s="698"/>
      <c r="C109" s="279" t="s">
        <v>369</v>
      </c>
      <c r="D109" s="430" t="s">
        <v>237</v>
      </c>
      <c r="E109" s="280"/>
      <c r="F109" s="431">
        <f t="shared" si="16"/>
        <v>0</v>
      </c>
      <c r="G109" s="595">
        <v>59.96</v>
      </c>
      <c r="H109" s="586">
        <f t="shared" si="18"/>
        <v>0</v>
      </c>
      <c r="I109" s="589">
        <f t="shared" si="17"/>
        <v>0</v>
      </c>
      <c r="J109" s="371"/>
    </row>
    <row r="110" spans="1:10" ht="35.25" customHeight="1" x14ac:dyDescent="0.25">
      <c r="A110" s="951"/>
      <c r="B110" s="698"/>
      <c r="C110" s="279" t="s">
        <v>417</v>
      </c>
      <c r="D110" s="430" t="s">
        <v>329</v>
      </c>
      <c r="E110" s="280"/>
      <c r="F110" s="431">
        <f t="shared" si="16"/>
        <v>0</v>
      </c>
      <c r="G110" s="595">
        <v>53.86</v>
      </c>
      <c r="H110" s="586">
        <f t="shared" si="18"/>
        <v>0</v>
      </c>
      <c r="I110" s="589">
        <f t="shared" si="17"/>
        <v>0</v>
      </c>
      <c r="J110" s="371"/>
    </row>
    <row r="111" spans="1:10" ht="35.25" customHeight="1" x14ac:dyDescent="0.25">
      <c r="A111" s="951"/>
      <c r="B111" s="698"/>
      <c r="C111" s="279" t="s">
        <v>377</v>
      </c>
      <c r="D111" s="430"/>
      <c r="E111" s="280"/>
      <c r="F111" s="431">
        <f t="shared" si="16"/>
        <v>0</v>
      </c>
      <c r="G111" s="595">
        <v>360</v>
      </c>
      <c r="H111" s="586">
        <f t="shared" si="18"/>
        <v>0</v>
      </c>
      <c r="I111" s="589">
        <f t="shared" si="17"/>
        <v>0</v>
      </c>
      <c r="J111" s="371"/>
    </row>
    <row r="112" spans="1:10" ht="35.25" customHeight="1" x14ac:dyDescent="0.25">
      <c r="A112" s="951"/>
      <c r="B112" s="698"/>
      <c r="C112" s="279" t="s">
        <v>465</v>
      </c>
      <c r="D112" s="430"/>
      <c r="E112" s="280"/>
      <c r="F112" s="431">
        <f t="shared" si="16"/>
        <v>0</v>
      </c>
      <c r="G112" s="595"/>
      <c r="H112" s="586">
        <f>+E112</f>
        <v>0</v>
      </c>
      <c r="I112" s="589">
        <f>+H112</f>
        <v>0</v>
      </c>
      <c r="J112" s="371"/>
    </row>
    <row r="113" spans="1:10" ht="35.25" customHeight="1" x14ac:dyDescent="0.25">
      <c r="A113" s="951"/>
      <c r="B113" s="698"/>
      <c r="C113" s="279" t="s">
        <v>281</v>
      </c>
      <c r="D113" s="430"/>
      <c r="E113" s="280"/>
      <c r="F113" s="431">
        <f t="shared" si="16"/>
        <v>0</v>
      </c>
      <c r="G113" s="595">
        <v>39450</v>
      </c>
      <c r="H113" s="586">
        <f t="shared" si="18"/>
        <v>0</v>
      </c>
      <c r="I113" s="589">
        <f t="shared" si="17"/>
        <v>0</v>
      </c>
      <c r="J113" s="371"/>
    </row>
    <row r="114" spans="1:10" ht="35.25" customHeight="1" thickBot="1" x14ac:dyDescent="0.3">
      <c r="A114" s="951"/>
      <c r="B114" s="698"/>
      <c r="C114" s="279" t="s">
        <v>327</v>
      </c>
      <c r="D114" s="430" t="s">
        <v>438</v>
      </c>
      <c r="E114" s="280"/>
      <c r="F114" s="431">
        <f t="shared" si="16"/>
        <v>0</v>
      </c>
      <c r="G114" s="595">
        <v>57.64</v>
      </c>
      <c r="H114" s="586">
        <f t="shared" si="18"/>
        <v>0</v>
      </c>
      <c r="I114" s="589">
        <f t="shared" si="17"/>
        <v>0</v>
      </c>
      <c r="J114" s="371"/>
    </row>
    <row r="115" spans="1:10" ht="35.25" customHeight="1" thickBot="1" x14ac:dyDescent="0.3">
      <c r="A115" s="952"/>
      <c r="B115" s="946" t="s">
        <v>269</v>
      </c>
      <c r="C115" s="947"/>
      <c r="D115" s="697"/>
      <c r="E115" s="324">
        <f>SUM(E90:E114)</f>
        <v>4</v>
      </c>
      <c r="F115" s="324">
        <f>SUM(F90:F114)</f>
        <v>4</v>
      </c>
      <c r="G115" s="324"/>
      <c r="H115" s="583">
        <f>SUM(H90:H114)</f>
        <v>118760</v>
      </c>
      <c r="I115" s="573">
        <f>SUM(I90:I114)</f>
        <v>118760</v>
      </c>
      <c r="J115" s="370"/>
    </row>
    <row r="116" spans="1:10" ht="35.25" customHeight="1" thickBot="1" x14ac:dyDescent="0.3">
      <c r="A116" s="703"/>
      <c r="B116" s="433"/>
      <c r="C116" s="279" t="s">
        <v>377</v>
      </c>
      <c r="D116" s="430"/>
      <c r="E116" s="280"/>
      <c r="F116" s="281">
        <f>+E116</f>
        <v>0</v>
      </c>
      <c r="G116" s="332"/>
      <c r="H116" s="582">
        <f t="shared" ref="H116" si="19">E116*G116</f>
        <v>0</v>
      </c>
      <c r="I116" s="282">
        <f t="shared" ref="I116" si="20">+G116*F116</f>
        <v>0</v>
      </c>
      <c r="J116" s="371"/>
    </row>
    <row r="117" spans="1:10" ht="35.25" customHeight="1" thickBot="1" x14ac:dyDescent="0.3">
      <c r="A117" s="703"/>
      <c r="B117" s="946" t="s">
        <v>223</v>
      </c>
      <c r="C117" s="947"/>
      <c r="D117" s="699"/>
      <c r="E117" s="324"/>
      <c r="F117" s="325"/>
      <c r="G117" s="324"/>
      <c r="H117" s="580"/>
      <c r="I117" s="322">
        <f>SUM(I116)</f>
        <v>0</v>
      </c>
      <c r="J117" s="347"/>
    </row>
    <row r="118" spans="1:10" ht="35.25" customHeight="1" thickBot="1" x14ac:dyDescent="0.3">
      <c r="A118" s="318"/>
      <c r="B118" s="948" t="s">
        <v>174</v>
      </c>
      <c r="C118" s="949"/>
      <c r="D118" s="700"/>
      <c r="E118" s="372">
        <f>+E115+E89+E56+E54</f>
        <v>4</v>
      </c>
      <c r="F118" s="372">
        <f>+F115+F89+F56+F54</f>
        <v>4</v>
      </c>
      <c r="G118" s="372"/>
      <c r="H118" s="372"/>
      <c r="I118" s="372">
        <f>+I115+I89+I56+I117</f>
        <v>118760</v>
      </c>
      <c r="J118" s="373"/>
    </row>
    <row r="119" spans="1:10" ht="24.6" customHeight="1" thickBot="1" x14ac:dyDescent="0.3">
      <c r="A119" s="230"/>
      <c r="B119" s="230"/>
      <c r="C119" s="230"/>
      <c r="D119" s="230"/>
      <c r="E119" s="232"/>
      <c r="F119" s="232"/>
      <c r="G119" s="232"/>
      <c r="H119" s="232"/>
      <c r="I119" s="267"/>
      <c r="J119" s="234"/>
    </row>
    <row r="120" spans="1:10" ht="35.25" customHeight="1" x14ac:dyDescent="0.25">
      <c r="A120" s="881" t="s">
        <v>1</v>
      </c>
      <c r="B120" s="884" t="s">
        <v>2</v>
      </c>
      <c r="C120" s="955" t="s">
        <v>394</v>
      </c>
      <c r="D120" s="935" t="s">
        <v>395</v>
      </c>
      <c r="E120" s="959" t="s">
        <v>499</v>
      </c>
      <c r="F120" s="891"/>
      <c r="G120" s="891"/>
      <c r="H120" s="891"/>
      <c r="I120" s="891"/>
      <c r="J120" s="892"/>
    </row>
    <row r="121" spans="1:10" ht="35.25" customHeight="1" x14ac:dyDescent="0.25">
      <c r="A121" s="953"/>
      <c r="B121" s="954"/>
      <c r="C121" s="956"/>
      <c r="D121" s="936"/>
      <c r="E121" s="960" t="s">
        <v>410</v>
      </c>
      <c r="F121" s="961"/>
      <c r="G121" s="960" t="s">
        <v>409</v>
      </c>
      <c r="H121" s="962"/>
      <c r="I121" s="962"/>
      <c r="J121" s="961"/>
    </row>
    <row r="122" spans="1:10" ht="35.25" customHeight="1" x14ac:dyDescent="0.25">
      <c r="A122" s="882"/>
      <c r="B122" s="885"/>
      <c r="C122" s="957"/>
      <c r="D122" s="936"/>
      <c r="E122" s="893" t="s">
        <v>411</v>
      </c>
      <c r="F122" s="895" t="s">
        <v>412</v>
      </c>
      <c r="G122" s="964" t="s">
        <v>90</v>
      </c>
      <c r="H122" s="966" t="s">
        <v>91</v>
      </c>
      <c r="I122" s="966" t="s">
        <v>91</v>
      </c>
      <c r="J122" s="968" t="s">
        <v>12</v>
      </c>
    </row>
    <row r="123" spans="1:10" ht="35.25" customHeight="1" thickBot="1" x14ac:dyDescent="0.3">
      <c r="A123" s="883"/>
      <c r="B123" s="886"/>
      <c r="C123" s="958"/>
      <c r="D123" s="937"/>
      <c r="E123" s="894"/>
      <c r="F123" s="963"/>
      <c r="G123" s="965"/>
      <c r="H123" s="967"/>
      <c r="I123" s="967"/>
      <c r="J123" s="969"/>
    </row>
    <row r="124" spans="1:10" ht="35.25" customHeight="1" x14ac:dyDescent="0.25">
      <c r="A124" s="950" t="s">
        <v>103</v>
      </c>
      <c r="B124" s="435"/>
      <c r="C124" s="570" t="s">
        <v>437</v>
      </c>
      <c r="D124" s="630" t="s">
        <v>372</v>
      </c>
      <c r="E124" s="660"/>
      <c r="F124" s="636">
        <f>+E124+F15</f>
        <v>0</v>
      </c>
      <c r="G124" s="691">
        <v>107.85</v>
      </c>
      <c r="H124" s="584">
        <f t="shared" ref="H124:H139" si="21">E124*G124</f>
        <v>0</v>
      </c>
      <c r="I124" s="587">
        <f>+G124*F124</f>
        <v>0</v>
      </c>
      <c r="J124" s="349"/>
    </row>
    <row r="125" spans="1:10" ht="35.25" customHeight="1" x14ac:dyDescent="0.25">
      <c r="A125" s="951"/>
      <c r="B125" s="434"/>
      <c r="C125" s="437" t="s">
        <v>263</v>
      </c>
      <c r="D125" s="631" t="s">
        <v>264</v>
      </c>
      <c r="E125" s="661"/>
      <c r="F125" s="662">
        <f t="shared" ref="F125:F139" si="22">+E125+F16</f>
        <v>0</v>
      </c>
      <c r="G125" s="658">
        <v>11</v>
      </c>
      <c r="H125" s="585">
        <f t="shared" si="21"/>
        <v>0</v>
      </c>
      <c r="I125" s="588">
        <f>+G125*F125</f>
        <v>0</v>
      </c>
      <c r="J125" s="350"/>
    </row>
    <row r="126" spans="1:10" ht="35.25" customHeight="1" x14ac:dyDescent="0.25">
      <c r="A126" s="951"/>
      <c r="B126" s="434"/>
      <c r="C126" s="437" t="s">
        <v>294</v>
      </c>
      <c r="D126" s="631" t="s">
        <v>448</v>
      </c>
      <c r="E126" s="661"/>
      <c r="F126" s="662">
        <f t="shared" si="22"/>
        <v>0</v>
      </c>
      <c r="G126" s="658">
        <v>139.04</v>
      </c>
      <c r="H126" s="585">
        <f t="shared" si="21"/>
        <v>0</v>
      </c>
      <c r="I126" s="588">
        <f t="shared" ref="I126:I139" si="23">+G126*F126</f>
        <v>0</v>
      </c>
      <c r="J126" s="350"/>
    </row>
    <row r="127" spans="1:10" ht="35.25" customHeight="1" x14ac:dyDescent="0.25">
      <c r="A127" s="951"/>
      <c r="B127" s="434"/>
      <c r="C127" s="437" t="s">
        <v>355</v>
      </c>
      <c r="D127" s="631" t="s">
        <v>356</v>
      </c>
      <c r="E127" s="661"/>
      <c r="F127" s="662">
        <f t="shared" si="22"/>
        <v>0</v>
      </c>
      <c r="G127" s="675">
        <v>20.5</v>
      </c>
      <c r="H127" s="585">
        <f t="shared" si="21"/>
        <v>0</v>
      </c>
      <c r="I127" s="588">
        <f t="shared" si="23"/>
        <v>0</v>
      </c>
      <c r="J127" s="350"/>
    </row>
    <row r="128" spans="1:10" ht="35.25" customHeight="1" x14ac:dyDescent="0.25">
      <c r="A128" s="951"/>
      <c r="B128" s="434"/>
      <c r="C128" s="437" t="s">
        <v>287</v>
      </c>
      <c r="D128" s="631" t="s">
        <v>177</v>
      </c>
      <c r="E128" s="661"/>
      <c r="F128" s="662">
        <f t="shared" si="22"/>
        <v>0</v>
      </c>
      <c r="G128" s="658">
        <v>14.79</v>
      </c>
      <c r="H128" s="585">
        <f t="shared" si="21"/>
        <v>0</v>
      </c>
      <c r="I128" s="588">
        <f t="shared" si="23"/>
        <v>0</v>
      </c>
      <c r="J128" s="350"/>
    </row>
    <row r="129" spans="1:10" ht="35.25" customHeight="1" x14ac:dyDescent="0.25">
      <c r="A129" s="951"/>
      <c r="B129" s="434"/>
      <c r="C129" s="437" t="s">
        <v>294</v>
      </c>
      <c r="D129" s="631" t="s">
        <v>264</v>
      </c>
      <c r="E129" s="661"/>
      <c r="F129" s="662">
        <f t="shared" si="22"/>
        <v>0</v>
      </c>
      <c r="G129" s="658">
        <v>139.04</v>
      </c>
      <c r="H129" s="585">
        <f t="shared" si="21"/>
        <v>0</v>
      </c>
      <c r="I129" s="588">
        <f t="shared" si="23"/>
        <v>0</v>
      </c>
      <c r="J129" s="350"/>
    </row>
    <row r="130" spans="1:10" ht="35.25" customHeight="1" x14ac:dyDescent="0.25">
      <c r="A130" s="951"/>
      <c r="B130" s="434"/>
      <c r="C130" s="437" t="s">
        <v>389</v>
      </c>
      <c r="D130" s="632" t="s">
        <v>354</v>
      </c>
      <c r="E130" s="661"/>
      <c r="F130" s="662">
        <f t="shared" si="22"/>
        <v>0</v>
      </c>
      <c r="G130" s="658">
        <v>147.58000000000001</v>
      </c>
      <c r="H130" s="585">
        <f t="shared" si="21"/>
        <v>0</v>
      </c>
      <c r="I130" s="588">
        <f t="shared" si="23"/>
        <v>0</v>
      </c>
      <c r="J130" s="350"/>
    </row>
    <row r="131" spans="1:10" ht="35.25" customHeight="1" x14ac:dyDescent="0.25">
      <c r="A131" s="951"/>
      <c r="B131" s="434"/>
      <c r="C131" s="437" t="s">
        <v>312</v>
      </c>
      <c r="D131" s="632" t="s">
        <v>440</v>
      </c>
      <c r="E131" s="661"/>
      <c r="F131" s="662">
        <f t="shared" si="22"/>
        <v>0</v>
      </c>
      <c r="G131" s="658">
        <v>18.84</v>
      </c>
      <c r="H131" s="585">
        <f t="shared" si="21"/>
        <v>0</v>
      </c>
      <c r="I131" s="588">
        <f t="shared" si="23"/>
        <v>0</v>
      </c>
      <c r="J131" s="350"/>
    </row>
    <row r="132" spans="1:10" ht="35.25" customHeight="1" x14ac:dyDescent="0.25">
      <c r="A132" s="951"/>
      <c r="B132" s="434"/>
      <c r="C132" s="437" t="s">
        <v>312</v>
      </c>
      <c r="D132" s="632" t="s">
        <v>264</v>
      </c>
      <c r="E132" s="661"/>
      <c r="F132" s="662">
        <f t="shared" si="22"/>
        <v>0</v>
      </c>
      <c r="G132" s="658">
        <v>18.84</v>
      </c>
      <c r="H132" s="585">
        <f t="shared" si="21"/>
        <v>0</v>
      </c>
      <c r="I132" s="588">
        <f t="shared" si="23"/>
        <v>0</v>
      </c>
      <c r="J132" s="350"/>
    </row>
    <row r="133" spans="1:10" ht="35.25" customHeight="1" x14ac:dyDescent="0.25">
      <c r="A133" s="951"/>
      <c r="B133" s="434"/>
      <c r="C133" s="437" t="s">
        <v>320</v>
      </c>
      <c r="D133" s="632" t="s">
        <v>231</v>
      </c>
      <c r="E133" s="661"/>
      <c r="F133" s="662">
        <f t="shared" si="22"/>
        <v>0</v>
      </c>
      <c r="G133" s="658">
        <v>21.18</v>
      </c>
      <c r="H133" s="585">
        <f t="shared" si="21"/>
        <v>0</v>
      </c>
      <c r="I133" s="588">
        <f t="shared" si="23"/>
        <v>0</v>
      </c>
      <c r="J133" s="350"/>
    </row>
    <row r="134" spans="1:10" ht="35.25" customHeight="1" x14ac:dyDescent="0.25">
      <c r="A134" s="951"/>
      <c r="B134" s="434"/>
      <c r="C134" s="437" t="s">
        <v>322</v>
      </c>
      <c r="D134" s="632" t="s">
        <v>323</v>
      </c>
      <c r="E134" s="661"/>
      <c r="F134" s="662">
        <f t="shared" si="22"/>
        <v>0</v>
      </c>
      <c r="G134" s="658">
        <v>21.28</v>
      </c>
      <c r="H134" s="585">
        <f t="shared" si="21"/>
        <v>0</v>
      </c>
      <c r="I134" s="588">
        <f t="shared" si="23"/>
        <v>0</v>
      </c>
      <c r="J134" s="350"/>
    </row>
    <row r="135" spans="1:10" ht="35.25" customHeight="1" x14ac:dyDescent="0.25">
      <c r="A135" s="951"/>
      <c r="B135" s="434"/>
      <c r="C135" s="437" t="s">
        <v>376</v>
      </c>
      <c r="D135" s="632" t="s">
        <v>372</v>
      </c>
      <c r="E135" s="661"/>
      <c r="F135" s="662">
        <f t="shared" si="22"/>
        <v>0</v>
      </c>
      <c r="G135" s="658">
        <v>143.28</v>
      </c>
      <c r="H135" s="585">
        <f t="shared" si="21"/>
        <v>0</v>
      </c>
      <c r="I135" s="588">
        <f t="shared" si="23"/>
        <v>0</v>
      </c>
      <c r="J135" s="350"/>
    </row>
    <row r="136" spans="1:10" ht="35.25" customHeight="1" x14ac:dyDescent="0.25">
      <c r="A136" s="951"/>
      <c r="B136" s="434"/>
      <c r="C136" s="437" t="s">
        <v>466</v>
      </c>
      <c r="D136" s="632"/>
      <c r="E136" s="661"/>
      <c r="F136" s="662">
        <f t="shared" si="22"/>
        <v>0</v>
      </c>
      <c r="G136" s="658">
        <v>14.79</v>
      </c>
      <c r="H136" s="585">
        <f t="shared" si="21"/>
        <v>0</v>
      </c>
      <c r="I136" s="588">
        <f t="shared" si="23"/>
        <v>0</v>
      </c>
      <c r="J136" s="350"/>
    </row>
    <row r="137" spans="1:10" ht="35.25" customHeight="1" x14ac:dyDescent="0.25">
      <c r="A137" s="951"/>
      <c r="B137" s="434"/>
      <c r="C137" s="437" t="s">
        <v>446</v>
      </c>
      <c r="D137" s="631" t="s">
        <v>177</v>
      </c>
      <c r="E137" s="661"/>
      <c r="F137" s="662">
        <f t="shared" si="22"/>
        <v>0</v>
      </c>
      <c r="G137" s="658">
        <v>14.55</v>
      </c>
      <c r="H137" s="585">
        <f t="shared" si="21"/>
        <v>0</v>
      </c>
      <c r="I137" s="588">
        <f t="shared" si="23"/>
        <v>0</v>
      </c>
      <c r="J137" s="350"/>
    </row>
    <row r="138" spans="1:10" ht="35.25" customHeight="1" x14ac:dyDescent="0.25">
      <c r="A138" s="951"/>
      <c r="B138" s="434"/>
      <c r="C138" s="437" t="s">
        <v>325</v>
      </c>
      <c r="D138" s="632" t="s">
        <v>188</v>
      </c>
      <c r="E138" s="661"/>
      <c r="F138" s="662">
        <f t="shared" si="22"/>
        <v>0</v>
      </c>
      <c r="G138" s="658">
        <v>21.28</v>
      </c>
      <c r="H138" s="585">
        <f t="shared" si="21"/>
        <v>0</v>
      </c>
      <c r="I138" s="588">
        <f t="shared" si="23"/>
        <v>0</v>
      </c>
      <c r="J138" s="350"/>
    </row>
    <row r="139" spans="1:10" ht="35.25" customHeight="1" thickBot="1" x14ac:dyDescent="0.3">
      <c r="A139" s="951"/>
      <c r="B139" s="434"/>
      <c r="C139" s="437" t="s">
        <v>334</v>
      </c>
      <c r="D139" s="633" t="s">
        <v>178</v>
      </c>
      <c r="E139" s="661"/>
      <c r="F139" s="637">
        <f t="shared" si="22"/>
        <v>0</v>
      </c>
      <c r="G139" s="658">
        <v>36.44</v>
      </c>
      <c r="H139" s="585">
        <f t="shared" si="21"/>
        <v>0</v>
      </c>
      <c r="I139" s="588">
        <f t="shared" si="23"/>
        <v>0</v>
      </c>
      <c r="J139" s="350"/>
    </row>
    <row r="140" spans="1:10" ht="35.25" customHeight="1" thickBot="1" x14ac:dyDescent="0.3">
      <c r="A140" s="951"/>
      <c r="B140" s="946" t="s">
        <v>265</v>
      </c>
      <c r="C140" s="947"/>
      <c r="D140" s="782"/>
      <c r="E140" s="324">
        <f>SUM(E124:E139)</f>
        <v>0</v>
      </c>
      <c r="F140" s="659">
        <f>SUM(F124:F139)</f>
        <v>0</v>
      </c>
      <c r="G140" s="324"/>
      <c r="H140" s="580">
        <f>SUM(H124:H139)</f>
        <v>0</v>
      </c>
      <c r="I140" s="573">
        <f>SUM(I124:I139)</f>
        <v>0</v>
      </c>
      <c r="J140" s="347"/>
    </row>
    <row r="141" spans="1:10" ht="35.25" customHeight="1" x14ac:dyDescent="0.25">
      <c r="A141" s="951"/>
      <c r="B141" s="787"/>
      <c r="C141" s="279" t="s">
        <v>270</v>
      </c>
      <c r="D141" s="430" t="s">
        <v>237</v>
      </c>
      <c r="E141" s="280"/>
      <c r="F141" s="431">
        <f t="shared" ref="F141:F162" si="24">+E141+F32</f>
        <v>0</v>
      </c>
      <c r="G141" s="571">
        <v>160.44999999999999</v>
      </c>
      <c r="H141" s="586">
        <f t="shared" ref="H141:H154" si="25">E141*G141</f>
        <v>0</v>
      </c>
      <c r="I141" s="589">
        <f t="shared" ref="I141:I154" si="26">+G141*F141</f>
        <v>0</v>
      </c>
      <c r="J141" s="371"/>
    </row>
    <row r="142" spans="1:10" ht="35.25" customHeight="1" x14ac:dyDescent="0.25">
      <c r="A142" s="951"/>
      <c r="B142" s="787"/>
      <c r="C142" s="279" t="s">
        <v>285</v>
      </c>
      <c r="D142" s="430" t="s">
        <v>237</v>
      </c>
      <c r="E142" s="280"/>
      <c r="F142" s="431">
        <f t="shared" si="24"/>
        <v>0</v>
      </c>
      <c r="G142" s="571">
        <v>160.44999999999999</v>
      </c>
      <c r="H142" s="586">
        <f t="shared" si="25"/>
        <v>0</v>
      </c>
      <c r="I142" s="589">
        <f t="shared" si="26"/>
        <v>0</v>
      </c>
      <c r="J142" s="371"/>
    </row>
    <row r="143" spans="1:10" ht="35.25" customHeight="1" x14ac:dyDescent="0.25">
      <c r="A143" s="951"/>
      <c r="B143" s="787"/>
      <c r="C143" s="279" t="s">
        <v>386</v>
      </c>
      <c r="D143" s="430" t="s">
        <v>237</v>
      </c>
      <c r="E143" s="280"/>
      <c r="F143" s="431">
        <f t="shared" si="24"/>
        <v>0</v>
      </c>
      <c r="G143" s="571">
        <v>160.44999999999999</v>
      </c>
      <c r="H143" s="586">
        <f t="shared" si="25"/>
        <v>0</v>
      </c>
      <c r="I143" s="589">
        <f t="shared" si="26"/>
        <v>0</v>
      </c>
      <c r="J143" s="371"/>
    </row>
    <row r="144" spans="1:10" ht="35.25" customHeight="1" x14ac:dyDescent="0.25">
      <c r="A144" s="951"/>
      <c r="B144" s="787"/>
      <c r="C144" s="279" t="s">
        <v>286</v>
      </c>
      <c r="D144" s="430" t="s">
        <v>93</v>
      </c>
      <c r="E144" s="280">
        <v>37620</v>
      </c>
      <c r="F144" s="431">
        <f t="shared" si="24"/>
        <v>37620</v>
      </c>
      <c r="G144" s="571">
        <v>27</v>
      </c>
      <c r="H144" s="586">
        <f t="shared" si="25"/>
        <v>1015740</v>
      </c>
      <c r="I144" s="589">
        <f t="shared" si="26"/>
        <v>1015740</v>
      </c>
      <c r="J144" s="371"/>
    </row>
    <row r="145" spans="1:10" ht="35.25" customHeight="1" x14ac:dyDescent="0.25">
      <c r="A145" s="951"/>
      <c r="B145" s="787"/>
      <c r="C145" s="279" t="s">
        <v>286</v>
      </c>
      <c r="D145" s="430" t="s">
        <v>291</v>
      </c>
      <c r="E145" s="280"/>
      <c r="F145" s="431">
        <f t="shared" si="24"/>
        <v>0</v>
      </c>
      <c r="G145" s="571">
        <v>27.5</v>
      </c>
      <c r="H145" s="586">
        <f t="shared" si="25"/>
        <v>0</v>
      </c>
      <c r="I145" s="589">
        <f t="shared" si="26"/>
        <v>0</v>
      </c>
      <c r="J145" s="371"/>
    </row>
    <row r="146" spans="1:10" ht="35.25" customHeight="1" x14ac:dyDescent="0.25">
      <c r="A146" s="951"/>
      <c r="B146" s="787"/>
      <c r="C146" s="279" t="s">
        <v>275</v>
      </c>
      <c r="D146" s="430" t="s">
        <v>291</v>
      </c>
      <c r="E146" s="280"/>
      <c r="F146" s="431">
        <f t="shared" si="24"/>
        <v>0</v>
      </c>
      <c r="G146" s="571">
        <v>34.5</v>
      </c>
      <c r="H146" s="586">
        <f t="shared" si="25"/>
        <v>0</v>
      </c>
      <c r="I146" s="589">
        <f t="shared" si="26"/>
        <v>0</v>
      </c>
      <c r="J146" s="371"/>
    </row>
    <row r="147" spans="1:10" ht="35.25" customHeight="1" x14ac:dyDescent="0.25">
      <c r="A147" s="951"/>
      <c r="B147" s="787"/>
      <c r="C147" s="279" t="s">
        <v>467</v>
      </c>
      <c r="D147" s="430" t="s">
        <v>435</v>
      </c>
      <c r="E147" s="280"/>
      <c r="F147" s="431">
        <f t="shared" si="24"/>
        <v>0</v>
      </c>
      <c r="G147" s="571">
        <v>10.57</v>
      </c>
      <c r="H147" s="586">
        <f t="shared" si="25"/>
        <v>0</v>
      </c>
      <c r="I147" s="589">
        <f t="shared" si="26"/>
        <v>0</v>
      </c>
      <c r="J147" s="371"/>
    </row>
    <row r="148" spans="1:10" ht="35.25" customHeight="1" x14ac:dyDescent="0.25">
      <c r="A148" s="951"/>
      <c r="B148" s="787"/>
      <c r="C148" s="279" t="s">
        <v>275</v>
      </c>
      <c r="D148" s="430" t="s">
        <v>435</v>
      </c>
      <c r="E148" s="280"/>
      <c r="F148" s="431">
        <f t="shared" si="24"/>
        <v>0</v>
      </c>
      <c r="G148" s="571">
        <v>55.76</v>
      </c>
      <c r="H148" s="586">
        <f t="shared" si="25"/>
        <v>0</v>
      </c>
      <c r="I148" s="589">
        <f t="shared" si="26"/>
        <v>0</v>
      </c>
      <c r="J148" s="371"/>
    </row>
    <row r="149" spans="1:10" ht="35.25" customHeight="1" x14ac:dyDescent="0.25">
      <c r="A149" s="951"/>
      <c r="B149" s="787"/>
      <c r="C149" s="279" t="s">
        <v>419</v>
      </c>
      <c r="D149" s="430" t="s">
        <v>237</v>
      </c>
      <c r="E149" s="280"/>
      <c r="F149" s="431">
        <f t="shared" si="24"/>
        <v>0</v>
      </c>
      <c r="G149" s="571">
        <v>160.44999999999999</v>
      </c>
      <c r="H149" s="586">
        <f t="shared" si="25"/>
        <v>0</v>
      </c>
      <c r="I149" s="589">
        <f t="shared" si="26"/>
        <v>0</v>
      </c>
      <c r="J149" s="371"/>
    </row>
    <row r="150" spans="1:10" ht="35.25" customHeight="1" x14ac:dyDescent="0.25">
      <c r="A150" s="951"/>
      <c r="B150" s="787"/>
      <c r="C150" s="279" t="s">
        <v>346</v>
      </c>
      <c r="D150" s="430" t="s">
        <v>237</v>
      </c>
      <c r="E150" s="280"/>
      <c r="F150" s="431">
        <f t="shared" si="24"/>
        <v>0</v>
      </c>
      <c r="G150" s="571">
        <v>160.44999999999999</v>
      </c>
      <c r="H150" s="586">
        <f t="shared" si="25"/>
        <v>0</v>
      </c>
      <c r="I150" s="589">
        <f t="shared" si="26"/>
        <v>0</v>
      </c>
      <c r="J150" s="371"/>
    </row>
    <row r="151" spans="1:10" ht="35.25" customHeight="1" x14ac:dyDescent="0.25">
      <c r="A151" s="951"/>
      <c r="B151" s="787"/>
      <c r="C151" s="279" t="s">
        <v>385</v>
      </c>
      <c r="D151" s="430" t="s">
        <v>237</v>
      </c>
      <c r="E151" s="280"/>
      <c r="F151" s="431">
        <f t="shared" si="24"/>
        <v>0</v>
      </c>
      <c r="G151" s="571">
        <v>160.44999999999999</v>
      </c>
      <c r="H151" s="586">
        <f t="shared" si="25"/>
        <v>0</v>
      </c>
      <c r="I151" s="589">
        <f t="shared" si="26"/>
        <v>0</v>
      </c>
      <c r="J151" s="371"/>
    </row>
    <row r="152" spans="1:10" ht="35.25" customHeight="1" x14ac:dyDescent="0.25">
      <c r="A152" s="951"/>
      <c r="B152" s="787"/>
      <c r="C152" s="279" t="s">
        <v>436</v>
      </c>
      <c r="D152" s="430" t="s">
        <v>237</v>
      </c>
      <c r="E152" s="280"/>
      <c r="F152" s="431">
        <f t="shared" si="24"/>
        <v>0</v>
      </c>
      <c r="G152" s="571">
        <v>160.44999999999999</v>
      </c>
      <c r="H152" s="586">
        <f t="shared" si="25"/>
        <v>0</v>
      </c>
      <c r="I152" s="589">
        <f t="shared" si="26"/>
        <v>0</v>
      </c>
      <c r="J152" s="371"/>
    </row>
    <row r="153" spans="1:10" ht="35.25" customHeight="1" x14ac:dyDescent="0.25">
      <c r="A153" s="951"/>
      <c r="B153" s="787"/>
      <c r="C153" s="279" t="s">
        <v>301</v>
      </c>
      <c r="D153" s="430" t="s">
        <v>237</v>
      </c>
      <c r="E153" s="280"/>
      <c r="F153" s="431">
        <f t="shared" si="24"/>
        <v>0</v>
      </c>
      <c r="G153" s="571">
        <v>160.44999999999999</v>
      </c>
      <c r="H153" s="586">
        <f t="shared" si="25"/>
        <v>0</v>
      </c>
      <c r="I153" s="589">
        <f t="shared" si="26"/>
        <v>0</v>
      </c>
      <c r="J153" s="371"/>
    </row>
    <row r="154" spans="1:10" ht="35.25" customHeight="1" thickBot="1" x14ac:dyDescent="0.3">
      <c r="A154" s="951"/>
      <c r="B154" s="787"/>
      <c r="C154" s="279" t="s">
        <v>309</v>
      </c>
      <c r="D154" s="430" t="s">
        <v>237</v>
      </c>
      <c r="E154" s="280"/>
      <c r="F154" s="431">
        <f t="shared" si="24"/>
        <v>0</v>
      </c>
      <c r="G154" s="571">
        <v>160.44999999999999</v>
      </c>
      <c r="H154" s="586">
        <f t="shared" si="25"/>
        <v>0</v>
      </c>
      <c r="I154" s="589">
        <f t="shared" si="26"/>
        <v>0</v>
      </c>
      <c r="J154" s="371"/>
    </row>
    <row r="155" spans="1:10" ht="35.25" customHeight="1" thickBot="1" x14ac:dyDescent="0.3">
      <c r="A155" s="951"/>
      <c r="B155" s="946" t="s">
        <v>266</v>
      </c>
      <c r="C155" s="947"/>
      <c r="D155" s="782"/>
      <c r="E155" s="324">
        <f>SUM(E141:E154)</f>
        <v>37620</v>
      </c>
      <c r="F155" s="324">
        <f t="shared" si="24"/>
        <v>37620</v>
      </c>
      <c r="G155" s="324"/>
      <c r="H155" s="580">
        <f>SUM(H141:H154)</f>
        <v>1015740</v>
      </c>
      <c r="I155" s="573">
        <f>SUM(I141:I154)</f>
        <v>1015740</v>
      </c>
      <c r="J155" s="347"/>
    </row>
    <row r="156" spans="1:10" ht="35.25" customHeight="1" x14ac:dyDescent="0.25">
      <c r="A156" s="951"/>
      <c r="B156" s="787"/>
      <c r="C156" s="279" t="s">
        <v>370</v>
      </c>
      <c r="D156" s="430" t="s">
        <v>371</v>
      </c>
      <c r="E156" s="280"/>
      <c r="F156" s="431">
        <f t="shared" si="24"/>
        <v>0</v>
      </c>
      <c r="G156" s="571">
        <v>5.34</v>
      </c>
      <c r="H156" s="586">
        <f t="shared" ref="H156:H162" si="27">E156*G156</f>
        <v>0</v>
      </c>
      <c r="I156" s="589">
        <f t="shared" ref="I156" si="28">+G156*F156</f>
        <v>0</v>
      </c>
      <c r="J156" s="371"/>
    </row>
    <row r="157" spans="1:10" ht="35.25" customHeight="1" x14ac:dyDescent="0.25">
      <c r="A157" s="951"/>
      <c r="B157" s="787"/>
      <c r="C157" s="279" t="s">
        <v>387</v>
      </c>
      <c r="D157" s="430" t="s">
        <v>264</v>
      </c>
      <c r="E157" s="280"/>
      <c r="F157" s="431">
        <f t="shared" si="24"/>
        <v>0</v>
      </c>
      <c r="G157" s="571">
        <v>31.73</v>
      </c>
      <c r="H157" s="586">
        <f t="shared" si="27"/>
        <v>0</v>
      </c>
      <c r="I157" s="589">
        <f>+G157*F157</f>
        <v>0</v>
      </c>
      <c r="J157" s="371"/>
    </row>
    <row r="158" spans="1:10" ht="35.25" customHeight="1" x14ac:dyDescent="0.25">
      <c r="A158" s="951"/>
      <c r="B158" s="787"/>
      <c r="C158" s="279" t="s">
        <v>390</v>
      </c>
      <c r="D158" s="430" t="s">
        <v>391</v>
      </c>
      <c r="E158" s="280"/>
      <c r="F158" s="431">
        <f t="shared" si="24"/>
        <v>0</v>
      </c>
      <c r="G158" s="571">
        <v>10.58</v>
      </c>
      <c r="H158" s="586">
        <f t="shared" si="27"/>
        <v>0</v>
      </c>
      <c r="I158" s="589">
        <f>+G158*F158</f>
        <v>0</v>
      </c>
      <c r="J158" s="371"/>
    </row>
    <row r="159" spans="1:10" ht="35.25" customHeight="1" x14ac:dyDescent="0.25">
      <c r="A159" s="951"/>
      <c r="B159" s="787"/>
      <c r="C159" s="279" t="s">
        <v>276</v>
      </c>
      <c r="D159" s="430" t="s">
        <v>277</v>
      </c>
      <c r="E159" s="280">
        <v>5</v>
      </c>
      <c r="F159" s="431">
        <f t="shared" si="24"/>
        <v>5</v>
      </c>
      <c r="G159" s="571">
        <v>2500</v>
      </c>
      <c r="H159" s="586">
        <f t="shared" si="27"/>
        <v>12500</v>
      </c>
      <c r="I159" s="589">
        <f>+G159*F159</f>
        <v>12500</v>
      </c>
      <c r="J159" s="371"/>
    </row>
    <row r="160" spans="1:10" ht="35.25" customHeight="1" x14ac:dyDescent="0.25">
      <c r="A160" s="951"/>
      <c r="B160" s="787"/>
      <c r="C160" s="279" t="s">
        <v>449</v>
      </c>
      <c r="D160" s="430"/>
      <c r="E160" s="280"/>
      <c r="F160" s="431">
        <f t="shared" si="24"/>
        <v>0</v>
      </c>
      <c r="G160" s="571">
        <v>30000</v>
      </c>
      <c r="H160" s="586">
        <f t="shared" si="27"/>
        <v>0</v>
      </c>
      <c r="I160" s="589">
        <f>+G160*F160</f>
        <v>0</v>
      </c>
      <c r="J160" s="371"/>
    </row>
    <row r="161" spans="1:13" ht="35.25" customHeight="1" x14ac:dyDescent="0.25">
      <c r="A161" s="951"/>
      <c r="B161" s="787"/>
      <c r="C161" s="279" t="s">
        <v>377</v>
      </c>
      <c r="D161" s="430" t="s">
        <v>303</v>
      </c>
      <c r="E161" s="280"/>
      <c r="F161" s="431">
        <f t="shared" si="24"/>
        <v>0</v>
      </c>
      <c r="G161" s="571">
        <v>360</v>
      </c>
      <c r="H161" s="586">
        <f t="shared" si="27"/>
        <v>0</v>
      </c>
      <c r="I161" s="589">
        <f>+G161*F161</f>
        <v>0</v>
      </c>
      <c r="J161" s="371"/>
    </row>
    <row r="162" spans="1:13" ht="35.25" customHeight="1" thickBot="1" x14ac:dyDescent="0.3">
      <c r="A162" s="951"/>
      <c r="B162" s="787"/>
      <c r="C162" s="279" t="s">
        <v>425</v>
      </c>
      <c r="D162" s="430" t="s">
        <v>303</v>
      </c>
      <c r="E162" s="280"/>
      <c r="F162" s="431">
        <f t="shared" si="24"/>
        <v>0</v>
      </c>
      <c r="G162" s="572">
        <v>10</v>
      </c>
      <c r="H162" s="586">
        <f t="shared" si="27"/>
        <v>0</v>
      </c>
      <c r="I162" s="589">
        <f t="shared" ref="I162" si="29">+G162*F162</f>
        <v>0</v>
      </c>
      <c r="J162" s="371"/>
    </row>
    <row r="163" spans="1:13" ht="35.25" customHeight="1" thickBot="1" x14ac:dyDescent="0.3">
      <c r="A163" s="951"/>
      <c r="B163" s="946" t="s">
        <v>271</v>
      </c>
      <c r="C163" s="947"/>
      <c r="D163" s="782"/>
      <c r="E163" s="324">
        <f>SUM(E156:E162)</f>
        <v>5</v>
      </c>
      <c r="F163" s="324">
        <f>SUM(F156:F162)</f>
        <v>5</v>
      </c>
      <c r="G163" s="324"/>
      <c r="H163" s="580">
        <f>SUM(H156:H162)</f>
        <v>12500</v>
      </c>
      <c r="I163" s="573">
        <f>SUM(I156:I162)</f>
        <v>12500</v>
      </c>
      <c r="J163" s="371"/>
    </row>
    <row r="164" spans="1:13" ht="35.25" customHeight="1" thickBot="1" x14ac:dyDescent="0.3">
      <c r="A164" s="951"/>
      <c r="B164" s="787"/>
      <c r="C164" s="279"/>
      <c r="D164" s="430"/>
      <c r="E164" s="280"/>
      <c r="F164" s="316"/>
      <c r="G164" s="572"/>
      <c r="H164" s="581"/>
      <c r="I164" s="282">
        <f t="shared" ref="I164" si="30">+G164*F164</f>
        <v>0</v>
      </c>
      <c r="J164" s="371"/>
    </row>
    <row r="165" spans="1:13" ht="35.25" customHeight="1" thickBot="1" x14ac:dyDescent="0.3">
      <c r="A165" s="952"/>
      <c r="B165" s="946" t="s">
        <v>268</v>
      </c>
      <c r="C165" s="947"/>
      <c r="D165" s="785"/>
      <c r="E165" s="324">
        <f>+E163+E155+E140</f>
        <v>37625</v>
      </c>
      <c r="F165" s="324">
        <f>+F163+F155+F140</f>
        <v>37625</v>
      </c>
      <c r="G165" s="324"/>
      <c r="H165" s="573">
        <f>+H155+H140+H163</f>
        <v>1028240</v>
      </c>
      <c r="I165" s="573">
        <f>+I155+I140+I163</f>
        <v>1028240</v>
      </c>
      <c r="J165" s="371"/>
      <c r="K165" s="664"/>
      <c r="M165" s="664"/>
    </row>
    <row r="166" spans="1:13" ht="35.25" customHeight="1" x14ac:dyDescent="0.25">
      <c r="A166" s="950" t="s">
        <v>101</v>
      </c>
      <c r="B166" s="787"/>
      <c r="C166" s="279" t="s">
        <v>280</v>
      </c>
      <c r="D166" s="430" t="s">
        <v>178</v>
      </c>
      <c r="E166" s="280"/>
      <c r="F166" s="431">
        <f t="shared" ref="F166:F197" si="31">+E166+F57</f>
        <v>0</v>
      </c>
      <c r="G166" s="595">
        <v>13.25</v>
      </c>
      <c r="H166" s="590">
        <f t="shared" ref="H166:H197" si="32">E166*G166</f>
        <v>0</v>
      </c>
      <c r="I166" s="589">
        <f t="shared" ref="I166:I197" si="33">+G166*F166</f>
        <v>0</v>
      </c>
      <c r="J166" s="371"/>
      <c r="K166" s="664"/>
    </row>
    <row r="167" spans="1:13" ht="35.25" customHeight="1" x14ac:dyDescent="0.25">
      <c r="A167" s="951"/>
      <c r="B167" s="787"/>
      <c r="C167" s="279" t="s">
        <v>281</v>
      </c>
      <c r="D167" s="430"/>
      <c r="E167" s="280"/>
      <c r="F167" s="431">
        <f t="shared" si="31"/>
        <v>0</v>
      </c>
      <c r="G167" s="596">
        <v>5000</v>
      </c>
      <c r="H167" s="590">
        <f t="shared" si="32"/>
        <v>0</v>
      </c>
      <c r="I167" s="589">
        <f t="shared" si="33"/>
        <v>0</v>
      </c>
      <c r="J167" s="371"/>
      <c r="K167" s="664"/>
    </row>
    <row r="168" spans="1:13" ht="35.25" customHeight="1" x14ac:dyDescent="0.25">
      <c r="A168" s="951"/>
      <c r="B168" s="787"/>
      <c r="C168" s="279" t="s">
        <v>281</v>
      </c>
      <c r="D168" s="430"/>
      <c r="E168" s="280"/>
      <c r="F168" s="431">
        <f t="shared" si="31"/>
        <v>0</v>
      </c>
      <c r="G168" s="596">
        <v>18000</v>
      </c>
      <c r="H168" s="590">
        <f t="shared" si="32"/>
        <v>0</v>
      </c>
      <c r="I168" s="589">
        <f t="shared" si="33"/>
        <v>0</v>
      </c>
      <c r="J168" s="371"/>
    </row>
    <row r="169" spans="1:13" ht="35.25" customHeight="1" x14ac:dyDescent="0.25">
      <c r="A169" s="951"/>
      <c r="B169" s="787"/>
      <c r="C169" s="279" t="s">
        <v>459</v>
      </c>
      <c r="D169" s="430" t="s">
        <v>458</v>
      </c>
      <c r="E169" s="280"/>
      <c r="F169" s="431">
        <f t="shared" si="31"/>
        <v>0</v>
      </c>
      <c r="G169" s="595">
        <v>21.01</v>
      </c>
      <c r="H169" s="590">
        <f t="shared" si="32"/>
        <v>0</v>
      </c>
      <c r="I169" s="589">
        <f t="shared" si="33"/>
        <v>0</v>
      </c>
      <c r="J169" s="371"/>
    </row>
    <row r="170" spans="1:13" ht="35.25" customHeight="1" x14ac:dyDescent="0.25">
      <c r="A170" s="951"/>
      <c r="B170" s="787"/>
      <c r="C170" s="279" t="s">
        <v>459</v>
      </c>
      <c r="D170" s="430" t="s">
        <v>336</v>
      </c>
      <c r="E170" s="280"/>
      <c r="F170" s="431">
        <f t="shared" si="31"/>
        <v>0</v>
      </c>
      <c r="G170" s="595">
        <v>24.93</v>
      </c>
      <c r="H170" s="590">
        <f t="shared" si="32"/>
        <v>0</v>
      </c>
      <c r="I170" s="589">
        <f t="shared" si="33"/>
        <v>0</v>
      </c>
      <c r="J170" s="371"/>
    </row>
    <row r="171" spans="1:13" ht="35.25" customHeight="1" x14ac:dyDescent="0.25">
      <c r="A171" s="951"/>
      <c r="B171" s="787"/>
      <c r="C171" s="279" t="s">
        <v>459</v>
      </c>
      <c r="D171" s="430" t="s">
        <v>92</v>
      </c>
      <c r="E171" s="280"/>
      <c r="F171" s="431">
        <f t="shared" si="31"/>
        <v>0</v>
      </c>
      <c r="G171" s="595">
        <v>24.93</v>
      </c>
      <c r="H171" s="590">
        <f t="shared" si="32"/>
        <v>0</v>
      </c>
      <c r="I171" s="589">
        <f t="shared" si="33"/>
        <v>0</v>
      </c>
      <c r="J171" s="371"/>
    </row>
    <row r="172" spans="1:13" ht="35.25" customHeight="1" x14ac:dyDescent="0.25">
      <c r="A172" s="951"/>
      <c r="B172" s="787"/>
      <c r="C172" s="705" t="s">
        <v>460</v>
      </c>
      <c r="D172" s="706" t="s">
        <v>92</v>
      </c>
      <c r="E172" s="280"/>
      <c r="F172" s="431">
        <f t="shared" si="31"/>
        <v>0</v>
      </c>
      <c r="G172" s="595">
        <v>20.8</v>
      </c>
      <c r="H172" s="590">
        <f t="shared" si="32"/>
        <v>0</v>
      </c>
      <c r="I172" s="589">
        <f t="shared" si="33"/>
        <v>0</v>
      </c>
      <c r="J172" s="371"/>
    </row>
    <row r="173" spans="1:13" ht="35.25" customHeight="1" x14ac:dyDescent="0.25">
      <c r="A173" s="951"/>
      <c r="B173" s="787"/>
      <c r="C173" s="705" t="s">
        <v>461</v>
      </c>
      <c r="D173" s="706" t="s">
        <v>462</v>
      </c>
      <c r="E173" s="280"/>
      <c r="F173" s="431">
        <f t="shared" si="31"/>
        <v>0</v>
      </c>
      <c r="G173" s="595">
        <v>24.93</v>
      </c>
      <c r="H173" s="590">
        <f t="shared" si="32"/>
        <v>0</v>
      </c>
      <c r="I173" s="589">
        <f t="shared" si="33"/>
        <v>0</v>
      </c>
      <c r="J173" s="371"/>
    </row>
    <row r="174" spans="1:13" ht="35.25" customHeight="1" x14ac:dyDescent="0.25">
      <c r="A174" s="951"/>
      <c r="B174" s="787"/>
      <c r="C174" s="705" t="s">
        <v>461</v>
      </c>
      <c r="D174" s="706" t="s">
        <v>462</v>
      </c>
      <c r="E174" s="280"/>
      <c r="F174" s="431">
        <f t="shared" si="31"/>
        <v>0</v>
      </c>
      <c r="G174" s="595">
        <v>25.49</v>
      </c>
      <c r="H174" s="590">
        <f t="shared" si="32"/>
        <v>0</v>
      </c>
      <c r="I174" s="589">
        <f t="shared" si="33"/>
        <v>0</v>
      </c>
      <c r="J174" s="371"/>
    </row>
    <row r="175" spans="1:13" s="716" customFormat="1" ht="35.25" customHeight="1" x14ac:dyDescent="0.25">
      <c r="A175" s="951"/>
      <c r="B175" s="707"/>
      <c r="C175" s="708" t="s">
        <v>463</v>
      </c>
      <c r="D175" s="709" t="s">
        <v>308</v>
      </c>
      <c r="E175" s="710"/>
      <c r="F175" s="711">
        <f t="shared" si="31"/>
        <v>0</v>
      </c>
      <c r="G175" s="712">
        <v>24.41</v>
      </c>
      <c r="H175" s="713">
        <f t="shared" si="32"/>
        <v>0</v>
      </c>
      <c r="I175" s="714">
        <f t="shared" si="33"/>
        <v>0</v>
      </c>
      <c r="J175" s="715"/>
    </row>
    <row r="176" spans="1:13" ht="35.25" customHeight="1" x14ac:dyDescent="0.25">
      <c r="A176" s="951"/>
      <c r="B176" s="787"/>
      <c r="C176" s="279" t="s">
        <v>439</v>
      </c>
      <c r="D176" s="430" t="s">
        <v>421</v>
      </c>
      <c r="E176" s="280"/>
      <c r="F176" s="431">
        <f t="shared" si="31"/>
        <v>0</v>
      </c>
      <c r="G176" s="595">
        <v>20.76</v>
      </c>
      <c r="H176" s="590">
        <f t="shared" si="32"/>
        <v>0</v>
      </c>
      <c r="I176" s="589">
        <f t="shared" si="33"/>
        <v>0</v>
      </c>
      <c r="J176" s="371"/>
    </row>
    <row r="177" spans="1:10" ht="35.25" customHeight="1" x14ac:dyDescent="0.25">
      <c r="A177" s="951"/>
      <c r="B177" s="787"/>
      <c r="C177" s="279" t="s">
        <v>297</v>
      </c>
      <c r="D177" s="430" t="s">
        <v>107</v>
      </c>
      <c r="E177" s="280"/>
      <c r="F177" s="431">
        <f t="shared" si="31"/>
        <v>0</v>
      </c>
      <c r="G177" s="595">
        <v>24.93</v>
      </c>
      <c r="H177" s="590">
        <f t="shared" si="32"/>
        <v>0</v>
      </c>
      <c r="I177" s="589">
        <f t="shared" si="33"/>
        <v>0</v>
      </c>
      <c r="J177" s="371"/>
    </row>
    <row r="178" spans="1:10" ht="35.25" customHeight="1" x14ac:dyDescent="0.25">
      <c r="A178" s="951"/>
      <c r="B178" s="787"/>
      <c r="C178" s="279" t="s">
        <v>298</v>
      </c>
      <c r="D178" s="430" t="s">
        <v>279</v>
      </c>
      <c r="E178" s="280"/>
      <c r="F178" s="431">
        <f t="shared" si="31"/>
        <v>0</v>
      </c>
      <c r="G178" s="595">
        <v>24.93</v>
      </c>
      <c r="H178" s="590">
        <f t="shared" si="32"/>
        <v>0</v>
      </c>
      <c r="I178" s="589">
        <f t="shared" si="33"/>
        <v>0</v>
      </c>
      <c r="J178" s="371"/>
    </row>
    <row r="179" spans="1:10" ht="35.25" customHeight="1" x14ac:dyDescent="0.25">
      <c r="A179" s="951"/>
      <c r="B179" s="787"/>
      <c r="C179" s="279" t="s">
        <v>423</v>
      </c>
      <c r="D179" s="430" t="s">
        <v>358</v>
      </c>
      <c r="E179" s="280"/>
      <c r="F179" s="431">
        <f t="shared" si="31"/>
        <v>0</v>
      </c>
      <c r="G179" s="595">
        <v>23.78</v>
      </c>
      <c r="H179" s="590">
        <f t="shared" si="32"/>
        <v>0</v>
      </c>
      <c r="I179" s="589">
        <f t="shared" si="33"/>
        <v>0</v>
      </c>
      <c r="J179" s="371"/>
    </row>
    <row r="180" spans="1:10" ht="35.25" customHeight="1" x14ac:dyDescent="0.25">
      <c r="A180" s="951"/>
      <c r="B180" s="787"/>
      <c r="C180" s="279" t="s">
        <v>423</v>
      </c>
      <c r="D180" s="430" t="s">
        <v>308</v>
      </c>
      <c r="E180" s="280"/>
      <c r="F180" s="431">
        <f t="shared" si="31"/>
        <v>0</v>
      </c>
      <c r="G180" s="595">
        <v>23.78</v>
      </c>
      <c r="H180" s="590">
        <f t="shared" si="32"/>
        <v>0</v>
      </c>
      <c r="I180" s="589">
        <f t="shared" si="33"/>
        <v>0</v>
      </c>
      <c r="J180" s="371"/>
    </row>
    <row r="181" spans="1:10" ht="35.25" customHeight="1" x14ac:dyDescent="0.25">
      <c r="A181" s="951"/>
      <c r="B181" s="787"/>
      <c r="C181" s="279" t="s">
        <v>352</v>
      </c>
      <c r="D181" s="430" t="s">
        <v>308</v>
      </c>
      <c r="E181" s="280"/>
      <c r="F181" s="431">
        <f t="shared" si="31"/>
        <v>0</v>
      </c>
      <c r="G181" s="595">
        <v>37.4566666666</v>
      </c>
      <c r="H181" s="590">
        <f t="shared" si="32"/>
        <v>0</v>
      </c>
      <c r="I181" s="589">
        <f t="shared" si="33"/>
        <v>0</v>
      </c>
      <c r="J181" s="371"/>
    </row>
    <row r="182" spans="1:10" ht="35.25" customHeight="1" x14ac:dyDescent="0.25">
      <c r="A182" s="951"/>
      <c r="B182" s="787"/>
      <c r="C182" s="279" t="s">
        <v>353</v>
      </c>
      <c r="D182" s="430" t="s">
        <v>308</v>
      </c>
      <c r="E182" s="280"/>
      <c r="F182" s="431">
        <f t="shared" si="31"/>
        <v>0</v>
      </c>
      <c r="G182" s="595">
        <v>37.89</v>
      </c>
      <c r="H182" s="590">
        <f t="shared" si="32"/>
        <v>0</v>
      </c>
      <c r="I182" s="589">
        <f t="shared" si="33"/>
        <v>0</v>
      </c>
      <c r="J182" s="371"/>
    </row>
    <row r="183" spans="1:10" ht="35.25" customHeight="1" x14ac:dyDescent="0.25">
      <c r="A183" s="951"/>
      <c r="B183" s="787"/>
      <c r="C183" s="279" t="s">
        <v>455</v>
      </c>
      <c r="D183" s="430" t="s">
        <v>92</v>
      </c>
      <c r="E183" s="280"/>
      <c r="F183" s="431">
        <f t="shared" si="31"/>
        <v>0</v>
      </c>
      <c r="G183" s="595">
        <v>28.31</v>
      </c>
      <c r="H183" s="590">
        <f t="shared" si="32"/>
        <v>0</v>
      </c>
      <c r="I183" s="589">
        <f t="shared" si="33"/>
        <v>0</v>
      </c>
      <c r="J183" s="371"/>
    </row>
    <row r="184" spans="1:10" ht="35.25" customHeight="1" x14ac:dyDescent="0.25">
      <c r="A184" s="951"/>
      <c r="B184" s="787"/>
      <c r="C184" s="279" t="s">
        <v>455</v>
      </c>
      <c r="D184" s="430" t="s">
        <v>421</v>
      </c>
      <c r="E184" s="280"/>
      <c r="F184" s="431">
        <f t="shared" si="31"/>
        <v>0</v>
      </c>
      <c r="G184" s="595">
        <v>28.88</v>
      </c>
      <c r="H184" s="590">
        <f t="shared" si="32"/>
        <v>0</v>
      </c>
      <c r="I184" s="589">
        <f t="shared" si="33"/>
        <v>0</v>
      </c>
      <c r="J184" s="371"/>
    </row>
    <row r="185" spans="1:10" ht="35.25" customHeight="1" x14ac:dyDescent="0.25">
      <c r="A185" s="951"/>
      <c r="B185" s="787"/>
      <c r="C185" s="279" t="s">
        <v>456</v>
      </c>
      <c r="D185" s="430" t="s">
        <v>421</v>
      </c>
      <c r="E185" s="280"/>
      <c r="F185" s="431">
        <f t="shared" si="31"/>
        <v>0</v>
      </c>
      <c r="G185" s="595">
        <v>28.21</v>
      </c>
      <c r="H185" s="590">
        <f t="shared" si="32"/>
        <v>0</v>
      </c>
      <c r="I185" s="589">
        <f t="shared" si="33"/>
        <v>0</v>
      </c>
      <c r="J185" s="371"/>
    </row>
    <row r="186" spans="1:10" ht="35.25" customHeight="1" x14ac:dyDescent="0.25">
      <c r="A186" s="951"/>
      <c r="B186" s="787"/>
      <c r="C186" s="279" t="s">
        <v>457</v>
      </c>
      <c r="D186" s="430" t="s">
        <v>336</v>
      </c>
      <c r="E186" s="280"/>
      <c r="F186" s="431">
        <f t="shared" si="31"/>
        <v>0</v>
      </c>
      <c r="G186" s="595">
        <v>39</v>
      </c>
      <c r="H186" s="590">
        <f t="shared" si="32"/>
        <v>0</v>
      </c>
      <c r="I186" s="589">
        <f t="shared" si="33"/>
        <v>0</v>
      </c>
      <c r="J186" s="371"/>
    </row>
    <row r="187" spans="1:10" ht="35.25" customHeight="1" x14ac:dyDescent="0.25">
      <c r="A187" s="951"/>
      <c r="B187" s="787"/>
      <c r="C187" s="279" t="s">
        <v>457</v>
      </c>
      <c r="D187" s="430" t="s">
        <v>92</v>
      </c>
      <c r="E187" s="280"/>
      <c r="F187" s="431">
        <f t="shared" si="31"/>
        <v>0</v>
      </c>
      <c r="G187" s="595">
        <v>32.65</v>
      </c>
      <c r="H187" s="590">
        <f t="shared" si="32"/>
        <v>0</v>
      </c>
      <c r="I187" s="589">
        <f t="shared" si="33"/>
        <v>0</v>
      </c>
      <c r="J187" s="371"/>
    </row>
    <row r="188" spans="1:10" ht="35.25" customHeight="1" x14ac:dyDescent="0.25">
      <c r="A188" s="951"/>
      <c r="B188" s="787"/>
      <c r="C188" s="279" t="s">
        <v>457</v>
      </c>
      <c r="D188" s="430" t="s">
        <v>421</v>
      </c>
      <c r="E188" s="280"/>
      <c r="F188" s="431">
        <f t="shared" si="31"/>
        <v>0</v>
      </c>
      <c r="G188" s="595">
        <v>33.299999999999997</v>
      </c>
      <c r="H188" s="590">
        <f t="shared" si="32"/>
        <v>0</v>
      </c>
      <c r="I188" s="589">
        <f t="shared" si="33"/>
        <v>0</v>
      </c>
      <c r="J188" s="371"/>
    </row>
    <row r="189" spans="1:10" ht="35.25" customHeight="1" x14ac:dyDescent="0.25">
      <c r="A189" s="951"/>
      <c r="B189" s="787"/>
      <c r="C189" s="279" t="s">
        <v>298</v>
      </c>
      <c r="D189" s="430" t="s">
        <v>278</v>
      </c>
      <c r="E189" s="280"/>
      <c r="F189" s="431">
        <f t="shared" si="31"/>
        <v>0</v>
      </c>
      <c r="G189" s="595">
        <v>24.93</v>
      </c>
      <c r="H189" s="590">
        <f t="shared" si="32"/>
        <v>0</v>
      </c>
      <c r="I189" s="589">
        <f t="shared" si="33"/>
        <v>0</v>
      </c>
      <c r="J189" s="371"/>
    </row>
    <row r="190" spans="1:10" ht="35.25" customHeight="1" x14ac:dyDescent="0.25">
      <c r="A190" s="951"/>
      <c r="B190" s="787"/>
      <c r="C190" s="279" t="s">
        <v>298</v>
      </c>
      <c r="D190" s="430"/>
      <c r="E190" s="280"/>
      <c r="F190" s="431">
        <f t="shared" si="31"/>
        <v>0</v>
      </c>
      <c r="G190" s="595">
        <v>24.93</v>
      </c>
      <c r="H190" s="590">
        <f t="shared" si="32"/>
        <v>0</v>
      </c>
      <c r="I190" s="589">
        <f t="shared" si="33"/>
        <v>0</v>
      </c>
      <c r="J190" s="371"/>
    </row>
    <row r="191" spans="1:10" ht="35.25" customHeight="1" x14ac:dyDescent="0.25">
      <c r="A191" s="951"/>
      <c r="B191" s="787"/>
      <c r="C191" s="279" t="s">
        <v>315</v>
      </c>
      <c r="D191" s="430" t="s">
        <v>288</v>
      </c>
      <c r="E191" s="280"/>
      <c r="F191" s="431">
        <f t="shared" si="31"/>
        <v>0</v>
      </c>
      <c r="G191" s="595">
        <v>34.26</v>
      </c>
      <c r="H191" s="590">
        <f t="shared" si="32"/>
        <v>0</v>
      </c>
      <c r="I191" s="589">
        <f t="shared" si="33"/>
        <v>0</v>
      </c>
      <c r="J191" s="371"/>
    </row>
    <row r="192" spans="1:10" ht="35.25" customHeight="1" x14ac:dyDescent="0.25">
      <c r="A192" s="951"/>
      <c r="B192" s="787"/>
      <c r="C192" s="279" t="s">
        <v>326</v>
      </c>
      <c r="D192" s="430" t="s">
        <v>358</v>
      </c>
      <c r="E192" s="280"/>
      <c r="F192" s="431">
        <f t="shared" si="31"/>
        <v>0</v>
      </c>
      <c r="G192" s="595">
        <v>37.89</v>
      </c>
      <c r="H192" s="590">
        <f t="shared" si="32"/>
        <v>0</v>
      </c>
      <c r="I192" s="589">
        <f t="shared" si="33"/>
        <v>0</v>
      </c>
      <c r="J192" s="371"/>
    </row>
    <row r="193" spans="1:10" ht="35.25" customHeight="1" x14ac:dyDescent="0.25">
      <c r="A193" s="951"/>
      <c r="B193" s="787"/>
      <c r="C193" s="279" t="s">
        <v>361</v>
      </c>
      <c r="D193" s="430" t="s">
        <v>336</v>
      </c>
      <c r="E193" s="280"/>
      <c r="F193" s="431">
        <f t="shared" si="31"/>
        <v>0</v>
      </c>
      <c r="G193" s="595">
        <v>39</v>
      </c>
      <c r="H193" s="590">
        <f t="shared" si="32"/>
        <v>0</v>
      </c>
      <c r="I193" s="589">
        <f t="shared" si="33"/>
        <v>0</v>
      </c>
      <c r="J193" s="371"/>
    </row>
    <row r="194" spans="1:10" ht="35.25" customHeight="1" x14ac:dyDescent="0.25">
      <c r="A194" s="951"/>
      <c r="B194" s="787"/>
      <c r="C194" s="279" t="s">
        <v>298</v>
      </c>
      <c r="D194" s="430" t="s">
        <v>177</v>
      </c>
      <c r="E194" s="280"/>
      <c r="F194" s="431">
        <f t="shared" si="31"/>
        <v>0</v>
      </c>
      <c r="G194" s="595">
        <v>21.22</v>
      </c>
      <c r="H194" s="590">
        <f t="shared" si="32"/>
        <v>0</v>
      </c>
      <c r="I194" s="589">
        <f t="shared" si="33"/>
        <v>0</v>
      </c>
      <c r="J194" s="371"/>
    </row>
    <row r="195" spans="1:10" ht="35.25" customHeight="1" x14ac:dyDescent="0.25">
      <c r="A195" s="951"/>
      <c r="B195" s="787"/>
      <c r="C195" s="279" t="s">
        <v>297</v>
      </c>
      <c r="D195" s="430" t="s">
        <v>177</v>
      </c>
      <c r="E195" s="280"/>
      <c r="F195" s="431">
        <f t="shared" si="31"/>
        <v>0</v>
      </c>
      <c r="G195" s="595">
        <v>21.22</v>
      </c>
      <c r="H195" s="590">
        <f t="shared" si="32"/>
        <v>0</v>
      </c>
      <c r="I195" s="589">
        <f t="shared" si="33"/>
        <v>0</v>
      </c>
      <c r="J195" s="371"/>
    </row>
    <row r="196" spans="1:10" ht="35.25" customHeight="1" x14ac:dyDescent="0.25">
      <c r="A196" s="951"/>
      <c r="B196" s="787"/>
      <c r="C196" s="279" t="s">
        <v>337</v>
      </c>
      <c r="D196" s="430" t="s">
        <v>303</v>
      </c>
      <c r="E196" s="280"/>
      <c r="F196" s="431">
        <f t="shared" si="31"/>
        <v>0</v>
      </c>
      <c r="G196" s="595">
        <v>10000</v>
      </c>
      <c r="H196" s="590">
        <f t="shared" si="32"/>
        <v>0</v>
      </c>
      <c r="I196" s="589">
        <f t="shared" si="33"/>
        <v>0</v>
      </c>
      <c r="J196" s="371"/>
    </row>
    <row r="197" spans="1:10" ht="35.25" customHeight="1" thickBot="1" x14ac:dyDescent="0.3">
      <c r="A197" s="951"/>
      <c r="B197" s="787"/>
      <c r="C197" s="279" t="s">
        <v>302</v>
      </c>
      <c r="D197" s="430" t="s">
        <v>303</v>
      </c>
      <c r="E197" s="280"/>
      <c r="F197" s="431">
        <f t="shared" si="31"/>
        <v>0</v>
      </c>
      <c r="G197" s="595">
        <v>360</v>
      </c>
      <c r="H197" s="590">
        <f t="shared" si="32"/>
        <v>0</v>
      </c>
      <c r="I197" s="589">
        <f t="shared" si="33"/>
        <v>0</v>
      </c>
      <c r="J197" s="371"/>
    </row>
    <row r="198" spans="1:10" ht="35.25" customHeight="1" thickBot="1" x14ac:dyDescent="0.3">
      <c r="A198" s="952"/>
      <c r="B198" s="946" t="s">
        <v>267</v>
      </c>
      <c r="C198" s="947"/>
      <c r="D198" s="782"/>
      <c r="E198" s="324">
        <f>SUM(E166:E197)</f>
        <v>0</v>
      </c>
      <c r="F198" s="324">
        <f>SUM(F166:F197)</f>
        <v>0</v>
      </c>
      <c r="G198" s="324"/>
      <c r="H198" s="580">
        <f>SUM(H166:H197)</f>
        <v>0</v>
      </c>
      <c r="I198" s="573">
        <f>SUM(I166:I197)</f>
        <v>0</v>
      </c>
      <c r="J198" s="371"/>
    </row>
    <row r="199" spans="1:10" ht="35.25" customHeight="1" x14ac:dyDescent="0.25">
      <c r="A199" s="950" t="s">
        <v>102</v>
      </c>
      <c r="B199" s="787"/>
      <c r="C199" s="279" t="s">
        <v>272</v>
      </c>
      <c r="D199" s="430" t="s">
        <v>237</v>
      </c>
      <c r="E199" s="280"/>
      <c r="F199" s="431">
        <f t="shared" ref="F199:F223" si="34">+E199+F90</f>
        <v>0</v>
      </c>
      <c r="G199" s="595">
        <v>430.02</v>
      </c>
      <c r="H199" s="586">
        <f>E199*G199</f>
        <v>0</v>
      </c>
      <c r="I199" s="589">
        <f t="shared" ref="I199:I220" si="35">+G199*F199</f>
        <v>0</v>
      </c>
      <c r="J199" s="371"/>
    </row>
    <row r="200" spans="1:10" ht="35.25" customHeight="1" x14ac:dyDescent="0.25">
      <c r="A200" s="951"/>
      <c r="B200" s="787"/>
      <c r="C200" s="279" t="s">
        <v>273</v>
      </c>
      <c r="D200" s="430" t="s">
        <v>237</v>
      </c>
      <c r="E200" s="280"/>
      <c r="F200" s="431">
        <f t="shared" si="34"/>
        <v>0</v>
      </c>
      <c r="G200" s="595">
        <v>445.38</v>
      </c>
      <c r="H200" s="586">
        <f t="shared" ref="H200:H220" si="36">E200*G200</f>
        <v>0</v>
      </c>
      <c r="I200" s="589">
        <f t="shared" si="35"/>
        <v>0</v>
      </c>
      <c r="J200" s="371"/>
    </row>
    <row r="201" spans="1:10" ht="35.25" customHeight="1" x14ac:dyDescent="0.25">
      <c r="A201" s="951"/>
      <c r="B201" s="787"/>
      <c r="C201" s="279" t="s">
        <v>388</v>
      </c>
      <c r="D201" s="430" t="s">
        <v>237</v>
      </c>
      <c r="E201" s="280"/>
      <c r="F201" s="431">
        <f t="shared" si="34"/>
        <v>0</v>
      </c>
      <c r="G201" s="595">
        <v>445.38</v>
      </c>
      <c r="H201" s="586">
        <f t="shared" si="36"/>
        <v>0</v>
      </c>
      <c r="I201" s="589">
        <f t="shared" si="35"/>
        <v>0</v>
      </c>
      <c r="J201" s="371"/>
    </row>
    <row r="202" spans="1:10" ht="35.25" customHeight="1" x14ac:dyDescent="0.25">
      <c r="A202" s="951"/>
      <c r="B202" s="787"/>
      <c r="C202" s="279" t="s">
        <v>300</v>
      </c>
      <c r="D202" s="430" t="s">
        <v>237</v>
      </c>
      <c r="E202" s="280"/>
      <c r="F202" s="431">
        <f t="shared" si="34"/>
        <v>0</v>
      </c>
      <c r="G202" s="595">
        <v>63.55</v>
      </c>
      <c r="H202" s="586">
        <f t="shared" si="36"/>
        <v>0</v>
      </c>
      <c r="I202" s="589">
        <f t="shared" si="35"/>
        <v>0</v>
      </c>
      <c r="J202" s="371"/>
    </row>
    <row r="203" spans="1:10" ht="35.25" customHeight="1" x14ac:dyDescent="0.25">
      <c r="A203" s="951"/>
      <c r="B203" s="787"/>
      <c r="C203" s="279" t="s">
        <v>274</v>
      </c>
      <c r="D203" s="430" t="s">
        <v>237</v>
      </c>
      <c r="E203" s="280">
        <v>21600</v>
      </c>
      <c r="F203" s="431">
        <f t="shared" si="34"/>
        <v>21600</v>
      </c>
      <c r="G203" s="595">
        <v>71.44</v>
      </c>
      <c r="H203" s="586">
        <f t="shared" si="36"/>
        <v>1543104</v>
      </c>
      <c r="I203" s="589">
        <f t="shared" si="35"/>
        <v>1543104</v>
      </c>
      <c r="J203" s="371"/>
    </row>
    <row r="204" spans="1:10" ht="35.25" customHeight="1" x14ac:dyDescent="0.25">
      <c r="A204" s="951"/>
      <c r="B204" s="787"/>
      <c r="C204" s="279" t="s">
        <v>275</v>
      </c>
      <c r="D204" s="430" t="s">
        <v>237</v>
      </c>
      <c r="E204" s="280"/>
      <c r="F204" s="431">
        <f t="shared" si="34"/>
        <v>0</v>
      </c>
      <c r="G204" s="595">
        <v>36.5</v>
      </c>
      <c r="H204" s="586">
        <f t="shared" si="36"/>
        <v>0</v>
      </c>
      <c r="I204" s="589">
        <f t="shared" si="35"/>
        <v>0</v>
      </c>
      <c r="J204" s="371"/>
    </row>
    <row r="205" spans="1:10" ht="35.25" customHeight="1" x14ac:dyDescent="0.25">
      <c r="A205" s="951"/>
      <c r="B205" s="787"/>
      <c r="C205" s="279" t="s">
        <v>424</v>
      </c>
      <c r="D205" s="430" t="s">
        <v>237</v>
      </c>
      <c r="E205" s="280"/>
      <c r="F205" s="431">
        <f t="shared" si="34"/>
        <v>0</v>
      </c>
      <c r="G205" s="595">
        <v>320.35000000000002</v>
      </c>
      <c r="H205" s="586">
        <f t="shared" si="36"/>
        <v>0</v>
      </c>
      <c r="I205" s="589">
        <f t="shared" si="35"/>
        <v>0</v>
      </c>
      <c r="J205" s="371"/>
    </row>
    <row r="206" spans="1:10" ht="35.25" customHeight="1" x14ac:dyDescent="0.25">
      <c r="A206" s="951"/>
      <c r="B206" s="787"/>
      <c r="C206" s="279" t="s">
        <v>284</v>
      </c>
      <c r="D206" s="430" t="s">
        <v>237</v>
      </c>
      <c r="E206" s="280"/>
      <c r="F206" s="431">
        <f t="shared" si="34"/>
        <v>0</v>
      </c>
      <c r="G206" s="595">
        <v>320.35000000000002</v>
      </c>
      <c r="H206" s="586">
        <f t="shared" si="36"/>
        <v>0</v>
      </c>
      <c r="I206" s="589">
        <f t="shared" si="35"/>
        <v>0</v>
      </c>
      <c r="J206" s="371"/>
    </row>
    <row r="207" spans="1:10" ht="35.25" customHeight="1" x14ac:dyDescent="0.25">
      <c r="A207" s="951"/>
      <c r="B207" s="787"/>
      <c r="C207" s="279" t="s">
        <v>295</v>
      </c>
      <c r="D207" s="430" t="s">
        <v>237</v>
      </c>
      <c r="E207" s="280"/>
      <c r="F207" s="431">
        <f t="shared" si="34"/>
        <v>0</v>
      </c>
      <c r="G207" s="595">
        <v>434.41</v>
      </c>
      <c r="H207" s="586">
        <f t="shared" si="36"/>
        <v>0</v>
      </c>
      <c r="I207" s="589">
        <f t="shared" si="35"/>
        <v>0</v>
      </c>
      <c r="J207" s="371"/>
    </row>
    <row r="208" spans="1:10" ht="35.25" customHeight="1" x14ac:dyDescent="0.25">
      <c r="A208" s="951"/>
      <c r="B208" s="787"/>
      <c r="C208" s="279" t="s">
        <v>281</v>
      </c>
      <c r="D208" s="430" t="s">
        <v>237</v>
      </c>
      <c r="E208" s="280"/>
      <c r="F208" s="431">
        <f t="shared" si="34"/>
        <v>0</v>
      </c>
      <c r="G208" s="595">
        <v>29690</v>
      </c>
      <c r="H208" s="586">
        <f t="shared" si="36"/>
        <v>0</v>
      </c>
      <c r="I208" s="589">
        <f t="shared" si="35"/>
        <v>0</v>
      </c>
      <c r="J208" s="371"/>
    </row>
    <row r="209" spans="1:10" ht="35.25" customHeight="1" x14ac:dyDescent="0.25">
      <c r="A209" s="951"/>
      <c r="B209" s="787"/>
      <c r="C209" s="279" t="s">
        <v>281</v>
      </c>
      <c r="D209" s="430" t="s">
        <v>237</v>
      </c>
      <c r="E209" s="280"/>
      <c r="F209" s="431">
        <f t="shared" si="34"/>
        <v>0</v>
      </c>
      <c r="G209" s="595">
        <v>26445</v>
      </c>
      <c r="H209" s="586">
        <f t="shared" si="36"/>
        <v>0</v>
      </c>
      <c r="I209" s="589">
        <f t="shared" si="35"/>
        <v>0</v>
      </c>
      <c r="J209" s="371"/>
    </row>
    <row r="210" spans="1:10" ht="35.25" customHeight="1" x14ac:dyDescent="0.25">
      <c r="A210" s="951"/>
      <c r="B210" s="787"/>
      <c r="C210" s="279" t="s">
        <v>281</v>
      </c>
      <c r="D210" s="430"/>
      <c r="E210" s="280"/>
      <c r="F210" s="431">
        <f t="shared" si="34"/>
        <v>4</v>
      </c>
      <c r="G210" s="595">
        <v>29690</v>
      </c>
      <c r="H210" s="586">
        <f t="shared" si="36"/>
        <v>0</v>
      </c>
      <c r="I210" s="589">
        <f t="shared" si="35"/>
        <v>118760</v>
      </c>
      <c r="J210" s="371"/>
    </row>
    <row r="211" spans="1:10" ht="35.25" customHeight="1" x14ac:dyDescent="0.25">
      <c r="A211" s="951"/>
      <c r="B211" s="787"/>
      <c r="C211" s="279" t="s">
        <v>310</v>
      </c>
      <c r="D211" s="430" t="s">
        <v>335</v>
      </c>
      <c r="E211" s="280"/>
      <c r="F211" s="431">
        <f t="shared" si="34"/>
        <v>0</v>
      </c>
      <c r="G211" s="595">
        <v>50</v>
      </c>
      <c r="H211" s="586">
        <f t="shared" si="36"/>
        <v>0</v>
      </c>
      <c r="I211" s="589">
        <f t="shared" si="35"/>
        <v>0</v>
      </c>
      <c r="J211" s="371"/>
    </row>
    <row r="212" spans="1:10" ht="35.25" customHeight="1" x14ac:dyDescent="0.25">
      <c r="A212" s="951"/>
      <c r="B212" s="787"/>
      <c r="C212" s="279" t="s">
        <v>310</v>
      </c>
      <c r="D212" s="430"/>
      <c r="E212" s="280"/>
      <c r="F212" s="431">
        <f t="shared" si="34"/>
        <v>0</v>
      </c>
      <c r="G212" s="595">
        <v>10</v>
      </c>
      <c r="H212" s="586">
        <f t="shared" si="36"/>
        <v>0</v>
      </c>
      <c r="I212" s="589">
        <f t="shared" si="35"/>
        <v>0</v>
      </c>
      <c r="J212" s="371"/>
    </row>
    <row r="213" spans="1:10" ht="35.25" customHeight="1" x14ac:dyDescent="0.25">
      <c r="A213" s="951"/>
      <c r="B213" s="787"/>
      <c r="C213" s="279" t="s">
        <v>327</v>
      </c>
      <c r="D213" s="430" t="s">
        <v>368</v>
      </c>
      <c r="E213" s="280"/>
      <c r="F213" s="431">
        <f t="shared" si="34"/>
        <v>0</v>
      </c>
      <c r="G213" s="595">
        <v>57.64</v>
      </c>
      <c r="H213" s="586">
        <f t="shared" si="36"/>
        <v>0</v>
      </c>
      <c r="I213" s="589">
        <f t="shared" si="35"/>
        <v>0</v>
      </c>
      <c r="J213" s="371"/>
    </row>
    <row r="214" spans="1:10" ht="35.25" customHeight="1" x14ac:dyDescent="0.25">
      <c r="A214" s="951"/>
      <c r="B214" s="787"/>
      <c r="C214" s="279" t="s">
        <v>327</v>
      </c>
      <c r="D214" s="430" t="s">
        <v>362</v>
      </c>
      <c r="E214" s="280"/>
      <c r="F214" s="431">
        <f t="shared" si="34"/>
        <v>0</v>
      </c>
      <c r="G214" s="595">
        <v>57.64</v>
      </c>
      <c r="H214" s="586">
        <f t="shared" si="36"/>
        <v>0</v>
      </c>
      <c r="I214" s="589">
        <f t="shared" si="35"/>
        <v>0</v>
      </c>
      <c r="J214" s="371"/>
    </row>
    <row r="215" spans="1:10" ht="35.25" customHeight="1" x14ac:dyDescent="0.25">
      <c r="A215" s="951"/>
      <c r="B215" s="787"/>
      <c r="C215" s="279" t="s">
        <v>328</v>
      </c>
      <c r="D215" s="430" t="s">
        <v>329</v>
      </c>
      <c r="E215" s="280"/>
      <c r="F215" s="431">
        <f t="shared" si="34"/>
        <v>0</v>
      </c>
      <c r="G215" s="595">
        <v>434.41</v>
      </c>
      <c r="H215" s="586">
        <f t="shared" si="36"/>
        <v>0</v>
      </c>
      <c r="I215" s="589">
        <f t="shared" si="35"/>
        <v>0</v>
      </c>
      <c r="J215" s="371"/>
    </row>
    <row r="216" spans="1:10" ht="35.25" customHeight="1" x14ac:dyDescent="0.25">
      <c r="A216" s="951"/>
      <c r="B216" s="787"/>
      <c r="C216" s="279" t="s">
        <v>341</v>
      </c>
      <c r="D216" s="430" t="s">
        <v>237</v>
      </c>
      <c r="E216" s="280"/>
      <c r="F216" s="431">
        <f t="shared" si="34"/>
        <v>0</v>
      </c>
      <c r="G216" s="595">
        <v>624.26</v>
      </c>
      <c r="H216" s="586">
        <f t="shared" si="36"/>
        <v>0</v>
      </c>
      <c r="I216" s="589">
        <f t="shared" si="35"/>
        <v>0</v>
      </c>
      <c r="J216" s="371"/>
    </row>
    <row r="217" spans="1:10" ht="35.25" customHeight="1" x14ac:dyDescent="0.25">
      <c r="A217" s="951"/>
      <c r="B217" s="787"/>
      <c r="C217" s="279" t="s">
        <v>330</v>
      </c>
      <c r="D217" s="430" t="s">
        <v>329</v>
      </c>
      <c r="E217" s="280"/>
      <c r="F217" s="431">
        <f t="shared" si="34"/>
        <v>0</v>
      </c>
      <c r="G217" s="595">
        <v>63.55</v>
      </c>
      <c r="H217" s="586">
        <f t="shared" si="36"/>
        <v>0</v>
      </c>
      <c r="I217" s="589">
        <f t="shared" si="35"/>
        <v>0</v>
      </c>
      <c r="J217" s="371"/>
    </row>
    <row r="218" spans="1:10" ht="35.25" customHeight="1" x14ac:dyDescent="0.25">
      <c r="A218" s="951"/>
      <c r="B218" s="787"/>
      <c r="C218" s="279" t="s">
        <v>369</v>
      </c>
      <c r="D218" s="430" t="s">
        <v>237</v>
      </c>
      <c r="E218" s="280"/>
      <c r="F218" s="431">
        <f t="shared" si="34"/>
        <v>0</v>
      </c>
      <c r="G218" s="595">
        <v>59.96</v>
      </c>
      <c r="H218" s="586">
        <f t="shared" si="36"/>
        <v>0</v>
      </c>
      <c r="I218" s="589">
        <f t="shared" si="35"/>
        <v>0</v>
      </c>
      <c r="J218" s="371"/>
    </row>
    <row r="219" spans="1:10" ht="35.25" customHeight="1" x14ac:dyDescent="0.25">
      <c r="A219" s="951"/>
      <c r="B219" s="787"/>
      <c r="C219" s="279" t="s">
        <v>508</v>
      </c>
      <c r="D219" s="430" t="s">
        <v>329</v>
      </c>
      <c r="E219" s="280"/>
      <c r="F219" s="431">
        <f t="shared" si="34"/>
        <v>0</v>
      </c>
      <c r="G219" s="595">
        <v>53.86</v>
      </c>
      <c r="H219" s="586">
        <f t="shared" si="36"/>
        <v>0</v>
      </c>
      <c r="I219" s="589">
        <f t="shared" si="35"/>
        <v>0</v>
      </c>
      <c r="J219" s="371"/>
    </row>
    <row r="220" spans="1:10" ht="35.25" customHeight="1" x14ac:dyDescent="0.25">
      <c r="A220" s="951"/>
      <c r="B220" s="787"/>
      <c r="C220" s="279" t="s">
        <v>377</v>
      </c>
      <c r="D220" s="430"/>
      <c r="E220" s="280"/>
      <c r="F220" s="431">
        <f t="shared" si="34"/>
        <v>0</v>
      </c>
      <c r="G220" s="595">
        <v>360</v>
      </c>
      <c r="H220" s="586">
        <f t="shared" si="36"/>
        <v>0</v>
      </c>
      <c r="I220" s="589">
        <f t="shared" si="35"/>
        <v>0</v>
      </c>
      <c r="J220" s="371"/>
    </row>
    <row r="221" spans="1:10" ht="35.25" customHeight="1" x14ac:dyDescent="0.25">
      <c r="A221" s="951"/>
      <c r="B221" s="787"/>
      <c r="C221" s="279" t="s">
        <v>465</v>
      </c>
      <c r="D221" s="430"/>
      <c r="E221" s="280"/>
      <c r="F221" s="431">
        <f t="shared" si="34"/>
        <v>0</v>
      </c>
      <c r="G221" s="595"/>
      <c r="H221" s="586">
        <f>+E221</f>
        <v>0</v>
      </c>
      <c r="I221" s="589">
        <f>+H221</f>
        <v>0</v>
      </c>
      <c r="J221" s="371"/>
    </row>
    <row r="222" spans="1:10" ht="35.25" customHeight="1" x14ac:dyDescent="0.25">
      <c r="A222" s="951"/>
      <c r="B222" s="787"/>
      <c r="C222" s="279" t="s">
        <v>281</v>
      </c>
      <c r="D222" s="430"/>
      <c r="E222" s="280"/>
      <c r="F222" s="431">
        <f t="shared" si="34"/>
        <v>0</v>
      </c>
      <c r="G222" s="595">
        <v>39450</v>
      </c>
      <c r="H222" s="586">
        <f t="shared" ref="H222:H223" si="37">E222*G222</f>
        <v>0</v>
      </c>
      <c r="I222" s="589">
        <f t="shared" ref="I222:I223" si="38">+G222*F222</f>
        <v>0</v>
      </c>
      <c r="J222" s="371"/>
    </row>
    <row r="223" spans="1:10" ht="35.25" customHeight="1" thickBot="1" x14ac:dyDescent="0.3">
      <c r="A223" s="951"/>
      <c r="B223" s="787"/>
      <c r="C223" s="279" t="s">
        <v>327</v>
      </c>
      <c r="D223" s="430" t="s">
        <v>438</v>
      </c>
      <c r="E223" s="280"/>
      <c r="F223" s="431">
        <f t="shared" si="34"/>
        <v>0</v>
      </c>
      <c r="G223" s="595">
        <v>57.64</v>
      </c>
      <c r="H223" s="586">
        <f t="shared" si="37"/>
        <v>0</v>
      </c>
      <c r="I223" s="589">
        <f t="shared" si="38"/>
        <v>0</v>
      </c>
      <c r="J223" s="371"/>
    </row>
    <row r="224" spans="1:10" ht="35.25" customHeight="1" thickBot="1" x14ac:dyDescent="0.3">
      <c r="A224" s="952"/>
      <c r="B224" s="946" t="s">
        <v>269</v>
      </c>
      <c r="C224" s="947"/>
      <c r="D224" s="782"/>
      <c r="E224" s="324">
        <f>SUM(E199:E223)</f>
        <v>21600</v>
      </c>
      <c r="F224" s="324">
        <f>SUM(F199:F223)</f>
        <v>21604</v>
      </c>
      <c r="G224" s="324"/>
      <c r="H224" s="583">
        <f>SUM(H199:H223)</f>
        <v>1543104</v>
      </c>
      <c r="I224" s="573">
        <f>SUM(I199:I223)</f>
        <v>1661864</v>
      </c>
      <c r="J224" s="370"/>
    </row>
    <row r="225" spans="1:10" ht="35.25" customHeight="1" thickBot="1" x14ac:dyDescent="0.3">
      <c r="A225" s="790"/>
      <c r="B225" s="433"/>
      <c r="C225" s="279" t="s">
        <v>377</v>
      </c>
      <c r="D225" s="430"/>
      <c r="E225" s="280"/>
      <c r="F225" s="281">
        <f>+E225</f>
        <v>0</v>
      </c>
      <c r="G225" s="332"/>
      <c r="H225" s="582">
        <f t="shared" ref="H225" si="39">E225*G225</f>
        <v>0</v>
      </c>
      <c r="I225" s="282">
        <f t="shared" ref="I225" si="40">+G225*F225</f>
        <v>0</v>
      </c>
      <c r="J225" s="371"/>
    </row>
    <row r="226" spans="1:10" ht="35.25" customHeight="1" thickBot="1" x14ac:dyDescent="0.3">
      <c r="A226" s="790"/>
      <c r="B226" s="946" t="s">
        <v>223</v>
      </c>
      <c r="C226" s="947"/>
      <c r="D226" s="785"/>
      <c r="E226" s="324"/>
      <c r="F226" s="325"/>
      <c r="G226" s="324"/>
      <c r="H226" s="580"/>
      <c r="I226" s="322">
        <f>SUM(I225)</f>
        <v>0</v>
      </c>
      <c r="J226" s="347"/>
    </row>
    <row r="227" spans="1:10" ht="35.25" customHeight="1" thickBot="1" x14ac:dyDescent="0.3">
      <c r="A227" s="318"/>
      <c r="B227" s="948" t="s">
        <v>174</v>
      </c>
      <c r="C227" s="949"/>
      <c r="D227" s="786"/>
      <c r="E227" s="372">
        <f>+E224+E198+E165+E163</f>
        <v>59230</v>
      </c>
      <c r="F227" s="372">
        <f>+F224+F198+F165+F163</f>
        <v>59234</v>
      </c>
      <c r="G227" s="372"/>
      <c r="H227" s="372"/>
      <c r="I227" s="372">
        <f>+I224+I198+I165+I226</f>
        <v>2690104</v>
      </c>
      <c r="J227" s="373"/>
    </row>
    <row r="228" spans="1:10" ht="24.6" customHeight="1" thickBot="1" x14ac:dyDescent="0.3">
      <c r="A228" s="230"/>
      <c r="B228" s="230"/>
      <c r="C228" s="230"/>
      <c r="D228" s="230"/>
      <c r="E228" s="232"/>
      <c r="F228" s="232"/>
      <c r="G228" s="232"/>
      <c r="H228" s="232"/>
      <c r="I228" s="267"/>
      <c r="J228" s="234"/>
    </row>
    <row r="229" spans="1:10" ht="35.25" customHeight="1" x14ac:dyDescent="0.25">
      <c r="A229" s="881" t="s">
        <v>1</v>
      </c>
      <c r="B229" s="884" t="s">
        <v>2</v>
      </c>
      <c r="C229" s="955" t="s">
        <v>394</v>
      </c>
      <c r="D229" s="935" t="s">
        <v>395</v>
      </c>
      <c r="E229" s="959" t="s">
        <v>510</v>
      </c>
      <c r="F229" s="891"/>
      <c r="G229" s="891"/>
      <c r="H229" s="891"/>
      <c r="I229" s="891"/>
      <c r="J229" s="892"/>
    </row>
    <row r="230" spans="1:10" ht="35.25" customHeight="1" x14ac:dyDescent="0.25">
      <c r="A230" s="953"/>
      <c r="B230" s="954"/>
      <c r="C230" s="956"/>
      <c r="D230" s="936"/>
      <c r="E230" s="960" t="s">
        <v>410</v>
      </c>
      <c r="F230" s="961"/>
      <c r="G230" s="960" t="s">
        <v>409</v>
      </c>
      <c r="H230" s="962"/>
      <c r="I230" s="962"/>
      <c r="J230" s="961"/>
    </row>
    <row r="231" spans="1:10" ht="35.25" customHeight="1" x14ac:dyDescent="0.25">
      <c r="A231" s="882"/>
      <c r="B231" s="885"/>
      <c r="C231" s="957"/>
      <c r="D231" s="936"/>
      <c r="E231" s="893" t="s">
        <v>411</v>
      </c>
      <c r="F231" s="895" t="s">
        <v>412</v>
      </c>
      <c r="G231" s="964" t="s">
        <v>90</v>
      </c>
      <c r="H231" s="966" t="s">
        <v>91</v>
      </c>
      <c r="I231" s="966" t="s">
        <v>91</v>
      </c>
      <c r="J231" s="968" t="s">
        <v>12</v>
      </c>
    </row>
    <row r="232" spans="1:10" ht="35.25" customHeight="1" thickBot="1" x14ac:dyDescent="0.3">
      <c r="A232" s="883"/>
      <c r="B232" s="886"/>
      <c r="C232" s="958"/>
      <c r="D232" s="937"/>
      <c r="E232" s="894"/>
      <c r="F232" s="963"/>
      <c r="G232" s="965"/>
      <c r="H232" s="967"/>
      <c r="I232" s="967"/>
      <c r="J232" s="969"/>
    </row>
    <row r="233" spans="1:10" ht="35.25" customHeight="1" x14ac:dyDescent="0.25">
      <c r="A233" s="950" t="s">
        <v>103</v>
      </c>
      <c r="B233" s="435"/>
      <c r="C233" s="570" t="s">
        <v>437</v>
      </c>
      <c r="D233" s="630" t="s">
        <v>372</v>
      </c>
      <c r="E233" s="660"/>
      <c r="F233" s="636">
        <f>+E233+F124</f>
        <v>0</v>
      </c>
      <c r="G233" s="691">
        <v>107.85</v>
      </c>
      <c r="H233" s="584">
        <f t="shared" ref="H233:H248" si="41">E233*G233</f>
        <v>0</v>
      </c>
      <c r="I233" s="587">
        <f>+G233*F233</f>
        <v>0</v>
      </c>
      <c r="J233" s="349"/>
    </row>
    <row r="234" spans="1:10" ht="35.25" customHeight="1" x14ac:dyDescent="0.25">
      <c r="A234" s="951"/>
      <c r="B234" s="434"/>
      <c r="C234" s="437" t="s">
        <v>263</v>
      </c>
      <c r="D234" s="631" t="s">
        <v>264</v>
      </c>
      <c r="E234" s="661"/>
      <c r="F234" s="662">
        <f t="shared" ref="F234:F248" si="42">+E234+F125</f>
        <v>0</v>
      </c>
      <c r="G234" s="658">
        <v>11</v>
      </c>
      <c r="H234" s="585">
        <f t="shared" si="41"/>
        <v>0</v>
      </c>
      <c r="I234" s="588">
        <f>+G234*F234</f>
        <v>0</v>
      </c>
      <c r="J234" s="350"/>
    </row>
    <row r="235" spans="1:10" ht="35.25" customHeight="1" x14ac:dyDescent="0.25">
      <c r="A235" s="951"/>
      <c r="B235" s="434"/>
      <c r="C235" s="437" t="s">
        <v>294</v>
      </c>
      <c r="D235" s="631" t="s">
        <v>448</v>
      </c>
      <c r="E235" s="661"/>
      <c r="F235" s="662">
        <f t="shared" si="42"/>
        <v>0</v>
      </c>
      <c r="G235" s="658">
        <v>139.04</v>
      </c>
      <c r="H235" s="585">
        <f t="shared" si="41"/>
        <v>0</v>
      </c>
      <c r="I235" s="588">
        <f t="shared" ref="I235:I248" si="43">+G235*F235</f>
        <v>0</v>
      </c>
      <c r="J235" s="350"/>
    </row>
    <row r="236" spans="1:10" ht="35.25" customHeight="1" x14ac:dyDescent="0.25">
      <c r="A236" s="951"/>
      <c r="B236" s="434"/>
      <c r="C236" s="437" t="s">
        <v>355</v>
      </c>
      <c r="D236" s="631" t="s">
        <v>356</v>
      </c>
      <c r="E236" s="661"/>
      <c r="F236" s="662">
        <f t="shared" si="42"/>
        <v>0</v>
      </c>
      <c r="G236" s="675">
        <v>20.5</v>
      </c>
      <c r="H236" s="585">
        <f t="shared" si="41"/>
        <v>0</v>
      </c>
      <c r="I236" s="588">
        <f t="shared" si="43"/>
        <v>0</v>
      </c>
      <c r="J236" s="350"/>
    </row>
    <row r="237" spans="1:10" ht="35.25" customHeight="1" x14ac:dyDescent="0.25">
      <c r="A237" s="951"/>
      <c r="B237" s="434"/>
      <c r="C237" s="437" t="s">
        <v>287</v>
      </c>
      <c r="D237" s="631" t="s">
        <v>177</v>
      </c>
      <c r="E237" s="661"/>
      <c r="F237" s="662">
        <f t="shared" si="42"/>
        <v>0</v>
      </c>
      <c r="G237" s="658">
        <v>14.79</v>
      </c>
      <c r="H237" s="585">
        <f t="shared" si="41"/>
        <v>0</v>
      </c>
      <c r="I237" s="588">
        <f t="shared" si="43"/>
        <v>0</v>
      </c>
      <c r="J237" s="350"/>
    </row>
    <row r="238" spans="1:10" ht="35.25" customHeight="1" x14ac:dyDescent="0.25">
      <c r="A238" s="951"/>
      <c r="B238" s="434"/>
      <c r="C238" s="437" t="s">
        <v>518</v>
      </c>
      <c r="D238" s="631" t="s">
        <v>264</v>
      </c>
      <c r="E238" s="661">
        <v>1280</v>
      </c>
      <c r="F238" s="662">
        <f t="shared" si="42"/>
        <v>1280</v>
      </c>
      <c r="G238" s="658">
        <v>135.96</v>
      </c>
      <c r="H238" s="585">
        <f t="shared" si="41"/>
        <v>174028.80000000002</v>
      </c>
      <c r="I238" s="588">
        <f t="shared" si="43"/>
        <v>174028.80000000002</v>
      </c>
      <c r="J238" s="350"/>
    </row>
    <row r="239" spans="1:10" ht="35.25" customHeight="1" x14ac:dyDescent="0.25">
      <c r="A239" s="951"/>
      <c r="B239" s="434"/>
      <c r="C239" s="437" t="s">
        <v>389</v>
      </c>
      <c r="D239" s="632" t="s">
        <v>354</v>
      </c>
      <c r="E239" s="661"/>
      <c r="F239" s="662">
        <f t="shared" si="42"/>
        <v>0</v>
      </c>
      <c r="G239" s="658">
        <v>147.58000000000001</v>
      </c>
      <c r="H239" s="585">
        <f t="shared" si="41"/>
        <v>0</v>
      </c>
      <c r="I239" s="588">
        <f t="shared" si="43"/>
        <v>0</v>
      </c>
      <c r="J239" s="350"/>
    </row>
    <row r="240" spans="1:10" ht="35.25" customHeight="1" x14ac:dyDescent="0.25">
      <c r="A240" s="951"/>
      <c r="B240" s="434"/>
      <c r="C240" s="437" t="s">
        <v>312</v>
      </c>
      <c r="D240" s="632" t="s">
        <v>440</v>
      </c>
      <c r="E240" s="661"/>
      <c r="F240" s="662">
        <f t="shared" si="42"/>
        <v>0</v>
      </c>
      <c r="G240" s="658">
        <v>18.84</v>
      </c>
      <c r="H240" s="585">
        <f t="shared" si="41"/>
        <v>0</v>
      </c>
      <c r="I240" s="588">
        <f t="shared" si="43"/>
        <v>0</v>
      </c>
      <c r="J240" s="350"/>
    </row>
    <row r="241" spans="1:10" ht="35.25" customHeight="1" x14ac:dyDescent="0.25">
      <c r="A241" s="951"/>
      <c r="B241" s="434"/>
      <c r="C241" s="437" t="s">
        <v>312</v>
      </c>
      <c r="D241" s="632" t="s">
        <v>264</v>
      </c>
      <c r="E241" s="661"/>
      <c r="F241" s="662">
        <f t="shared" si="42"/>
        <v>0</v>
      </c>
      <c r="G241" s="658">
        <v>18.84</v>
      </c>
      <c r="H241" s="585">
        <f t="shared" si="41"/>
        <v>0</v>
      </c>
      <c r="I241" s="588">
        <f t="shared" si="43"/>
        <v>0</v>
      </c>
      <c r="J241" s="350"/>
    </row>
    <row r="242" spans="1:10" ht="35.25" customHeight="1" x14ac:dyDescent="0.25">
      <c r="A242" s="951"/>
      <c r="B242" s="434"/>
      <c r="C242" s="437" t="s">
        <v>320</v>
      </c>
      <c r="D242" s="632" t="s">
        <v>231</v>
      </c>
      <c r="E242" s="661"/>
      <c r="F242" s="662">
        <f t="shared" si="42"/>
        <v>0</v>
      </c>
      <c r="G242" s="658">
        <v>21.18</v>
      </c>
      <c r="H242" s="585">
        <f t="shared" si="41"/>
        <v>0</v>
      </c>
      <c r="I242" s="588">
        <f t="shared" si="43"/>
        <v>0</v>
      </c>
      <c r="J242" s="350"/>
    </row>
    <row r="243" spans="1:10" ht="35.25" customHeight="1" x14ac:dyDescent="0.25">
      <c r="A243" s="951"/>
      <c r="B243" s="434"/>
      <c r="C243" s="437" t="s">
        <v>322</v>
      </c>
      <c r="D243" s="632" t="s">
        <v>323</v>
      </c>
      <c r="E243" s="661"/>
      <c r="F243" s="662">
        <f t="shared" si="42"/>
        <v>0</v>
      </c>
      <c r="G243" s="658">
        <v>21.28</v>
      </c>
      <c r="H243" s="585">
        <f t="shared" si="41"/>
        <v>0</v>
      </c>
      <c r="I243" s="588">
        <f t="shared" si="43"/>
        <v>0</v>
      </c>
      <c r="J243" s="350"/>
    </row>
    <row r="244" spans="1:10" ht="35.25" customHeight="1" x14ac:dyDescent="0.25">
      <c r="A244" s="951"/>
      <c r="B244" s="434"/>
      <c r="C244" s="437" t="s">
        <v>376</v>
      </c>
      <c r="D244" s="632" t="s">
        <v>372</v>
      </c>
      <c r="E244" s="661"/>
      <c r="F244" s="662">
        <f t="shared" si="42"/>
        <v>0</v>
      </c>
      <c r="G244" s="658">
        <v>143.28</v>
      </c>
      <c r="H244" s="585">
        <f t="shared" si="41"/>
        <v>0</v>
      </c>
      <c r="I244" s="588">
        <f t="shared" si="43"/>
        <v>0</v>
      </c>
      <c r="J244" s="350"/>
    </row>
    <row r="245" spans="1:10" ht="35.25" customHeight="1" x14ac:dyDescent="0.25">
      <c r="A245" s="951"/>
      <c r="B245" s="434"/>
      <c r="C245" s="437" t="s">
        <v>466</v>
      </c>
      <c r="D245" s="632"/>
      <c r="E245" s="661"/>
      <c r="F245" s="662">
        <f t="shared" si="42"/>
        <v>0</v>
      </c>
      <c r="G245" s="658">
        <v>14.79</v>
      </c>
      <c r="H245" s="585">
        <f t="shared" si="41"/>
        <v>0</v>
      </c>
      <c r="I245" s="588">
        <f t="shared" si="43"/>
        <v>0</v>
      </c>
      <c r="J245" s="350"/>
    </row>
    <row r="246" spans="1:10" ht="35.25" customHeight="1" x14ac:dyDescent="0.25">
      <c r="A246" s="951"/>
      <c r="B246" s="434"/>
      <c r="C246" s="437" t="s">
        <v>446</v>
      </c>
      <c r="D246" s="631" t="s">
        <v>177</v>
      </c>
      <c r="E246" s="661"/>
      <c r="F246" s="662">
        <f t="shared" si="42"/>
        <v>0</v>
      </c>
      <c r="G246" s="658">
        <v>14.55</v>
      </c>
      <c r="H246" s="585">
        <f t="shared" si="41"/>
        <v>0</v>
      </c>
      <c r="I246" s="588">
        <f t="shared" si="43"/>
        <v>0</v>
      </c>
      <c r="J246" s="350"/>
    </row>
    <row r="247" spans="1:10" ht="35.25" customHeight="1" x14ac:dyDescent="0.25">
      <c r="A247" s="951"/>
      <c r="B247" s="434"/>
      <c r="C247" s="437" t="s">
        <v>325</v>
      </c>
      <c r="D247" s="632" t="s">
        <v>188</v>
      </c>
      <c r="E247" s="661"/>
      <c r="F247" s="662">
        <f t="shared" si="42"/>
        <v>0</v>
      </c>
      <c r="G247" s="658">
        <v>21.28</v>
      </c>
      <c r="H247" s="585">
        <f t="shared" si="41"/>
        <v>0</v>
      </c>
      <c r="I247" s="588">
        <f t="shared" si="43"/>
        <v>0</v>
      </c>
      <c r="J247" s="350"/>
    </row>
    <row r="248" spans="1:10" ht="35.25" customHeight="1" thickBot="1" x14ac:dyDescent="0.3">
      <c r="A248" s="951"/>
      <c r="B248" s="434"/>
      <c r="C248" s="437" t="s">
        <v>334</v>
      </c>
      <c r="D248" s="633" t="s">
        <v>178</v>
      </c>
      <c r="E248" s="661"/>
      <c r="F248" s="637">
        <f t="shared" si="42"/>
        <v>0</v>
      </c>
      <c r="G248" s="658">
        <v>36.44</v>
      </c>
      <c r="H248" s="585">
        <f t="shared" si="41"/>
        <v>0</v>
      </c>
      <c r="I248" s="588">
        <f t="shared" si="43"/>
        <v>0</v>
      </c>
      <c r="J248" s="350"/>
    </row>
    <row r="249" spans="1:10" ht="35.25" customHeight="1" thickBot="1" x14ac:dyDescent="0.3">
      <c r="A249" s="951"/>
      <c r="B249" s="946" t="s">
        <v>265</v>
      </c>
      <c r="C249" s="947"/>
      <c r="D249" s="801"/>
      <c r="E249" s="324">
        <f>SUM(E233:E248)</f>
        <v>1280</v>
      </c>
      <c r="F249" s="659">
        <f>SUM(F233:F248)</f>
        <v>1280</v>
      </c>
      <c r="G249" s="324"/>
      <c r="H249" s="580">
        <f>SUM(H233:H248)</f>
        <v>174028.80000000002</v>
      </c>
      <c r="I249" s="573">
        <f>SUM(I233:I248)</f>
        <v>174028.80000000002</v>
      </c>
      <c r="J249" s="347"/>
    </row>
    <row r="250" spans="1:10" ht="35.25" customHeight="1" x14ac:dyDescent="0.25">
      <c r="A250" s="951"/>
      <c r="B250" s="799"/>
      <c r="C250" s="279" t="s">
        <v>270</v>
      </c>
      <c r="D250" s="430" t="s">
        <v>237</v>
      </c>
      <c r="E250" s="280"/>
      <c r="F250" s="431">
        <f t="shared" ref="F250:F271" si="44">+E250+F141</f>
        <v>0</v>
      </c>
      <c r="G250" s="571">
        <v>160.44999999999999</v>
      </c>
      <c r="H250" s="586">
        <f t="shared" ref="H250:H263" si="45">E250*G250</f>
        <v>0</v>
      </c>
      <c r="I250" s="589">
        <f t="shared" ref="I250:I263" si="46">+G250*F250</f>
        <v>0</v>
      </c>
      <c r="J250" s="371"/>
    </row>
    <row r="251" spans="1:10" ht="35.25" customHeight="1" x14ac:dyDescent="0.25">
      <c r="A251" s="951"/>
      <c r="B251" s="799"/>
      <c r="C251" s="279" t="s">
        <v>285</v>
      </c>
      <c r="D251" s="430" t="s">
        <v>237</v>
      </c>
      <c r="E251" s="280"/>
      <c r="F251" s="431">
        <f t="shared" si="44"/>
        <v>0</v>
      </c>
      <c r="G251" s="571">
        <v>160.44999999999999</v>
      </c>
      <c r="H251" s="586">
        <f t="shared" si="45"/>
        <v>0</v>
      </c>
      <c r="I251" s="589">
        <f t="shared" si="46"/>
        <v>0</v>
      </c>
      <c r="J251" s="371"/>
    </row>
    <row r="252" spans="1:10" ht="35.25" customHeight="1" x14ac:dyDescent="0.25">
      <c r="A252" s="951"/>
      <c r="B252" s="799"/>
      <c r="C252" s="279" t="s">
        <v>386</v>
      </c>
      <c r="D252" s="430" t="s">
        <v>237</v>
      </c>
      <c r="E252" s="280"/>
      <c r="F252" s="431">
        <f t="shared" si="44"/>
        <v>0</v>
      </c>
      <c r="G252" s="571">
        <v>160.44999999999999</v>
      </c>
      <c r="H252" s="586">
        <f t="shared" si="45"/>
        <v>0</v>
      </c>
      <c r="I252" s="589">
        <f t="shared" si="46"/>
        <v>0</v>
      </c>
      <c r="J252" s="371"/>
    </row>
    <row r="253" spans="1:10" ht="35.25" customHeight="1" x14ac:dyDescent="0.25">
      <c r="A253" s="951"/>
      <c r="B253" s="799"/>
      <c r="C253" s="279" t="s">
        <v>286</v>
      </c>
      <c r="D253" s="430" t="s">
        <v>93</v>
      </c>
      <c r="E253" s="280"/>
      <c r="F253" s="431">
        <f t="shared" si="44"/>
        <v>37620</v>
      </c>
      <c r="G253" s="571">
        <v>27</v>
      </c>
      <c r="H253" s="586">
        <f t="shared" si="45"/>
        <v>0</v>
      </c>
      <c r="I253" s="589">
        <f t="shared" si="46"/>
        <v>1015740</v>
      </c>
      <c r="J253" s="371"/>
    </row>
    <row r="254" spans="1:10" ht="35.25" customHeight="1" x14ac:dyDescent="0.25">
      <c r="A254" s="951"/>
      <c r="B254" s="799"/>
      <c r="C254" s="279" t="s">
        <v>286</v>
      </c>
      <c r="D254" s="430" t="s">
        <v>291</v>
      </c>
      <c r="E254" s="280"/>
      <c r="F254" s="431">
        <f t="shared" si="44"/>
        <v>0</v>
      </c>
      <c r="G254" s="571">
        <v>27.5</v>
      </c>
      <c r="H254" s="586">
        <f t="shared" si="45"/>
        <v>0</v>
      </c>
      <c r="I254" s="589">
        <f t="shared" si="46"/>
        <v>0</v>
      </c>
      <c r="J254" s="371"/>
    </row>
    <row r="255" spans="1:10" ht="35.25" customHeight="1" x14ac:dyDescent="0.25">
      <c r="A255" s="951"/>
      <c r="B255" s="799"/>
      <c r="C255" s="279" t="s">
        <v>275</v>
      </c>
      <c r="D255" s="430" t="s">
        <v>291</v>
      </c>
      <c r="E255" s="280"/>
      <c r="F255" s="431">
        <f t="shared" si="44"/>
        <v>0</v>
      </c>
      <c r="G255" s="571">
        <v>34.5</v>
      </c>
      <c r="H255" s="586">
        <f t="shared" si="45"/>
        <v>0</v>
      </c>
      <c r="I255" s="589">
        <f t="shared" si="46"/>
        <v>0</v>
      </c>
      <c r="J255" s="371"/>
    </row>
    <row r="256" spans="1:10" ht="35.25" customHeight="1" x14ac:dyDescent="0.25">
      <c r="A256" s="951"/>
      <c r="B256" s="799"/>
      <c r="C256" s="279" t="s">
        <v>467</v>
      </c>
      <c r="D256" s="430" t="s">
        <v>435</v>
      </c>
      <c r="E256" s="280"/>
      <c r="F256" s="431">
        <f t="shared" si="44"/>
        <v>0</v>
      </c>
      <c r="G256" s="571">
        <v>10.57</v>
      </c>
      <c r="H256" s="586">
        <f t="shared" si="45"/>
        <v>0</v>
      </c>
      <c r="I256" s="589">
        <f t="shared" si="46"/>
        <v>0</v>
      </c>
      <c r="J256" s="371"/>
    </row>
    <row r="257" spans="1:10" ht="35.25" customHeight="1" x14ac:dyDescent="0.25">
      <c r="A257" s="951"/>
      <c r="B257" s="799"/>
      <c r="C257" s="279" t="s">
        <v>275</v>
      </c>
      <c r="D257" s="430" t="s">
        <v>435</v>
      </c>
      <c r="E257" s="280"/>
      <c r="F257" s="431">
        <f t="shared" si="44"/>
        <v>0</v>
      </c>
      <c r="G257" s="571">
        <v>55.76</v>
      </c>
      <c r="H257" s="586">
        <f t="shared" si="45"/>
        <v>0</v>
      </c>
      <c r="I257" s="589">
        <f t="shared" si="46"/>
        <v>0</v>
      </c>
      <c r="J257" s="371"/>
    </row>
    <row r="258" spans="1:10" ht="35.25" customHeight="1" x14ac:dyDescent="0.25">
      <c r="A258" s="951"/>
      <c r="B258" s="799"/>
      <c r="C258" s="279" t="s">
        <v>419</v>
      </c>
      <c r="D258" s="430" t="s">
        <v>237</v>
      </c>
      <c r="E258" s="280"/>
      <c r="F258" s="431">
        <f t="shared" si="44"/>
        <v>0</v>
      </c>
      <c r="G258" s="571">
        <v>160.44999999999999</v>
      </c>
      <c r="H258" s="586">
        <f t="shared" si="45"/>
        <v>0</v>
      </c>
      <c r="I258" s="589">
        <f t="shared" si="46"/>
        <v>0</v>
      </c>
      <c r="J258" s="371"/>
    </row>
    <row r="259" spans="1:10" ht="35.25" customHeight="1" x14ac:dyDescent="0.25">
      <c r="A259" s="951"/>
      <c r="B259" s="799"/>
      <c r="C259" s="279" t="s">
        <v>346</v>
      </c>
      <c r="D259" s="430" t="s">
        <v>237</v>
      </c>
      <c r="E259" s="280"/>
      <c r="F259" s="431">
        <f t="shared" si="44"/>
        <v>0</v>
      </c>
      <c r="G259" s="571">
        <v>160.44999999999999</v>
      </c>
      <c r="H259" s="586">
        <f t="shared" si="45"/>
        <v>0</v>
      </c>
      <c r="I259" s="589">
        <f t="shared" si="46"/>
        <v>0</v>
      </c>
      <c r="J259" s="371"/>
    </row>
    <row r="260" spans="1:10" ht="35.25" customHeight="1" x14ac:dyDescent="0.25">
      <c r="A260" s="951"/>
      <c r="B260" s="799"/>
      <c r="C260" s="279" t="s">
        <v>385</v>
      </c>
      <c r="D260" s="430" t="s">
        <v>237</v>
      </c>
      <c r="E260" s="280"/>
      <c r="F260" s="431">
        <f t="shared" si="44"/>
        <v>0</v>
      </c>
      <c r="G260" s="571">
        <v>160.44999999999999</v>
      </c>
      <c r="H260" s="586">
        <f t="shared" si="45"/>
        <v>0</v>
      </c>
      <c r="I260" s="589">
        <f t="shared" si="46"/>
        <v>0</v>
      </c>
      <c r="J260" s="371"/>
    </row>
    <row r="261" spans="1:10" ht="35.25" customHeight="1" x14ac:dyDescent="0.25">
      <c r="A261" s="951"/>
      <c r="B261" s="799"/>
      <c r="C261" s="279" t="s">
        <v>436</v>
      </c>
      <c r="D261" s="430" t="s">
        <v>237</v>
      </c>
      <c r="E261" s="280"/>
      <c r="F261" s="431">
        <f t="shared" si="44"/>
        <v>0</v>
      </c>
      <c r="G261" s="571">
        <v>160.44999999999999</v>
      </c>
      <c r="H261" s="586">
        <f t="shared" si="45"/>
        <v>0</v>
      </c>
      <c r="I261" s="589">
        <f t="shared" si="46"/>
        <v>0</v>
      </c>
      <c r="J261" s="371"/>
    </row>
    <row r="262" spans="1:10" ht="35.25" customHeight="1" x14ac:dyDescent="0.25">
      <c r="A262" s="951"/>
      <c r="B262" s="799"/>
      <c r="C262" s="279" t="s">
        <v>301</v>
      </c>
      <c r="D262" s="430" t="s">
        <v>237</v>
      </c>
      <c r="E262" s="280"/>
      <c r="F262" s="431">
        <f t="shared" si="44"/>
        <v>0</v>
      </c>
      <c r="G262" s="571">
        <v>160.44999999999999</v>
      </c>
      <c r="H262" s="586">
        <f t="shared" si="45"/>
        <v>0</v>
      </c>
      <c r="I262" s="589">
        <f t="shared" si="46"/>
        <v>0</v>
      </c>
      <c r="J262" s="371"/>
    </row>
    <row r="263" spans="1:10" ht="35.25" customHeight="1" thickBot="1" x14ac:dyDescent="0.3">
      <c r="A263" s="951"/>
      <c r="B263" s="799"/>
      <c r="C263" s="279" t="s">
        <v>309</v>
      </c>
      <c r="D263" s="430" t="s">
        <v>237</v>
      </c>
      <c r="E263" s="280"/>
      <c r="F263" s="431">
        <f t="shared" si="44"/>
        <v>0</v>
      </c>
      <c r="G263" s="571">
        <v>160.44999999999999</v>
      </c>
      <c r="H263" s="586">
        <f t="shared" si="45"/>
        <v>0</v>
      </c>
      <c r="I263" s="589">
        <f t="shared" si="46"/>
        <v>0</v>
      </c>
      <c r="J263" s="371"/>
    </row>
    <row r="264" spans="1:10" ht="35.25" customHeight="1" thickBot="1" x14ac:dyDescent="0.3">
      <c r="A264" s="951"/>
      <c r="B264" s="946" t="s">
        <v>266</v>
      </c>
      <c r="C264" s="947"/>
      <c r="D264" s="801"/>
      <c r="E264" s="324">
        <f>SUM(E250:E263)</f>
        <v>0</v>
      </c>
      <c r="F264" s="324">
        <f t="shared" si="44"/>
        <v>37620</v>
      </c>
      <c r="G264" s="324"/>
      <c r="H264" s="580">
        <f>SUM(H250:H263)</f>
        <v>0</v>
      </c>
      <c r="I264" s="573">
        <f>SUM(I250:I263)</f>
        <v>1015740</v>
      </c>
      <c r="J264" s="347"/>
    </row>
    <row r="265" spans="1:10" ht="35.25" customHeight="1" x14ac:dyDescent="0.25">
      <c r="A265" s="951"/>
      <c r="B265" s="799"/>
      <c r="C265" s="279" t="s">
        <v>370</v>
      </c>
      <c r="D265" s="430" t="s">
        <v>371</v>
      </c>
      <c r="E265" s="280"/>
      <c r="F265" s="431">
        <f t="shared" si="44"/>
        <v>0</v>
      </c>
      <c r="G265" s="571">
        <v>5.34</v>
      </c>
      <c r="H265" s="586">
        <f t="shared" ref="H265:H271" si="47">E265*G265</f>
        <v>0</v>
      </c>
      <c r="I265" s="589">
        <f t="shared" ref="I265" si="48">+G265*F265</f>
        <v>0</v>
      </c>
      <c r="J265" s="371"/>
    </row>
    <row r="266" spans="1:10" ht="35.25" customHeight="1" x14ac:dyDescent="0.25">
      <c r="A266" s="951"/>
      <c r="B266" s="799"/>
      <c r="C266" s="279" t="s">
        <v>387</v>
      </c>
      <c r="D266" s="430" t="s">
        <v>264</v>
      </c>
      <c r="E266" s="280"/>
      <c r="F266" s="431">
        <f t="shared" si="44"/>
        <v>0</v>
      </c>
      <c r="G266" s="571">
        <v>31.73</v>
      </c>
      <c r="H266" s="586">
        <f t="shared" si="47"/>
        <v>0</v>
      </c>
      <c r="I266" s="589">
        <f>+G266*F266</f>
        <v>0</v>
      </c>
      <c r="J266" s="371"/>
    </row>
    <row r="267" spans="1:10" ht="35.25" customHeight="1" x14ac:dyDescent="0.25">
      <c r="A267" s="951"/>
      <c r="B267" s="799"/>
      <c r="C267" s="279" t="s">
        <v>390</v>
      </c>
      <c r="D267" s="430" t="s">
        <v>391</v>
      </c>
      <c r="E267" s="280"/>
      <c r="F267" s="431">
        <f t="shared" si="44"/>
        <v>0</v>
      </c>
      <c r="G267" s="571">
        <v>10.58</v>
      </c>
      <c r="H267" s="586">
        <f t="shared" si="47"/>
        <v>0</v>
      </c>
      <c r="I267" s="589">
        <f>+G267*F267</f>
        <v>0</v>
      </c>
      <c r="J267" s="371"/>
    </row>
    <row r="268" spans="1:10" ht="35.25" customHeight="1" x14ac:dyDescent="0.25">
      <c r="A268" s="951"/>
      <c r="B268" s="799"/>
      <c r="C268" s="279" t="s">
        <v>276</v>
      </c>
      <c r="D268" s="430" t="s">
        <v>277</v>
      </c>
      <c r="E268" s="280">
        <v>4</v>
      </c>
      <c r="F268" s="431">
        <f t="shared" si="44"/>
        <v>9</v>
      </c>
      <c r="G268" s="571">
        <v>2500</v>
      </c>
      <c r="H268" s="586">
        <f t="shared" si="47"/>
        <v>10000</v>
      </c>
      <c r="I268" s="589">
        <f>+G268*F268</f>
        <v>22500</v>
      </c>
      <c r="J268" s="371"/>
    </row>
    <row r="269" spans="1:10" ht="35.25" customHeight="1" x14ac:dyDescent="0.25">
      <c r="A269" s="951"/>
      <c r="B269" s="799"/>
      <c r="C269" s="279" t="s">
        <v>449</v>
      </c>
      <c r="D269" s="430"/>
      <c r="E269" s="280"/>
      <c r="F269" s="431">
        <f t="shared" si="44"/>
        <v>0</v>
      </c>
      <c r="G269" s="571">
        <v>30000</v>
      </c>
      <c r="H269" s="586">
        <f t="shared" si="47"/>
        <v>0</v>
      </c>
      <c r="I269" s="589">
        <f>+G269*F269</f>
        <v>0</v>
      </c>
      <c r="J269" s="371"/>
    </row>
    <row r="270" spans="1:10" ht="35.25" customHeight="1" x14ac:dyDescent="0.25">
      <c r="A270" s="951"/>
      <c r="B270" s="799"/>
      <c r="C270" s="279" t="s">
        <v>377</v>
      </c>
      <c r="D270" s="430" t="s">
        <v>303</v>
      </c>
      <c r="E270" s="280"/>
      <c r="F270" s="431">
        <f t="shared" si="44"/>
        <v>0</v>
      </c>
      <c r="G270" s="571">
        <v>360</v>
      </c>
      <c r="H270" s="586">
        <f t="shared" si="47"/>
        <v>0</v>
      </c>
      <c r="I270" s="589">
        <f>+G270*F270</f>
        <v>0</v>
      </c>
      <c r="J270" s="371"/>
    </row>
    <row r="271" spans="1:10" ht="35.25" customHeight="1" thickBot="1" x14ac:dyDescent="0.3">
      <c r="A271" s="951"/>
      <c r="B271" s="799"/>
      <c r="C271" s="279" t="s">
        <v>425</v>
      </c>
      <c r="D271" s="430" t="s">
        <v>303</v>
      </c>
      <c r="E271" s="280"/>
      <c r="F271" s="431">
        <f t="shared" si="44"/>
        <v>0</v>
      </c>
      <c r="G271" s="572">
        <v>10</v>
      </c>
      <c r="H271" s="586">
        <f t="shared" si="47"/>
        <v>0</v>
      </c>
      <c r="I271" s="589">
        <f t="shared" ref="I271" si="49">+G271*F271</f>
        <v>0</v>
      </c>
      <c r="J271" s="371"/>
    </row>
    <row r="272" spans="1:10" ht="35.25" customHeight="1" thickBot="1" x14ac:dyDescent="0.3">
      <c r="A272" s="951"/>
      <c r="B272" s="946" t="s">
        <v>271</v>
      </c>
      <c r="C272" s="947"/>
      <c r="D272" s="801"/>
      <c r="E272" s="324">
        <f>SUM(E265:E271)</f>
        <v>4</v>
      </c>
      <c r="F272" s="324">
        <f>SUM(F265:F271)</f>
        <v>9</v>
      </c>
      <c r="G272" s="324"/>
      <c r="H272" s="580">
        <f>SUM(H265:H271)</f>
        <v>10000</v>
      </c>
      <c r="I272" s="573">
        <f>SUM(I265:I271)</f>
        <v>22500</v>
      </c>
      <c r="J272" s="371"/>
    </row>
    <row r="273" spans="1:13" ht="35.25" customHeight="1" thickBot="1" x14ac:dyDescent="0.3">
      <c r="A273" s="951"/>
      <c r="B273" s="799"/>
      <c r="C273" s="279"/>
      <c r="D273" s="430"/>
      <c r="E273" s="280"/>
      <c r="F273" s="316"/>
      <c r="G273" s="572"/>
      <c r="H273" s="581"/>
      <c r="I273" s="282">
        <f t="shared" ref="I273" si="50">+G273*F273</f>
        <v>0</v>
      </c>
      <c r="J273" s="371"/>
    </row>
    <row r="274" spans="1:13" ht="35.25" customHeight="1" thickBot="1" x14ac:dyDescent="0.3">
      <c r="A274" s="952"/>
      <c r="B274" s="946" t="s">
        <v>268</v>
      </c>
      <c r="C274" s="947"/>
      <c r="D274" s="797"/>
      <c r="E274" s="324">
        <f>+E272+E264+E249</f>
        <v>1284</v>
      </c>
      <c r="F274" s="324">
        <f>+F272+F264+F249</f>
        <v>38909</v>
      </c>
      <c r="G274" s="324"/>
      <c r="H274" s="573">
        <f>+H264+H249+H272</f>
        <v>184028.80000000002</v>
      </c>
      <c r="I274" s="573">
        <f>+I264+I249+I272</f>
        <v>1212268.8</v>
      </c>
      <c r="J274" s="371"/>
      <c r="K274" s="664"/>
      <c r="M274" s="664"/>
    </row>
    <row r="275" spans="1:13" ht="35.25" customHeight="1" x14ac:dyDescent="0.25">
      <c r="A275" s="950" t="s">
        <v>101</v>
      </c>
      <c r="B275" s="799"/>
      <c r="C275" s="279" t="s">
        <v>280</v>
      </c>
      <c r="D275" s="430" t="s">
        <v>178</v>
      </c>
      <c r="E275" s="280"/>
      <c r="F275" s="431">
        <f t="shared" ref="F275:F306" si="51">+E275+F166</f>
        <v>0</v>
      </c>
      <c r="G275" s="595">
        <v>13.25</v>
      </c>
      <c r="H275" s="590">
        <f t="shared" ref="H275:H306" si="52">E275*G275</f>
        <v>0</v>
      </c>
      <c r="I275" s="589">
        <f t="shared" ref="I275:I306" si="53">+G275*F275</f>
        <v>0</v>
      </c>
      <c r="J275" s="371"/>
      <c r="K275" s="664"/>
    </row>
    <row r="276" spans="1:13" ht="35.25" customHeight="1" x14ac:dyDescent="0.25">
      <c r="A276" s="951"/>
      <c r="B276" s="799"/>
      <c r="C276" s="279" t="s">
        <v>281</v>
      </c>
      <c r="D276" s="430"/>
      <c r="E276" s="280">
        <v>1</v>
      </c>
      <c r="F276" s="431">
        <f t="shared" si="51"/>
        <v>1</v>
      </c>
      <c r="G276" s="596">
        <v>34000</v>
      </c>
      <c r="H276" s="590">
        <f t="shared" si="52"/>
        <v>34000</v>
      </c>
      <c r="I276" s="589">
        <f t="shared" si="53"/>
        <v>34000</v>
      </c>
      <c r="J276" s="371"/>
      <c r="K276" s="664"/>
    </row>
    <row r="277" spans="1:13" ht="35.25" customHeight="1" x14ac:dyDescent="0.25">
      <c r="A277" s="951"/>
      <c r="B277" s="799"/>
      <c r="C277" s="279" t="s">
        <v>281</v>
      </c>
      <c r="D277" s="430"/>
      <c r="E277" s="280"/>
      <c r="F277" s="431">
        <f t="shared" si="51"/>
        <v>0</v>
      </c>
      <c r="G277" s="596">
        <v>18000</v>
      </c>
      <c r="H277" s="590">
        <f t="shared" si="52"/>
        <v>0</v>
      </c>
      <c r="I277" s="589">
        <f t="shared" si="53"/>
        <v>0</v>
      </c>
      <c r="J277" s="371"/>
    </row>
    <row r="278" spans="1:13" ht="35.25" customHeight="1" x14ac:dyDescent="0.25">
      <c r="A278" s="951"/>
      <c r="B278" s="799"/>
      <c r="C278" s="279" t="s">
        <v>515</v>
      </c>
      <c r="D278" s="430" t="s">
        <v>516</v>
      </c>
      <c r="E278" s="280">
        <v>135252</v>
      </c>
      <c r="F278" s="431">
        <f t="shared" si="51"/>
        <v>135252</v>
      </c>
      <c r="G278" s="595">
        <v>25</v>
      </c>
      <c r="H278" s="590">
        <f t="shared" si="52"/>
        <v>3381300</v>
      </c>
      <c r="I278" s="589">
        <f t="shared" si="53"/>
        <v>3381300</v>
      </c>
      <c r="J278" s="371"/>
    </row>
    <row r="279" spans="1:13" ht="35.25" customHeight="1" x14ac:dyDescent="0.25">
      <c r="A279" s="951"/>
      <c r="B279" s="799"/>
      <c r="C279" s="279" t="s">
        <v>459</v>
      </c>
      <c r="D279" s="430" t="s">
        <v>516</v>
      </c>
      <c r="E279" s="280">
        <v>190944</v>
      </c>
      <c r="F279" s="431">
        <f t="shared" si="51"/>
        <v>190944</v>
      </c>
      <c r="G279" s="595">
        <v>25.43</v>
      </c>
      <c r="H279" s="590">
        <f t="shared" si="52"/>
        <v>4855705.92</v>
      </c>
      <c r="I279" s="589">
        <f t="shared" si="53"/>
        <v>4855705.92</v>
      </c>
      <c r="J279" s="371"/>
    </row>
    <row r="280" spans="1:13" ht="35.25" customHeight="1" x14ac:dyDescent="0.25">
      <c r="A280" s="951"/>
      <c r="B280" s="799"/>
      <c r="C280" s="279" t="s">
        <v>459</v>
      </c>
      <c r="D280" s="430" t="s">
        <v>92</v>
      </c>
      <c r="E280" s="280"/>
      <c r="F280" s="431">
        <f t="shared" si="51"/>
        <v>0</v>
      </c>
      <c r="G280" s="595">
        <v>24.93</v>
      </c>
      <c r="H280" s="590">
        <f t="shared" si="52"/>
        <v>0</v>
      </c>
      <c r="I280" s="589">
        <f t="shared" si="53"/>
        <v>0</v>
      </c>
      <c r="J280" s="371"/>
    </row>
    <row r="281" spans="1:13" ht="35.25" customHeight="1" x14ac:dyDescent="0.25">
      <c r="A281" s="951"/>
      <c r="B281" s="799"/>
      <c r="C281" s="705" t="s">
        <v>460</v>
      </c>
      <c r="D281" s="706" t="s">
        <v>92</v>
      </c>
      <c r="E281" s="280"/>
      <c r="F281" s="431">
        <f t="shared" si="51"/>
        <v>0</v>
      </c>
      <c r="G281" s="595">
        <v>20.8</v>
      </c>
      <c r="H281" s="590">
        <f t="shared" si="52"/>
        <v>0</v>
      </c>
      <c r="I281" s="589">
        <f t="shared" si="53"/>
        <v>0</v>
      </c>
      <c r="J281" s="371"/>
    </row>
    <row r="282" spans="1:13" ht="35.25" customHeight="1" x14ac:dyDescent="0.25">
      <c r="A282" s="951"/>
      <c r="B282" s="799"/>
      <c r="C282" s="705" t="s">
        <v>514</v>
      </c>
      <c r="D282" s="706" t="s">
        <v>462</v>
      </c>
      <c r="E282" s="280">
        <v>123318</v>
      </c>
      <c r="F282" s="431">
        <f t="shared" si="51"/>
        <v>123318</v>
      </c>
      <c r="G282" s="595">
        <v>26.36</v>
      </c>
      <c r="H282" s="590">
        <f t="shared" si="52"/>
        <v>3250662.48</v>
      </c>
      <c r="I282" s="589">
        <f t="shared" si="53"/>
        <v>3250662.48</v>
      </c>
      <c r="J282" s="371"/>
    </row>
    <row r="283" spans="1:13" ht="35.25" customHeight="1" x14ac:dyDescent="0.25">
      <c r="A283" s="951"/>
      <c r="B283" s="799"/>
      <c r="C283" s="705" t="s">
        <v>461</v>
      </c>
      <c r="D283" s="706" t="s">
        <v>462</v>
      </c>
      <c r="E283" s="280"/>
      <c r="F283" s="431">
        <f t="shared" si="51"/>
        <v>0</v>
      </c>
      <c r="G283" s="595">
        <v>25.49</v>
      </c>
      <c r="H283" s="590">
        <f t="shared" si="52"/>
        <v>0</v>
      </c>
      <c r="I283" s="589">
        <f t="shared" si="53"/>
        <v>0</v>
      </c>
      <c r="J283" s="371"/>
    </row>
    <row r="284" spans="1:13" s="716" customFormat="1" ht="35.25" customHeight="1" x14ac:dyDescent="0.25">
      <c r="A284" s="951"/>
      <c r="B284" s="707"/>
      <c r="C284" s="708" t="s">
        <v>463</v>
      </c>
      <c r="D284" s="709" t="s">
        <v>308</v>
      </c>
      <c r="E284" s="710"/>
      <c r="F284" s="711">
        <f t="shared" si="51"/>
        <v>0</v>
      </c>
      <c r="G284" s="712">
        <v>24.41</v>
      </c>
      <c r="H284" s="713">
        <f t="shared" si="52"/>
        <v>0</v>
      </c>
      <c r="I284" s="714">
        <f t="shared" si="53"/>
        <v>0</v>
      </c>
      <c r="J284" s="715"/>
    </row>
    <row r="285" spans="1:13" ht="35.25" customHeight="1" x14ac:dyDescent="0.25">
      <c r="A285" s="951"/>
      <c r="B285" s="799"/>
      <c r="C285" s="279" t="s">
        <v>439</v>
      </c>
      <c r="D285" s="430" t="s">
        <v>421</v>
      </c>
      <c r="E285" s="280"/>
      <c r="F285" s="431">
        <f t="shared" si="51"/>
        <v>0</v>
      </c>
      <c r="G285" s="595">
        <v>20.76</v>
      </c>
      <c r="H285" s="590">
        <f t="shared" si="52"/>
        <v>0</v>
      </c>
      <c r="I285" s="589">
        <f t="shared" si="53"/>
        <v>0</v>
      </c>
      <c r="J285" s="371"/>
    </row>
    <row r="286" spans="1:13" ht="35.25" customHeight="1" x14ac:dyDescent="0.25">
      <c r="A286" s="951"/>
      <c r="B286" s="799"/>
      <c r="C286" s="279" t="s">
        <v>297</v>
      </c>
      <c r="D286" s="430" t="s">
        <v>107</v>
      </c>
      <c r="E286" s="280"/>
      <c r="F286" s="431">
        <f t="shared" si="51"/>
        <v>0</v>
      </c>
      <c r="G286" s="595">
        <v>24.93</v>
      </c>
      <c r="H286" s="590">
        <f t="shared" si="52"/>
        <v>0</v>
      </c>
      <c r="I286" s="589">
        <f t="shared" si="53"/>
        <v>0</v>
      </c>
      <c r="J286" s="371"/>
    </row>
    <row r="287" spans="1:13" ht="35.25" customHeight="1" x14ac:dyDescent="0.25">
      <c r="A287" s="951"/>
      <c r="B287" s="799"/>
      <c r="C287" s="279" t="s">
        <v>298</v>
      </c>
      <c r="D287" s="430" t="s">
        <v>279</v>
      </c>
      <c r="E287" s="280"/>
      <c r="F287" s="431">
        <f t="shared" si="51"/>
        <v>0</v>
      </c>
      <c r="G287" s="595">
        <v>24.93</v>
      </c>
      <c r="H287" s="590">
        <f t="shared" si="52"/>
        <v>0</v>
      </c>
      <c r="I287" s="589">
        <f t="shared" si="53"/>
        <v>0</v>
      </c>
      <c r="J287" s="371"/>
    </row>
    <row r="288" spans="1:13" ht="35.25" customHeight="1" x14ac:dyDescent="0.25">
      <c r="A288" s="951"/>
      <c r="B288" s="799"/>
      <c r="C288" s="279" t="s">
        <v>423</v>
      </c>
      <c r="D288" s="430" t="s">
        <v>358</v>
      </c>
      <c r="E288" s="280"/>
      <c r="F288" s="431">
        <f t="shared" si="51"/>
        <v>0</v>
      </c>
      <c r="G288" s="595">
        <v>23.78</v>
      </c>
      <c r="H288" s="590">
        <f t="shared" si="52"/>
        <v>0</v>
      </c>
      <c r="I288" s="589">
        <f t="shared" si="53"/>
        <v>0</v>
      </c>
      <c r="J288" s="371"/>
    </row>
    <row r="289" spans="1:10" ht="35.25" customHeight="1" x14ac:dyDescent="0.25">
      <c r="A289" s="951"/>
      <c r="B289" s="799"/>
      <c r="C289" s="279" t="s">
        <v>423</v>
      </c>
      <c r="D289" s="430" t="s">
        <v>308</v>
      </c>
      <c r="E289" s="280"/>
      <c r="F289" s="431">
        <f t="shared" si="51"/>
        <v>0</v>
      </c>
      <c r="G289" s="595">
        <v>23.78</v>
      </c>
      <c r="H289" s="590">
        <f t="shared" si="52"/>
        <v>0</v>
      </c>
      <c r="I289" s="589">
        <f t="shared" si="53"/>
        <v>0</v>
      </c>
      <c r="J289" s="371"/>
    </row>
    <row r="290" spans="1:10" ht="35.25" customHeight="1" x14ac:dyDescent="0.25">
      <c r="A290" s="951"/>
      <c r="B290" s="799"/>
      <c r="C290" s="279" t="s">
        <v>352</v>
      </c>
      <c r="D290" s="430" t="s">
        <v>308</v>
      </c>
      <c r="E290" s="280"/>
      <c r="F290" s="431">
        <f t="shared" si="51"/>
        <v>0</v>
      </c>
      <c r="G290" s="595">
        <v>37.4566666666</v>
      </c>
      <c r="H290" s="590">
        <f t="shared" si="52"/>
        <v>0</v>
      </c>
      <c r="I290" s="589">
        <f t="shared" si="53"/>
        <v>0</v>
      </c>
      <c r="J290" s="371"/>
    </row>
    <row r="291" spans="1:10" ht="35.25" customHeight="1" x14ac:dyDescent="0.25">
      <c r="A291" s="951"/>
      <c r="B291" s="799"/>
      <c r="C291" s="279" t="s">
        <v>353</v>
      </c>
      <c r="D291" s="430" t="s">
        <v>308</v>
      </c>
      <c r="E291" s="280"/>
      <c r="F291" s="431">
        <f t="shared" si="51"/>
        <v>0</v>
      </c>
      <c r="G291" s="595">
        <v>37.89</v>
      </c>
      <c r="H291" s="590">
        <f t="shared" si="52"/>
        <v>0</v>
      </c>
      <c r="I291" s="589">
        <f t="shared" si="53"/>
        <v>0</v>
      </c>
      <c r="J291" s="371"/>
    </row>
    <row r="292" spans="1:10" ht="35.25" customHeight="1" x14ac:dyDescent="0.25">
      <c r="A292" s="951"/>
      <c r="B292" s="799"/>
      <c r="C292" s="279" t="s">
        <v>455</v>
      </c>
      <c r="D292" s="430" t="s">
        <v>92</v>
      </c>
      <c r="E292" s="280"/>
      <c r="F292" s="431">
        <f t="shared" si="51"/>
        <v>0</v>
      </c>
      <c r="G292" s="595">
        <v>28.31</v>
      </c>
      <c r="H292" s="590">
        <f t="shared" si="52"/>
        <v>0</v>
      </c>
      <c r="I292" s="589">
        <f t="shared" si="53"/>
        <v>0</v>
      </c>
      <c r="J292" s="371"/>
    </row>
    <row r="293" spans="1:10" ht="35.25" customHeight="1" x14ac:dyDescent="0.25">
      <c r="A293" s="951"/>
      <c r="B293" s="799"/>
      <c r="C293" s="279" t="s">
        <v>455</v>
      </c>
      <c r="D293" s="430" t="s">
        <v>421</v>
      </c>
      <c r="E293" s="280"/>
      <c r="F293" s="431">
        <f t="shared" si="51"/>
        <v>0</v>
      </c>
      <c r="G293" s="595">
        <v>28.88</v>
      </c>
      <c r="H293" s="590">
        <f t="shared" si="52"/>
        <v>0</v>
      </c>
      <c r="I293" s="589">
        <f t="shared" si="53"/>
        <v>0</v>
      </c>
      <c r="J293" s="371"/>
    </row>
    <row r="294" spans="1:10" ht="35.25" customHeight="1" x14ac:dyDescent="0.25">
      <c r="A294" s="951"/>
      <c r="B294" s="799"/>
      <c r="C294" s="279" t="s">
        <v>456</v>
      </c>
      <c r="D294" s="430" t="s">
        <v>421</v>
      </c>
      <c r="E294" s="280"/>
      <c r="F294" s="431">
        <f t="shared" si="51"/>
        <v>0</v>
      </c>
      <c r="G294" s="595">
        <v>28.21</v>
      </c>
      <c r="H294" s="590">
        <f t="shared" si="52"/>
        <v>0</v>
      </c>
      <c r="I294" s="589">
        <f t="shared" si="53"/>
        <v>0</v>
      </c>
      <c r="J294" s="371"/>
    </row>
    <row r="295" spans="1:10" ht="35.25" customHeight="1" x14ac:dyDescent="0.25">
      <c r="A295" s="951"/>
      <c r="B295" s="799"/>
      <c r="C295" s="279" t="s">
        <v>457</v>
      </c>
      <c r="D295" s="430" t="s">
        <v>336</v>
      </c>
      <c r="E295" s="280"/>
      <c r="F295" s="431">
        <f t="shared" si="51"/>
        <v>0</v>
      </c>
      <c r="G295" s="595">
        <v>39</v>
      </c>
      <c r="H295" s="590">
        <f t="shared" si="52"/>
        <v>0</v>
      </c>
      <c r="I295" s="589">
        <f t="shared" si="53"/>
        <v>0</v>
      </c>
      <c r="J295" s="371"/>
    </row>
    <row r="296" spans="1:10" ht="35.25" customHeight="1" x14ac:dyDescent="0.25">
      <c r="A296" s="951"/>
      <c r="B296" s="799"/>
      <c r="C296" s="279" t="s">
        <v>457</v>
      </c>
      <c r="D296" s="430" t="s">
        <v>92</v>
      </c>
      <c r="E296" s="280"/>
      <c r="F296" s="431">
        <f t="shared" si="51"/>
        <v>0</v>
      </c>
      <c r="G296" s="595">
        <v>32.65</v>
      </c>
      <c r="H296" s="590">
        <f t="shared" si="52"/>
        <v>0</v>
      </c>
      <c r="I296" s="589">
        <f t="shared" si="53"/>
        <v>0</v>
      </c>
      <c r="J296" s="371"/>
    </row>
    <row r="297" spans="1:10" ht="35.25" customHeight="1" x14ac:dyDescent="0.25">
      <c r="A297" s="951"/>
      <c r="B297" s="799"/>
      <c r="C297" s="279" t="s">
        <v>457</v>
      </c>
      <c r="D297" s="430" t="s">
        <v>421</v>
      </c>
      <c r="E297" s="280"/>
      <c r="F297" s="431">
        <f t="shared" si="51"/>
        <v>0</v>
      </c>
      <c r="G297" s="595">
        <v>33.299999999999997</v>
      </c>
      <c r="H297" s="590">
        <f t="shared" si="52"/>
        <v>0</v>
      </c>
      <c r="I297" s="589">
        <f t="shared" si="53"/>
        <v>0</v>
      </c>
      <c r="J297" s="371"/>
    </row>
    <row r="298" spans="1:10" ht="35.25" customHeight="1" x14ac:dyDescent="0.25">
      <c r="A298" s="951"/>
      <c r="B298" s="799"/>
      <c r="C298" s="279" t="s">
        <v>298</v>
      </c>
      <c r="D298" s="430" t="s">
        <v>278</v>
      </c>
      <c r="E298" s="280"/>
      <c r="F298" s="431">
        <f t="shared" si="51"/>
        <v>0</v>
      </c>
      <c r="G298" s="595">
        <v>24.93</v>
      </c>
      <c r="H298" s="590">
        <f t="shared" si="52"/>
        <v>0</v>
      </c>
      <c r="I298" s="589">
        <f t="shared" si="53"/>
        <v>0</v>
      </c>
      <c r="J298" s="371"/>
    </row>
    <row r="299" spans="1:10" ht="35.25" customHeight="1" x14ac:dyDescent="0.25">
      <c r="A299" s="951"/>
      <c r="B299" s="799"/>
      <c r="C299" s="279" t="s">
        <v>298</v>
      </c>
      <c r="D299" s="430"/>
      <c r="E299" s="280"/>
      <c r="F299" s="431">
        <f t="shared" si="51"/>
        <v>0</v>
      </c>
      <c r="G299" s="595">
        <v>24.93</v>
      </c>
      <c r="H299" s="590">
        <f t="shared" si="52"/>
        <v>0</v>
      </c>
      <c r="I299" s="589">
        <f t="shared" si="53"/>
        <v>0</v>
      </c>
      <c r="J299" s="371"/>
    </row>
    <row r="300" spans="1:10" ht="35.25" customHeight="1" x14ac:dyDescent="0.25">
      <c r="A300" s="951"/>
      <c r="B300" s="799"/>
      <c r="C300" s="279" t="s">
        <v>315</v>
      </c>
      <c r="D300" s="430" t="s">
        <v>288</v>
      </c>
      <c r="E300" s="280"/>
      <c r="F300" s="431">
        <f t="shared" si="51"/>
        <v>0</v>
      </c>
      <c r="G300" s="595">
        <v>34.26</v>
      </c>
      <c r="H300" s="590">
        <f t="shared" si="52"/>
        <v>0</v>
      </c>
      <c r="I300" s="589">
        <f t="shared" si="53"/>
        <v>0</v>
      </c>
      <c r="J300" s="371"/>
    </row>
    <row r="301" spans="1:10" ht="35.25" customHeight="1" x14ac:dyDescent="0.25">
      <c r="A301" s="951"/>
      <c r="B301" s="799"/>
      <c r="C301" s="279" t="s">
        <v>326</v>
      </c>
      <c r="D301" s="430" t="s">
        <v>358</v>
      </c>
      <c r="E301" s="280"/>
      <c r="F301" s="431">
        <f t="shared" si="51"/>
        <v>0</v>
      </c>
      <c r="G301" s="595">
        <v>37.89</v>
      </c>
      <c r="H301" s="590">
        <f t="shared" si="52"/>
        <v>0</v>
      </c>
      <c r="I301" s="589">
        <f t="shared" si="53"/>
        <v>0</v>
      </c>
      <c r="J301" s="371"/>
    </row>
    <row r="302" spans="1:10" ht="35.25" customHeight="1" x14ac:dyDescent="0.25">
      <c r="A302" s="951"/>
      <c r="B302" s="799"/>
      <c r="C302" s="279" t="s">
        <v>361</v>
      </c>
      <c r="D302" s="430" t="s">
        <v>336</v>
      </c>
      <c r="E302" s="280"/>
      <c r="F302" s="431">
        <f t="shared" si="51"/>
        <v>0</v>
      </c>
      <c r="G302" s="595">
        <v>39</v>
      </c>
      <c r="H302" s="590">
        <f t="shared" si="52"/>
        <v>0</v>
      </c>
      <c r="I302" s="589">
        <f t="shared" si="53"/>
        <v>0</v>
      </c>
      <c r="J302" s="371"/>
    </row>
    <row r="303" spans="1:10" ht="35.25" customHeight="1" x14ac:dyDescent="0.25">
      <c r="A303" s="951"/>
      <c r="B303" s="799"/>
      <c r="C303" s="279" t="s">
        <v>298</v>
      </c>
      <c r="D303" s="430" t="s">
        <v>177</v>
      </c>
      <c r="E303" s="280"/>
      <c r="F303" s="431">
        <f t="shared" si="51"/>
        <v>0</v>
      </c>
      <c r="G303" s="595">
        <v>21.22</v>
      </c>
      <c r="H303" s="590">
        <f t="shared" si="52"/>
        <v>0</v>
      </c>
      <c r="I303" s="589">
        <f t="shared" si="53"/>
        <v>0</v>
      </c>
      <c r="J303" s="371"/>
    </row>
    <row r="304" spans="1:10" ht="35.25" customHeight="1" x14ac:dyDescent="0.25">
      <c r="A304" s="951"/>
      <c r="B304" s="799"/>
      <c r="C304" s="279" t="s">
        <v>297</v>
      </c>
      <c r="D304" s="430" t="s">
        <v>177</v>
      </c>
      <c r="E304" s="280"/>
      <c r="F304" s="431">
        <f t="shared" si="51"/>
        <v>0</v>
      </c>
      <c r="G304" s="595">
        <v>21.22</v>
      </c>
      <c r="H304" s="590">
        <f t="shared" si="52"/>
        <v>0</v>
      </c>
      <c r="I304" s="589">
        <f t="shared" si="53"/>
        <v>0</v>
      </c>
      <c r="J304" s="371"/>
    </row>
    <row r="305" spans="1:10" ht="35.25" customHeight="1" x14ac:dyDescent="0.25">
      <c r="A305" s="951"/>
      <c r="B305" s="799"/>
      <c r="C305" s="279" t="s">
        <v>337</v>
      </c>
      <c r="D305" s="430" t="s">
        <v>303</v>
      </c>
      <c r="E305" s="280"/>
      <c r="F305" s="431">
        <f t="shared" si="51"/>
        <v>0</v>
      </c>
      <c r="G305" s="595">
        <v>10000</v>
      </c>
      <c r="H305" s="590">
        <f t="shared" si="52"/>
        <v>0</v>
      </c>
      <c r="I305" s="589">
        <f t="shared" si="53"/>
        <v>0</v>
      </c>
      <c r="J305" s="371"/>
    </row>
    <row r="306" spans="1:10" ht="35.25" customHeight="1" thickBot="1" x14ac:dyDescent="0.3">
      <c r="A306" s="951"/>
      <c r="B306" s="799"/>
      <c r="C306" s="279" t="s">
        <v>302</v>
      </c>
      <c r="D306" s="430" t="s">
        <v>303</v>
      </c>
      <c r="E306" s="280"/>
      <c r="F306" s="431">
        <f t="shared" si="51"/>
        <v>0</v>
      </c>
      <c r="G306" s="595">
        <v>360</v>
      </c>
      <c r="H306" s="590">
        <f t="shared" si="52"/>
        <v>0</v>
      </c>
      <c r="I306" s="589">
        <f t="shared" si="53"/>
        <v>0</v>
      </c>
      <c r="J306" s="371"/>
    </row>
    <row r="307" spans="1:10" ht="35.25" customHeight="1" thickBot="1" x14ac:dyDescent="0.3">
      <c r="A307" s="952"/>
      <c r="B307" s="946" t="s">
        <v>267</v>
      </c>
      <c r="C307" s="947"/>
      <c r="D307" s="801"/>
      <c r="E307" s="324">
        <f>SUM(E275:E306)</f>
        <v>449515</v>
      </c>
      <c r="F307" s="324">
        <f>SUM(F275:F306)</f>
        <v>449515</v>
      </c>
      <c r="G307" s="324"/>
      <c r="H307" s="580">
        <f>SUM(H275:H306)</f>
        <v>11521668.4</v>
      </c>
      <c r="I307" s="573">
        <f>SUM(I275:I306)</f>
        <v>11521668.4</v>
      </c>
      <c r="J307" s="371"/>
    </row>
    <row r="308" spans="1:10" ht="35.25" customHeight="1" x14ac:dyDescent="0.25">
      <c r="A308" s="950" t="s">
        <v>102</v>
      </c>
      <c r="B308" s="799"/>
      <c r="C308" s="279" t="s">
        <v>272</v>
      </c>
      <c r="D308" s="430" t="s">
        <v>237</v>
      </c>
      <c r="E308" s="280">
        <v>592</v>
      </c>
      <c r="F308" s="431">
        <f t="shared" ref="F308:F332" si="54">+E308+F199</f>
        <v>592</v>
      </c>
      <c r="G308" s="595">
        <v>430.02</v>
      </c>
      <c r="H308" s="586">
        <f>E308*G308</f>
        <v>254571.84</v>
      </c>
      <c r="I308" s="589">
        <f t="shared" ref="I308:I329" si="55">+G308*F308</f>
        <v>254571.84</v>
      </c>
      <c r="J308" s="371"/>
    </row>
    <row r="309" spans="1:10" ht="35.25" customHeight="1" x14ac:dyDescent="0.25">
      <c r="A309" s="951"/>
      <c r="B309" s="799"/>
      <c r="C309" s="279" t="s">
        <v>273</v>
      </c>
      <c r="D309" s="430" t="s">
        <v>237</v>
      </c>
      <c r="E309" s="280"/>
      <c r="F309" s="431">
        <f t="shared" si="54"/>
        <v>0</v>
      </c>
      <c r="G309" s="595">
        <v>445.38</v>
      </c>
      <c r="H309" s="586">
        <f t="shared" ref="H309:H329" si="56">E309*G309</f>
        <v>0</v>
      </c>
      <c r="I309" s="589">
        <f t="shared" si="55"/>
        <v>0</v>
      </c>
      <c r="J309" s="371"/>
    </row>
    <row r="310" spans="1:10" ht="35.25" customHeight="1" x14ac:dyDescent="0.25">
      <c r="A310" s="951"/>
      <c r="B310" s="799"/>
      <c r="C310" s="279" t="s">
        <v>388</v>
      </c>
      <c r="D310" s="430" t="s">
        <v>237</v>
      </c>
      <c r="E310" s="280"/>
      <c r="F310" s="431">
        <f t="shared" si="54"/>
        <v>0</v>
      </c>
      <c r="G310" s="595">
        <v>445.38</v>
      </c>
      <c r="H310" s="586">
        <f t="shared" si="56"/>
        <v>0</v>
      </c>
      <c r="I310" s="589">
        <f t="shared" si="55"/>
        <v>0</v>
      </c>
      <c r="J310" s="371"/>
    </row>
    <row r="311" spans="1:10" ht="35.25" customHeight="1" x14ac:dyDescent="0.25">
      <c r="A311" s="951"/>
      <c r="B311" s="799"/>
      <c r="C311" s="279" t="s">
        <v>300</v>
      </c>
      <c r="D311" s="430" t="s">
        <v>237</v>
      </c>
      <c r="E311" s="280"/>
      <c r="F311" s="431">
        <f t="shared" si="54"/>
        <v>0</v>
      </c>
      <c r="G311" s="595">
        <v>63.55</v>
      </c>
      <c r="H311" s="586">
        <f t="shared" si="56"/>
        <v>0</v>
      </c>
      <c r="I311" s="589">
        <f t="shared" si="55"/>
        <v>0</v>
      </c>
      <c r="J311" s="371"/>
    </row>
    <row r="312" spans="1:10" ht="35.25" customHeight="1" x14ac:dyDescent="0.25">
      <c r="A312" s="951"/>
      <c r="B312" s="799"/>
      <c r="C312" s="279" t="s">
        <v>274</v>
      </c>
      <c r="D312" s="430" t="s">
        <v>237</v>
      </c>
      <c r="E312" s="280">
        <v>12060</v>
      </c>
      <c r="F312" s="431">
        <f t="shared" si="54"/>
        <v>33660</v>
      </c>
      <c r="G312" s="595">
        <v>71.44</v>
      </c>
      <c r="H312" s="586">
        <f t="shared" si="56"/>
        <v>861566.4</v>
      </c>
      <c r="I312" s="589">
        <f t="shared" si="55"/>
        <v>2404670.4</v>
      </c>
      <c r="J312" s="371"/>
    </row>
    <row r="313" spans="1:10" ht="35.25" customHeight="1" x14ac:dyDescent="0.25">
      <c r="A313" s="951"/>
      <c r="B313" s="799"/>
      <c r="C313" s="279" t="s">
        <v>275</v>
      </c>
      <c r="D313" s="430" t="s">
        <v>237</v>
      </c>
      <c r="E313" s="280"/>
      <c r="F313" s="431">
        <f t="shared" si="54"/>
        <v>0</v>
      </c>
      <c r="G313" s="595">
        <v>36.5</v>
      </c>
      <c r="H313" s="586">
        <f t="shared" si="56"/>
        <v>0</v>
      </c>
      <c r="I313" s="589">
        <f t="shared" si="55"/>
        <v>0</v>
      </c>
      <c r="J313" s="371"/>
    </row>
    <row r="314" spans="1:10" ht="35.25" customHeight="1" x14ac:dyDescent="0.25">
      <c r="A314" s="951"/>
      <c r="B314" s="799"/>
      <c r="C314" s="279" t="s">
        <v>424</v>
      </c>
      <c r="D314" s="430" t="s">
        <v>237</v>
      </c>
      <c r="E314" s="280"/>
      <c r="F314" s="431">
        <f t="shared" si="54"/>
        <v>0</v>
      </c>
      <c r="G314" s="595">
        <v>320.35000000000002</v>
      </c>
      <c r="H314" s="586">
        <f t="shared" si="56"/>
        <v>0</v>
      </c>
      <c r="I314" s="589">
        <f t="shared" si="55"/>
        <v>0</v>
      </c>
      <c r="J314" s="371"/>
    </row>
    <row r="315" spans="1:10" ht="35.25" customHeight="1" x14ac:dyDescent="0.25">
      <c r="A315" s="951"/>
      <c r="B315" s="799"/>
      <c r="C315" s="279" t="s">
        <v>284</v>
      </c>
      <c r="D315" s="430" t="s">
        <v>237</v>
      </c>
      <c r="E315" s="280"/>
      <c r="F315" s="431">
        <f t="shared" si="54"/>
        <v>0</v>
      </c>
      <c r="G315" s="595">
        <v>320.35000000000002</v>
      </c>
      <c r="H315" s="586">
        <f t="shared" si="56"/>
        <v>0</v>
      </c>
      <c r="I315" s="589">
        <f t="shared" si="55"/>
        <v>0</v>
      </c>
      <c r="J315" s="371"/>
    </row>
    <row r="316" spans="1:10" ht="35.25" customHeight="1" x14ac:dyDescent="0.25">
      <c r="A316" s="951"/>
      <c r="B316" s="799"/>
      <c r="C316" s="279" t="s">
        <v>295</v>
      </c>
      <c r="D316" s="430" t="s">
        <v>237</v>
      </c>
      <c r="E316" s="280"/>
      <c r="F316" s="431">
        <f t="shared" si="54"/>
        <v>0</v>
      </c>
      <c r="G316" s="595">
        <v>434.41</v>
      </c>
      <c r="H316" s="586">
        <f t="shared" si="56"/>
        <v>0</v>
      </c>
      <c r="I316" s="589">
        <f t="shared" si="55"/>
        <v>0</v>
      </c>
      <c r="J316" s="371"/>
    </row>
    <row r="317" spans="1:10" ht="35.25" customHeight="1" x14ac:dyDescent="0.25">
      <c r="A317" s="951"/>
      <c r="B317" s="799"/>
      <c r="C317" s="279" t="s">
        <v>281</v>
      </c>
      <c r="D317" s="430" t="s">
        <v>237</v>
      </c>
      <c r="E317" s="280"/>
      <c r="F317" s="431">
        <f t="shared" si="54"/>
        <v>0</v>
      </c>
      <c r="G317" s="595">
        <v>29690</v>
      </c>
      <c r="H317" s="586">
        <f t="shared" si="56"/>
        <v>0</v>
      </c>
      <c r="I317" s="589">
        <f t="shared" si="55"/>
        <v>0</v>
      </c>
      <c r="J317" s="371"/>
    </row>
    <row r="318" spans="1:10" ht="35.25" customHeight="1" x14ac:dyDescent="0.25">
      <c r="A318" s="951"/>
      <c r="B318" s="799"/>
      <c r="C318" s="279" t="s">
        <v>281</v>
      </c>
      <c r="D318" s="430" t="s">
        <v>237</v>
      </c>
      <c r="E318" s="280"/>
      <c r="F318" s="431">
        <f t="shared" si="54"/>
        <v>0</v>
      </c>
      <c r="G318" s="595">
        <v>26445</v>
      </c>
      <c r="H318" s="586">
        <f t="shared" si="56"/>
        <v>0</v>
      </c>
      <c r="I318" s="589">
        <f t="shared" si="55"/>
        <v>0</v>
      </c>
      <c r="J318" s="371"/>
    </row>
    <row r="319" spans="1:10" ht="35.25" customHeight="1" x14ac:dyDescent="0.25">
      <c r="A319" s="951"/>
      <c r="B319" s="799"/>
      <c r="C319" s="279" t="s">
        <v>281</v>
      </c>
      <c r="D319" s="430"/>
      <c r="E319" s="280"/>
      <c r="F319" s="431">
        <f t="shared" si="54"/>
        <v>4</v>
      </c>
      <c r="G319" s="595">
        <v>29690</v>
      </c>
      <c r="H319" s="586">
        <f t="shared" si="56"/>
        <v>0</v>
      </c>
      <c r="I319" s="589">
        <f t="shared" si="55"/>
        <v>118760</v>
      </c>
      <c r="J319" s="371"/>
    </row>
    <row r="320" spans="1:10" ht="35.25" customHeight="1" x14ac:dyDescent="0.25">
      <c r="A320" s="951"/>
      <c r="B320" s="799"/>
      <c r="C320" s="279" t="s">
        <v>310</v>
      </c>
      <c r="D320" s="430" t="s">
        <v>335</v>
      </c>
      <c r="E320" s="280"/>
      <c r="F320" s="431">
        <f t="shared" si="54"/>
        <v>0</v>
      </c>
      <c r="G320" s="595">
        <v>50</v>
      </c>
      <c r="H320" s="586">
        <f t="shared" si="56"/>
        <v>0</v>
      </c>
      <c r="I320" s="589">
        <f t="shared" si="55"/>
        <v>0</v>
      </c>
      <c r="J320" s="371"/>
    </row>
    <row r="321" spans="1:10" ht="35.25" customHeight="1" x14ac:dyDescent="0.25">
      <c r="A321" s="951"/>
      <c r="B321" s="799"/>
      <c r="C321" s="279" t="s">
        <v>310</v>
      </c>
      <c r="D321" s="430"/>
      <c r="E321" s="280"/>
      <c r="F321" s="431">
        <f t="shared" si="54"/>
        <v>0</v>
      </c>
      <c r="G321" s="595">
        <v>10</v>
      </c>
      <c r="H321" s="586">
        <f t="shared" si="56"/>
        <v>0</v>
      </c>
      <c r="I321" s="589">
        <f t="shared" si="55"/>
        <v>0</v>
      </c>
      <c r="J321" s="371"/>
    </row>
    <row r="322" spans="1:10" ht="35.25" customHeight="1" x14ac:dyDescent="0.25">
      <c r="A322" s="951"/>
      <c r="B322" s="799"/>
      <c r="C322" s="279" t="s">
        <v>509</v>
      </c>
      <c r="D322" s="430" t="s">
        <v>237</v>
      </c>
      <c r="E322" s="280">
        <v>6000</v>
      </c>
      <c r="F322" s="431">
        <f t="shared" si="54"/>
        <v>6000</v>
      </c>
      <c r="G322" s="595">
        <v>65.459999999999994</v>
      </c>
      <c r="H322" s="586">
        <f t="shared" si="56"/>
        <v>392759.99999999994</v>
      </c>
      <c r="I322" s="589">
        <f t="shared" si="55"/>
        <v>392759.99999999994</v>
      </c>
      <c r="J322" s="371"/>
    </row>
    <row r="323" spans="1:10" ht="35.25" customHeight="1" x14ac:dyDescent="0.25">
      <c r="A323" s="951"/>
      <c r="B323" s="799"/>
      <c r="C323" s="279" t="s">
        <v>327</v>
      </c>
      <c r="D323" s="430" t="s">
        <v>362</v>
      </c>
      <c r="E323" s="280"/>
      <c r="F323" s="431">
        <f t="shared" si="54"/>
        <v>0</v>
      </c>
      <c r="G323" s="595">
        <v>57.64</v>
      </c>
      <c r="H323" s="586">
        <f t="shared" si="56"/>
        <v>0</v>
      </c>
      <c r="I323" s="589">
        <f t="shared" si="55"/>
        <v>0</v>
      </c>
      <c r="J323" s="371"/>
    </row>
    <row r="324" spans="1:10" ht="35.25" customHeight="1" x14ac:dyDescent="0.25">
      <c r="A324" s="951"/>
      <c r="B324" s="799"/>
      <c r="C324" s="279" t="s">
        <v>328</v>
      </c>
      <c r="D324" s="430" t="s">
        <v>329</v>
      </c>
      <c r="E324" s="280"/>
      <c r="F324" s="431">
        <f t="shared" si="54"/>
        <v>0</v>
      </c>
      <c r="G324" s="595">
        <v>434.41</v>
      </c>
      <c r="H324" s="586">
        <f t="shared" si="56"/>
        <v>0</v>
      </c>
      <c r="I324" s="589">
        <f t="shared" si="55"/>
        <v>0</v>
      </c>
      <c r="J324" s="371"/>
    </row>
    <row r="325" spans="1:10" ht="35.25" customHeight="1" x14ac:dyDescent="0.25">
      <c r="A325" s="951"/>
      <c r="B325" s="799"/>
      <c r="C325" s="279" t="s">
        <v>341</v>
      </c>
      <c r="D325" s="430" t="s">
        <v>237</v>
      </c>
      <c r="E325" s="280"/>
      <c r="F325" s="431">
        <f t="shared" si="54"/>
        <v>0</v>
      </c>
      <c r="G325" s="595">
        <v>624.26</v>
      </c>
      <c r="H325" s="586">
        <f t="shared" si="56"/>
        <v>0</v>
      </c>
      <c r="I325" s="589">
        <f t="shared" si="55"/>
        <v>0</v>
      </c>
      <c r="J325" s="371"/>
    </row>
    <row r="326" spans="1:10" ht="35.25" customHeight="1" x14ac:dyDescent="0.25">
      <c r="A326" s="951"/>
      <c r="B326" s="799"/>
      <c r="C326" s="279" t="s">
        <v>330</v>
      </c>
      <c r="D326" s="430" t="s">
        <v>329</v>
      </c>
      <c r="E326" s="280"/>
      <c r="F326" s="431">
        <f t="shared" si="54"/>
        <v>0</v>
      </c>
      <c r="G326" s="595">
        <v>63.55</v>
      </c>
      <c r="H326" s="586">
        <f t="shared" si="56"/>
        <v>0</v>
      </c>
      <c r="I326" s="589">
        <f t="shared" si="55"/>
        <v>0</v>
      </c>
      <c r="J326" s="371"/>
    </row>
    <row r="327" spans="1:10" ht="35.25" customHeight="1" x14ac:dyDescent="0.25">
      <c r="A327" s="951"/>
      <c r="B327" s="799"/>
      <c r="C327" s="279" t="s">
        <v>369</v>
      </c>
      <c r="D327" s="430" t="s">
        <v>237</v>
      </c>
      <c r="E327" s="280"/>
      <c r="F327" s="431">
        <f t="shared" si="54"/>
        <v>0</v>
      </c>
      <c r="G327" s="595">
        <v>59.96</v>
      </c>
      <c r="H327" s="586">
        <f t="shared" si="56"/>
        <v>0</v>
      </c>
      <c r="I327" s="589">
        <f t="shared" si="55"/>
        <v>0</v>
      </c>
      <c r="J327" s="371"/>
    </row>
    <row r="328" spans="1:10" ht="35.25" customHeight="1" x14ac:dyDescent="0.25">
      <c r="A328" s="951"/>
      <c r="B328" s="799"/>
      <c r="C328" s="279" t="s">
        <v>417</v>
      </c>
      <c r="D328" s="430" t="s">
        <v>329</v>
      </c>
      <c r="E328" s="280"/>
      <c r="F328" s="431">
        <f t="shared" si="54"/>
        <v>0</v>
      </c>
      <c r="G328" s="595">
        <v>53.86</v>
      </c>
      <c r="H328" s="586">
        <f t="shared" si="56"/>
        <v>0</v>
      </c>
      <c r="I328" s="589">
        <f t="shared" si="55"/>
        <v>0</v>
      </c>
      <c r="J328" s="371"/>
    </row>
    <row r="329" spans="1:10" ht="35.25" customHeight="1" x14ac:dyDescent="0.25">
      <c r="A329" s="951"/>
      <c r="B329" s="799"/>
      <c r="C329" s="279" t="s">
        <v>377</v>
      </c>
      <c r="D329" s="430"/>
      <c r="E329" s="280"/>
      <c r="F329" s="431">
        <f t="shared" si="54"/>
        <v>0</v>
      </c>
      <c r="G329" s="595">
        <v>360</v>
      </c>
      <c r="H329" s="586">
        <f t="shared" si="56"/>
        <v>0</v>
      </c>
      <c r="I329" s="589">
        <f t="shared" si="55"/>
        <v>0</v>
      </c>
      <c r="J329" s="371"/>
    </row>
    <row r="330" spans="1:10" ht="35.25" customHeight="1" x14ac:dyDescent="0.25">
      <c r="A330" s="951"/>
      <c r="B330" s="799"/>
      <c r="C330" s="279" t="s">
        <v>465</v>
      </c>
      <c r="D330" s="430"/>
      <c r="E330" s="280"/>
      <c r="F330" s="431">
        <f t="shared" si="54"/>
        <v>0</v>
      </c>
      <c r="G330" s="595"/>
      <c r="H330" s="586">
        <f>+E330</f>
        <v>0</v>
      </c>
      <c r="I330" s="589">
        <f>+H330</f>
        <v>0</v>
      </c>
      <c r="J330" s="371"/>
    </row>
    <row r="331" spans="1:10" ht="35.25" customHeight="1" x14ac:dyDescent="0.25">
      <c r="A331" s="951"/>
      <c r="B331" s="799"/>
      <c r="C331" s="279" t="s">
        <v>281</v>
      </c>
      <c r="D331" s="430"/>
      <c r="E331" s="280"/>
      <c r="F331" s="431">
        <f t="shared" si="54"/>
        <v>0</v>
      </c>
      <c r="G331" s="595">
        <v>39450</v>
      </c>
      <c r="H331" s="586">
        <f t="shared" ref="H331:H332" si="57">E331*G331</f>
        <v>0</v>
      </c>
      <c r="I331" s="589">
        <f t="shared" ref="I331:I332" si="58">+G331*F331</f>
        <v>0</v>
      </c>
      <c r="J331" s="371"/>
    </row>
    <row r="332" spans="1:10" ht="35.25" customHeight="1" thickBot="1" x14ac:dyDescent="0.3">
      <c r="A332" s="951"/>
      <c r="B332" s="799"/>
      <c r="C332" s="279" t="s">
        <v>327</v>
      </c>
      <c r="D332" s="430" t="s">
        <v>438</v>
      </c>
      <c r="E332" s="280"/>
      <c r="F332" s="431">
        <f t="shared" si="54"/>
        <v>0</v>
      </c>
      <c r="G332" s="595">
        <v>57.64</v>
      </c>
      <c r="H332" s="586">
        <f t="shared" si="57"/>
        <v>0</v>
      </c>
      <c r="I332" s="589">
        <f t="shared" si="58"/>
        <v>0</v>
      </c>
      <c r="J332" s="371"/>
    </row>
    <row r="333" spans="1:10" ht="35.25" customHeight="1" thickBot="1" x14ac:dyDescent="0.3">
      <c r="A333" s="952"/>
      <c r="B333" s="946" t="s">
        <v>269</v>
      </c>
      <c r="C333" s="947"/>
      <c r="D333" s="801"/>
      <c r="E333" s="324">
        <f>SUM(E308:E332)</f>
        <v>18652</v>
      </c>
      <c r="F333" s="324">
        <f>SUM(F308:F332)</f>
        <v>40256</v>
      </c>
      <c r="G333" s="324"/>
      <c r="H333" s="583">
        <f>SUM(H308:H332)</f>
        <v>1508898.24</v>
      </c>
      <c r="I333" s="573">
        <f>SUM(I308:I332)</f>
        <v>3170762.2399999998</v>
      </c>
      <c r="J333" s="370"/>
    </row>
    <row r="334" spans="1:10" ht="35.25" customHeight="1" thickBot="1" x14ac:dyDescent="0.3">
      <c r="A334" s="805"/>
      <c r="B334" s="433"/>
      <c r="C334" s="279" t="s">
        <v>377</v>
      </c>
      <c r="D334" s="430"/>
      <c r="E334" s="280"/>
      <c r="F334" s="281">
        <f>+E334</f>
        <v>0</v>
      </c>
      <c r="G334" s="332"/>
      <c r="H334" s="582">
        <f t="shared" ref="H334" si="59">E334*G334</f>
        <v>0</v>
      </c>
      <c r="I334" s="282">
        <f t="shared" ref="I334" si="60">+G334*F334</f>
        <v>0</v>
      </c>
      <c r="J334" s="371"/>
    </row>
    <row r="335" spans="1:10" ht="35.25" customHeight="1" thickBot="1" x14ac:dyDescent="0.3">
      <c r="A335" s="805"/>
      <c r="B335" s="946" t="s">
        <v>223</v>
      </c>
      <c r="C335" s="947"/>
      <c r="D335" s="797"/>
      <c r="E335" s="324"/>
      <c r="F335" s="325"/>
      <c r="G335" s="324"/>
      <c r="H335" s="580"/>
      <c r="I335" s="322">
        <f>SUM(I334)</f>
        <v>0</v>
      </c>
      <c r="J335" s="347"/>
    </row>
    <row r="336" spans="1:10" ht="35.25" customHeight="1" thickBot="1" x14ac:dyDescent="0.3">
      <c r="A336" s="318"/>
      <c r="B336" s="948" t="s">
        <v>174</v>
      </c>
      <c r="C336" s="949"/>
      <c r="D336" s="798"/>
      <c r="E336" s="372">
        <f>+E333+E307+E274+E272</f>
        <v>469455</v>
      </c>
      <c r="F336" s="372">
        <f>+F333+F307+F274+F272</f>
        <v>528689</v>
      </c>
      <c r="G336" s="372"/>
      <c r="H336" s="372"/>
      <c r="I336" s="372">
        <f>+I333+I307+I274+I335</f>
        <v>15904699.440000001</v>
      </c>
      <c r="J336" s="373"/>
    </row>
    <row r="337" spans="1:10" ht="24.6" customHeight="1" thickBot="1" x14ac:dyDescent="0.3">
      <c r="A337" s="230"/>
      <c r="B337" s="230"/>
      <c r="C337" s="230"/>
      <c r="D337" s="230"/>
      <c r="E337" s="232"/>
      <c r="F337" s="232"/>
      <c r="G337" s="232"/>
      <c r="H337" s="232"/>
      <c r="I337" s="267"/>
      <c r="J337" s="234"/>
    </row>
    <row r="338" spans="1:10" ht="35.25" customHeight="1" x14ac:dyDescent="0.25">
      <c r="A338" s="881" t="s">
        <v>1</v>
      </c>
      <c r="B338" s="884" t="s">
        <v>2</v>
      </c>
      <c r="C338" s="955" t="s">
        <v>394</v>
      </c>
      <c r="D338" s="935" t="s">
        <v>395</v>
      </c>
      <c r="E338" s="959" t="s">
        <v>520</v>
      </c>
      <c r="F338" s="891"/>
      <c r="G338" s="891"/>
      <c r="H338" s="891"/>
      <c r="I338" s="891"/>
      <c r="J338" s="892"/>
    </row>
    <row r="339" spans="1:10" ht="35.25" customHeight="1" x14ac:dyDescent="0.25">
      <c r="A339" s="953"/>
      <c r="B339" s="954"/>
      <c r="C339" s="956"/>
      <c r="D339" s="936"/>
      <c r="E339" s="960" t="s">
        <v>410</v>
      </c>
      <c r="F339" s="961"/>
      <c r="G339" s="960" t="s">
        <v>409</v>
      </c>
      <c r="H339" s="962"/>
      <c r="I339" s="962"/>
      <c r="J339" s="961"/>
    </row>
    <row r="340" spans="1:10" ht="35.25" customHeight="1" x14ac:dyDescent="0.25">
      <c r="A340" s="882"/>
      <c r="B340" s="885"/>
      <c r="C340" s="957"/>
      <c r="D340" s="936"/>
      <c r="E340" s="893" t="s">
        <v>411</v>
      </c>
      <c r="F340" s="895" t="s">
        <v>412</v>
      </c>
      <c r="G340" s="964" t="s">
        <v>90</v>
      </c>
      <c r="H340" s="966" t="s">
        <v>91</v>
      </c>
      <c r="I340" s="966" t="s">
        <v>91</v>
      </c>
      <c r="J340" s="968" t="s">
        <v>12</v>
      </c>
    </row>
    <row r="341" spans="1:10" ht="35.25" customHeight="1" thickBot="1" x14ac:dyDescent="0.3">
      <c r="A341" s="883"/>
      <c r="B341" s="886"/>
      <c r="C341" s="958"/>
      <c r="D341" s="937"/>
      <c r="E341" s="894"/>
      <c r="F341" s="963"/>
      <c r="G341" s="965"/>
      <c r="H341" s="967"/>
      <c r="I341" s="967"/>
      <c r="J341" s="969"/>
    </row>
    <row r="342" spans="1:10" ht="35.25" customHeight="1" x14ac:dyDescent="0.25">
      <c r="A342" s="950" t="s">
        <v>103</v>
      </c>
      <c r="B342" s="435"/>
      <c r="C342" s="570" t="s">
        <v>437</v>
      </c>
      <c r="D342" s="630" t="s">
        <v>372</v>
      </c>
      <c r="E342" s="660"/>
      <c r="F342" s="636">
        <f>+E342+F233</f>
        <v>0</v>
      </c>
      <c r="G342" s="691">
        <v>107.85</v>
      </c>
      <c r="H342" s="584">
        <f t="shared" ref="H342:H357" si="61">E342*G342</f>
        <v>0</v>
      </c>
      <c r="I342" s="587">
        <f>+G342*F342</f>
        <v>0</v>
      </c>
      <c r="J342" s="349"/>
    </row>
    <row r="343" spans="1:10" ht="35.25" customHeight="1" x14ac:dyDescent="0.25">
      <c r="A343" s="951"/>
      <c r="B343" s="434"/>
      <c r="C343" s="437" t="s">
        <v>263</v>
      </c>
      <c r="D343" s="631" t="s">
        <v>264</v>
      </c>
      <c r="E343" s="661"/>
      <c r="F343" s="662">
        <f t="shared" ref="F343:F357" si="62">+E343+F234</f>
        <v>0</v>
      </c>
      <c r="G343" s="658">
        <v>11</v>
      </c>
      <c r="H343" s="585">
        <f t="shared" si="61"/>
        <v>0</v>
      </c>
      <c r="I343" s="588">
        <f>+G343*F343</f>
        <v>0</v>
      </c>
      <c r="J343" s="350"/>
    </row>
    <row r="344" spans="1:10" ht="35.25" customHeight="1" x14ac:dyDescent="0.25">
      <c r="A344" s="951"/>
      <c r="B344" s="434"/>
      <c r="C344" s="437" t="s">
        <v>294</v>
      </c>
      <c r="D344" s="631" t="s">
        <v>448</v>
      </c>
      <c r="E344" s="661"/>
      <c r="F344" s="662">
        <f t="shared" si="62"/>
        <v>0</v>
      </c>
      <c r="G344" s="658">
        <v>139.04</v>
      </c>
      <c r="H344" s="585">
        <f t="shared" si="61"/>
        <v>0</v>
      </c>
      <c r="I344" s="588">
        <f t="shared" ref="I344:I357" si="63">+G344*F344</f>
        <v>0</v>
      </c>
      <c r="J344" s="350"/>
    </row>
    <row r="345" spans="1:10" ht="35.25" customHeight="1" x14ac:dyDescent="0.25">
      <c r="A345" s="951"/>
      <c r="B345" s="434"/>
      <c r="C345" s="437" t="s">
        <v>355</v>
      </c>
      <c r="D345" s="631" t="s">
        <v>356</v>
      </c>
      <c r="E345" s="661"/>
      <c r="F345" s="662">
        <f t="shared" si="62"/>
        <v>0</v>
      </c>
      <c r="G345" s="675">
        <v>20.5</v>
      </c>
      <c r="H345" s="585">
        <f t="shared" si="61"/>
        <v>0</v>
      </c>
      <c r="I345" s="588">
        <f t="shared" si="63"/>
        <v>0</v>
      </c>
      <c r="J345" s="350"/>
    </row>
    <row r="346" spans="1:10" ht="35.25" customHeight="1" x14ac:dyDescent="0.25">
      <c r="A346" s="951"/>
      <c r="B346" s="434"/>
      <c r="C346" s="437" t="s">
        <v>287</v>
      </c>
      <c r="D346" s="631" t="s">
        <v>177</v>
      </c>
      <c r="E346" s="661"/>
      <c r="F346" s="662">
        <f t="shared" si="62"/>
        <v>0</v>
      </c>
      <c r="G346" s="658">
        <v>14.79</v>
      </c>
      <c r="H346" s="585">
        <f t="shared" si="61"/>
        <v>0</v>
      </c>
      <c r="I346" s="588">
        <f t="shared" si="63"/>
        <v>0</v>
      </c>
      <c r="J346" s="350"/>
    </row>
    <row r="347" spans="1:10" ht="35.25" customHeight="1" x14ac:dyDescent="0.25">
      <c r="A347" s="951"/>
      <c r="B347" s="434"/>
      <c r="C347" s="437" t="s">
        <v>518</v>
      </c>
      <c r="D347" s="631" t="s">
        <v>264</v>
      </c>
      <c r="E347" s="661"/>
      <c r="F347" s="662">
        <f t="shared" si="62"/>
        <v>1280</v>
      </c>
      <c r="G347" s="658">
        <v>135.96</v>
      </c>
      <c r="H347" s="585">
        <f t="shared" si="61"/>
        <v>0</v>
      </c>
      <c r="I347" s="588">
        <f t="shared" si="63"/>
        <v>174028.80000000002</v>
      </c>
      <c r="J347" s="350"/>
    </row>
    <row r="348" spans="1:10" ht="35.25" customHeight="1" x14ac:dyDescent="0.25">
      <c r="A348" s="951"/>
      <c r="B348" s="434"/>
      <c r="C348" s="437" t="s">
        <v>389</v>
      </c>
      <c r="D348" s="632" t="s">
        <v>354</v>
      </c>
      <c r="E348" s="661"/>
      <c r="F348" s="662">
        <f t="shared" si="62"/>
        <v>0</v>
      </c>
      <c r="G348" s="658">
        <v>147.58000000000001</v>
      </c>
      <c r="H348" s="585">
        <f t="shared" si="61"/>
        <v>0</v>
      </c>
      <c r="I348" s="588">
        <f t="shared" si="63"/>
        <v>0</v>
      </c>
      <c r="J348" s="350"/>
    </row>
    <row r="349" spans="1:10" ht="35.25" customHeight="1" x14ac:dyDescent="0.25">
      <c r="A349" s="951"/>
      <c r="B349" s="434"/>
      <c r="C349" s="437" t="s">
        <v>312</v>
      </c>
      <c r="D349" s="632" t="s">
        <v>440</v>
      </c>
      <c r="E349" s="661"/>
      <c r="F349" s="662">
        <f t="shared" si="62"/>
        <v>0</v>
      </c>
      <c r="G349" s="658">
        <v>18.84</v>
      </c>
      <c r="H349" s="585">
        <f t="shared" si="61"/>
        <v>0</v>
      </c>
      <c r="I349" s="588">
        <f t="shared" si="63"/>
        <v>0</v>
      </c>
      <c r="J349" s="350"/>
    </row>
    <row r="350" spans="1:10" ht="35.25" customHeight="1" x14ac:dyDescent="0.25">
      <c r="A350" s="951"/>
      <c r="B350" s="434"/>
      <c r="C350" s="437" t="s">
        <v>312</v>
      </c>
      <c r="D350" s="632" t="s">
        <v>264</v>
      </c>
      <c r="E350" s="661"/>
      <c r="F350" s="662">
        <f t="shared" si="62"/>
        <v>0</v>
      </c>
      <c r="G350" s="658">
        <v>18.84</v>
      </c>
      <c r="H350" s="585">
        <f t="shared" si="61"/>
        <v>0</v>
      </c>
      <c r="I350" s="588">
        <f t="shared" si="63"/>
        <v>0</v>
      </c>
      <c r="J350" s="350"/>
    </row>
    <row r="351" spans="1:10" ht="35.25" customHeight="1" x14ac:dyDescent="0.25">
      <c r="A351" s="951"/>
      <c r="B351" s="434"/>
      <c r="C351" s="437" t="s">
        <v>320</v>
      </c>
      <c r="D351" s="632" t="s">
        <v>231</v>
      </c>
      <c r="E351" s="661"/>
      <c r="F351" s="662">
        <f t="shared" si="62"/>
        <v>0</v>
      </c>
      <c r="G351" s="658">
        <v>21.18</v>
      </c>
      <c r="H351" s="585">
        <f t="shared" si="61"/>
        <v>0</v>
      </c>
      <c r="I351" s="588">
        <f t="shared" si="63"/>
        <v>0</v>
      </c>
      <c r="J351" s="350"/>
    </row>
    <row r="352" spans="1:10" ht="35.25" customHeight="1" x14ac:dyDescent="0.25">
      <c r="A352" s="951"/>
      <c r="B352" s="434"/>
      <c r="C352" s="437" t="s">
        <v>322</v>
      </c>
      <c r="D352" s="632" t="s">
        <v>323</v>
      </c>
      <c r="E352" s="661"/>
      <c r="F352" s="662">
        <f t="shared" si="62"/>
        <v>0</v>
      </c>
      <c r="G352" s="658">
        <v>21.28</v>
      </c>
      <c r="H352" s="585">
        <f t="shared" si="61"/>
        <v>0</v>
      </c>
      <c r="I352" s="588">
        <f t="shared" si="63"/>
        <v>0</v>
      </c>
      <c r="J352" s="350"/>
    </row>
    <row r="353" spans="1:10" ht="35.25" customHeight="1" x14ac:dyDescent="0.25">
      <c r="A353" s="951"/>
      <c r="B353" s="434"/>
      <c r="C353" s="437" t="s">
        <v>376</v>
      </c>
      <c r="D353" s="632" t="s">
        <v>372</v>
      </c>
      <c r="E353" s="661"/>
      <c r="F353" s="662">
        <f t="shared" si="62"/>
        <v>0</v>
      </c>
      <c r="G353" s="658">
        <v>143.28</v>
      </c>
      <c r="H353" s="585">
        <f t="shared" si="61"/>
        <v>0</v>
      </c>
      <c r="I353" s="588">
        <f t="shared" si="63"/>
        <v>0</v>
      </c>
      <c r="J353" s="350"/>
    </row>
    <row r="354" spans="1:10" ht="35.25" customHeight="1" x14ac:dyDescent="0.25">
      <c r="A354" s="951"/>
      <c r="B354" s="434"/>
      <c r="C354" s="437" t="s">
        <v>466</v>
      </c>
      <c r="D354" s="632"/>
      <c r="E354" s="661"/>
      <c r="F354" s="662">
        <f t="shared" si="62"/>
        <v>0</v>
      </c>
      <c r="G354" s="658">
        <v>14.79</v>
      </c>
      <c r="H354" s="585">
        <f t="shared" si="61"/>
        <v>0</v>
      </c>
      <c r="I354" s="588">
        <f t="shared" si="63"/>
        <v>0</v>
      </c>
      <c r="J354" s="350"/>
    </row>
    <row r="355" spans="1:10" ht="35.25" customHeight="1" x14ac:dyDescent="0.25">
      <c r="A355" s="951"/>
      <c r="B355" s="434"/>
      <c r="C355" s="437" t="s">
        <v>446</v>
      </c>
      <c r="D355" s="631" t="s">
        <v>177</v>
      </c>
      <c r="E355" s="661"/>
      <c r="F355" s="662">
        <f t="shared" si="62"/>
        <v>0</v>
      </c>
      <c r="G355" s="658">
        <v>14.55</v>
      </c>
      <c r="H355" s="585">
        <f t="shared" si="61"/>
        <v>0</v>
      </c>
      <c r="I355" s="588">
        <f t="shared" si="63"/>
        <v>0</v>
      </c>
      <c r="J355" s="350"/>
    </row>
    <row r="356" spans="1:10" ht="35.25" customHeight="1" x14ac:dyDescent="0.25">
      <c r="A356" s="951"/>
      <c r="B356" s="434"/>
      <c r="C356" s="437" t="s">
        <v>325</v>
      </c>
      <c r="D356" s="632" t="s">
        <v>188</v>
      </c>
      <c r="E356" s="661"/>
      <c r="F356" s="662">
        <f t="shared" si="62"/>
        <v>0</v>
      </c>
      <c r="G356" s="658">
        <v>21.28</v>
      </c>
      <c r="H356" s="585">
        <f t="shared" si="61"/>
        <v>0</v>
      </c>
      <c r="I356" s="588">
        <f t="shared" si="63"/>
        <v>0</v>
      </c>
      <c r="J356" s="350"/>
    </row>
    <row r="357" spans="1:10" ht="35.25" customHeight="1" thickBot="1" x14ac:dyDescent="0.3">
      <c r="A357" s="951"/>
      <c r="B357" s="434"/>
      <c r="C357" s="437" t="s">
        <v>334</v>
      </c>
      <c r="D357" s="633" t="s">
        <v>178</v>
      </c>
      <c r="E357" s="661"/>
      <c r="F357" s="637">
        <f t="shared" si="62"/>
        <v>0</v>
      </c>
      <c r="G357" s="658">
        <v>36.44</v>
      </c>
      <c r="H357" s="585">
        <f t="shared" si="61"/>
        <v>0</v>
      </c>
      <c r="I357" s="588">
        <f t="shared" si="63"/>
        <v>0</v>
      </c>
      <c r="J357" s="350"/>
    </row>
    <row r="358" spans="1:10" ht="35.25" customHeight="1" thickBot="1" x14ac:dyDescent="0.3">
      <c r="A358" s="951"/>
      <c r="B358" s="946" t="s">
        <v>265</v>
      </c>
      <c r="C358" s="947"/>
      <c r="D358" s="812"/>
      <c r="E358" s="324">
        <f>SUM(E342:E357)</f>
        <v>0</v>
      </c>
      <c r="F358" s="659">
        <f>SUM(F342:F357)</f>
        <v>1280</v>
      </c>
      <c r="G358" s="324"/>
      <c r="H358" s="580">
        <f>SUM(H342:H357)</f>
        <v>0</v>
      </c>
      <c r="I358" s="573">
        <f>SUM(I342:I357)</f>
        <v>174028.80000000002</v>
      </c>
      <c r="J358" s="347"/>
    </row>
    <row r="359" spans="1:10" ht="35.25" customHeight="1" x14ac:dyDescent="0.25">
      <c r="A359" s="951"/>
      <c r="B359" s="810"/>
      <c r="C359" s="279" t="s">
        <v>270</v>
      </c>
      <c r="D359" s="430" t="s">
        <v>237</v>
      </c>
      <c r="E359" s="280"/>
      <c r="F359" s="431">
        <f t="shared" ref="F359:F380" si="64">+E359+F250</f>
        <v>0</v>
      </c>
      <c r="G359" s="571">
        <v>160.44999999999999</v>
      </c>
      <c r="H359" s="586">
        <f t="shared" ref="H359:H372" si="65">E359*G359</f>
        <v>0</v>
      </c>
      <c r="I359" s="589">
        <f t="shared" ref="I359:I372" si="66">+G359*F359</f>
        <v>0</v>
      </c>
      <c r="J359" s="371"/>
    </row>
    <row r="360" spans="1:10" ht="35.25" customHeight="1" x14ac:dyDescent="0.25">
      <c r="A360" s="951"/>
      <c r="B360" s="810"/>
      <c r="C360" s="279" t="s">
        <v>285</v>
      </c>
      <c r="D360" s="430" t="s">
        <v>237</v>
      </c>
      <c r="E360" s="280"/>
      <c r="F360" s="431">
        <f t="shared" si="64"/>
        <v>0</v>
      </c>
      <c r="G360" s="571">
        <v>160.44999999999999</v>
      </c>
      <c r="H360" s="586">
        <f t="shared" si="65"/>
        <v>0</v>
      </c>
      <c r="I360" s="589">
        <f t="shared" si="66"/>
        <v>0</v>
      </c>
      <c r="J360" s="371"/>
    </row>
    <row r="361" spans="1:10" ht="35.25" customHeight="1" x14ac:dyDescent="0.25">
      <c r="A361" s="951"/>
      <c r="B361" s="810"/>
      <c r="C361" s="279" t="s">
        <v>386</v>
      </c>
      <c r="D361" s="430" t="s">
        <v>237</v>
      </c>
      <c r="E361" s="280"/>
      <c r="F361" s="431">
        <f t="shared" si="64"/>
        <v>0</v>
      </c>
      <c r="G361" s="571">
        <v>160.44999999999999</v>
      </c>
      <c r="H361" s="586">
        <f t="shared" si="65"/>
        <v>0</v>
      </c>
      <c r="I361" s="589">
        <f t="shared" si="66"/>
        <v>0</v>
      </c>
      <c r="J361" s="371"/>
    </row>
    <row r="362" spans="1:10" ht="35.25" customHeight="1" x14ac:dyDescent="0.25">
      <c r="A362" s="951"/>
      <c r="B362" s="810"/>
      <c r="C362" s="279" t="s">
        <v>286</v>
      </c>
      <c r="D362" s="430" t="s">
        <v>93</v>
      </c>
      <c r="E362" s="280"/>
      <c r="F362" s="431">
        <f t="shared" si="64"/>
        <v>37620</v>
      </c>
      <c r="G362" s="571">
        <v>27</v>
      </c>
      <c r="H362" s="586">
        <f t="shared" si="65"/>
        <v>0</v>
      </c>
      <c r="I362" s="589">
        <f t="shared" si="66"/>
        <v>1015740</v>
      </c>
      <c r="J362" s="371"/>
    </row>
    <row r="363" spans="1:10" ht="35.25" customHeight="1" x14ac:dyDescent="0.25">
      <c r="A363" s="951"/>
      <c r="B363" s="810"/>
      <c r="C363" s="279" t="s">
        <v>286</v>
      </c>
      <c r="D363" s="430" t="s">
        <v>291</v>
      </c>
      <c r="E363" s="280"/>
      <c r="F363" s="431">
        <f t="shared" si="64"/>
        <v>0</v>
      </c>
      <c r="G363" s="571">
        <v>27.5</v>
      </c>
      <c r="H363" s="586">
        <f t="shared" si="65"/>
        <v>0</v>
      </c>
      <c r="I363" s="589">
        <f t="shared" si="66"/>
        <v>0</v>
      </c>
      <c r="J363" s="371"/>
    </row>
    <row r="364" spans="1:10" ht="35.25" customHeight="1" x14ac:dyDescent="0.25">
      <c r="A364" s="951"/>
      <c r="B364" s="810"/>
      <c r="C364" s="279" t="s">
        <v>275</v>
      </c>
      <c r="D364" s="430" t="s">
        <v>291</v>
      </c>
      <c r="E364" s="280"/>
      <c r="F364" s="431">
        <f t="shared" si="64"/>
        <v>0</v>
      </c>
      <c r="G364" s="571">
        <v>34.5</v>
      </c>
      <c r="H364" s="586">
        <f t="shared" si="65"/>
        <v>0</v>
      </c>
      <c r="I364" s="589">
        <f t="shared" si="66"/>
        <v>0</v>
      </c>
      <c r="J364" s="371"/>
    </row>
    <row r="365" spans="1:10" ht="35.25" customHeight="1" x14ac:dyDescent="0.25">
      <c r="A365" s="951"/>
      <c r="B365" s="810"/>
      <c r="C365" s="279" t="s">
        <v>467</v>
      </c>
      <c r="D365" s="430" t="s">
        <v>435</v>
      </c>
      <c r="E365" s="280"/>
      <c r="F365" s="431">
        <f t="shared" si="64"/>
        <v>0</v>
      </c>
      <c r="G365" s="571">
        <v>10.57</v>
      </c>
      <c r="H365" s="586">
        <f t="shared" si="65"/>
        <v>0</v>
      </c>
      <c r="I365" s="589">
        <f t="shared" si="66"/>
        <v>0</v>
      </c>
      <c r="J365" s="371"/>
    </row>
    <row r="366" spans="1:10" ht="35.25" customHeight="1" x14ac:dyDescent="0.25">
      <c r="A366" s="951"/>
      <c r="B366" s="810"/>
      <c r="C366" s="279" t="s">
        <v>275</v>
      </c>
      <c r="D366" s="430" t="s">
        <v>435</v>
      </c>
      <c r="E366" s="280"/>
      <c r="F366" s="431">
        <f t="shared" si="64"/>
        <v>0</v>
      </c>
      <c r="G366" s="571">
        <v>55.76</v>
      </c>
      <c r="H366" s="586">
        <f t="shared" si="65"/>
        <v>0</v>
      </c>
      <c r="I366" s="589">
        <f t="shared" si="66"/>
        <v>0</v>
      </c>
      <c r="J366" s="371"/>
    </row>
    <row r="367" spans="1:10" ht="35.25" customHeight="1" x14ac:dyDescent="0.25">
      <c r="A367" s="951"/>
      <c r="B367" s="810"/>
      <c r="C367" s="279" t="s">
        <v>419</v>
      </c>
      <c r="D367" s="430" t="s">
        <v>237</v>
      </c>
      <c r="E367" s="280"/>
      <c r="F367" s="431">
        <f t="shared" si="64"/>
        <v>0</v>
      </c>
      <c r="G367" s="571">
        <v>160.44999999999999</v>
      </c>
      <c r="H367" s="586">
        <f t="shared" si="65"/>
        <v>0</v>
      </c>
      <c r="I367" s="589">
        <f t="shared" si="66"/>
        <v>0</v>
      </c>
      <c r="J367" s="371"/>
    </row>
    <row r="368" spans="1:10" ht="35.25" customHeight="1" x14ac:dyDescent="0.25">
      <c r="A368" s="951"/>
      <c r="B368" s="810"/>
      <c r="C368" s="279" t="s">
        <v>346</v>
      </c>
      <c r="D368" s="430" t="s">
        <v>237</v>
      </c>
      <c r="E368" s="280"/>
      <c r="F368" s="431">
        <f t="shared" si="64"/>
        <v>0</v>
      </c>
      <c r="G368" s="571">
        <v>160.44999999999999</v>
      </c>
      <c r="H368" s="586">
        <f t="shared" si="65"/>
        <v>0</v>
      </c>
      <c r="I368" s="589">
        <f t="shared" si="66"/>
        <v>0</v>
      </c>
      <c r="J368" s="371"/>
    </row>
    <row r="369" spans="1:13" ht="35.25" customHeight="1" x14ac:dyDescent="0.25">
      <c r="A369" s="951"/>
      <c r="B369" s="810"/>
      <c r="C369" s="279" t="s">
        <v>385</v>
      </c>
      <c r="D369" s="430" t="s">
        <v>237</v>
      </c>
      <c r="E369" s="280"/>
      <c r="F369" s="431">
        <f t="shared" si="64"/>
        <v>0</v>
      </c>
      <c r="G369" s="571">
        <v>160.44999999999999</v>
      </c>
      <c r="H369" s="586">
        <f t="shared" si="65"/>
        <v>0</v>
      </c>
      <c r="I369" s="589">
        <f t="shared" si="66"/>
        <v>0</v>
      </c>
      <c r="J369" s="371"/>
    </row>
    <row r="370" spans="1:13" ht="35.25" customHeight="1" x14ac:dyDescent="0.25">
      <c r="A370" s="951"/>
      <c r="B370" s="810"/>
      <c r="C370" s="279" t="s">
        <v>436</v>
      </c>
      <c r="D370" s="430" t="s">
        <v>237</v>
      </c>
      <c r="E370" s="280"/>
      <c r="F370" s="431">
        <f t="shared" si="64"/>
        <v>0</v>
      </c>
      <c r="G370" s="571">
        <v>160.44999999999999</v>
      </c>
      <c r="H370" s="586">
        <f t="shared" si="65"/>
        <v>0</v>
      </c>
      <c r="I370" s="589">
        <f t="shared" si="66"/>
        <v>0</v>
      </c>
      <c r="J370" s="371"/>
    </row>
    <row r="371" spans="1:13" ht="35.25" customHeight="1" x14ac:dyDescent="0.25">
      <c r="A371" s="951"/>
      <c r="B371" s="810"/>
      <c r="C371" s="279" t="s">
        <v>301</v>
      </c>
      <c r="D371" s="430" t="s">
        <v>237</v>
      </c>
      <c r="E371" s="280"/>
      <c r="F371" s="431">
        <f t="shared" si="64"/>
        <v>0</v>
      </c>
      <c r="G371" s="571">
        <v>160.44999999999999</v>
      </c>
      <c r="H371" s="586">
        <f t="shared" si="65"/>
        <v>0</v>
      </c>
      <c r="I371" s="589">
        <f t="shared" si="66"/>
        <v>0</v>
      </c>
      <c r="J371" s="371"/>
    </row>
    <row r="372" spans="1:13" ht="35.25" customHeight="1" thickBot="1" x14ac:dyDescent="0.3">
      <c r="A372" s="951"/>
      <c r="B372" s="810"/>
      <c r="C372" s="279" t="s">
        <v>309</v>
      </c>
      <c r="D372" s="430" t="s">
        <v>237</v>
      </c>
      <c r="E372" s="280"/>
      <c r="F372" s="431">
        <f t="shared" si="64"/>
        <v>0</v>
      </c>
      <c r="G372" s="571">
        <v>160.44999999999999</v>
      </c>
      <c r="H372" s="586">
        <f t="shared" si="65"/>
        <v>0</v>
      </c>
      <c r="I372" s="589">
        <f t="shared" si="66"/>
        <v>0</v>
      </c>
      <c r="J372" s="371"/>
    </row>
    <row r="373" spans="1:13" ht="35.25" customHeight="1" thickBot="1" x14ac:dyDescent="0.3">
      <c r="A373" s="951"/>
      <c r="B373" s="946" t="s">
        <v>266</v>
      </c>
      <c r="C373" s="947"/>
      <c r="D373" s="812"/>
      <c r="E373" s="324">
        <f>SUM(E359:E372)</f>
        <v>0</v>
      </c>
      <c r="F373" s="324">
        <f t="shared" si="64"/>
        <v>37620</v>
      </c>
      <c r="G373" s="324"/>
      <c r="H373" s="580">
        <f>SUM(H359:H372)</f>
        <v>0</v>
      </c>
      <c r="I373" s="573">
        <f>SUM(I359:I372)</f>
        <v>1015740</v>
      </c>
      <c r="J373" s="347"/>
    </row>
    <row r="374" spans="1:13" ht="35.25" customHeight="1" x14ac:dyDescent="0.25">
      <c r="A374" s="951"/>
      <c r="B374" s="810"/>
      <c r="C374" s="279" t="s">
        <v>370</v>
      </c>
      <c r="D374" s="430" t="s">
        <v>371</v>
      </c>
      <c r="E374" s="280"/>
      <c r="F374" s="431">
        <f t="shared" si="64"/>
        <v>0</v>
      </c>
      <c r="G374" s="571">
        <v>5.34</v>
      </c>
      <c r="H374" s="586">
        <f t="shared" ref="H374:H380" si="67">E374*G374</f>
        <v>0</v>
      </c>
      <c r="I374" s="589">
        <f t="shared" ref="I374" si="68">+G374*F374</f>
        <v>0</v>
      </c>
      <c r="J374" s="371"/>
    </row>
    <row r="375" spans="1:13" ht="35.25" customHeight="1" x14ac:dyDescent="0.25">
      <c r="A375" s="951"/>
      <c r="B375" s="810"/>
      <c r="C375" s="279" t="s">
        <v>387</v>
      </c>
      <c r="D375" s="430" t="s">
        <v>264</v>
      </c>
      <c r="E375" s="280"/>
      <c r="F375" s="431">
        <f t="shared" si="64"/>
        <v>0</v>
      </c>
      <c r="G375" s="571">
        <v>31.73</v>
      </c>
      <c r="H375" s="586">
        <f t="shared" si="67"/>
        <v>0</v>
      </c>
      <c r="I375" s="589">
        <f>+G375*F375</f>
        <v>0</v>
      </c>
      <c r="J375" s="371"/>
    </row>
    <row r="376" spans="1:13" ht="35.25" customHeight="1" x14ac:dyDescent="0.25">
      <c r="A376" s="951"/>
      <c r="B376" s="810"/>
      <c r="C376" s="279" t="s">
        <v>390</v>
      </c>
      <c r="D376" s="430" t="s">
        <v>391</v>
      </c>
      <c r="E376" s="280"/>
      <c r="F376" s="431">
        <f t="shared" si="64"/>
        <v>0</v>
      </c>
      <c r="G376" s="571">
        <v>10.58</v>
      </c>
      <c r="H376" s="586">
        <f t="shared" si="67"/>
        <v>0</v>
      </c>
      <c r="I376" s="589">
        <f>+G376*F376</f>
        <v>0</v>
      </c>
      <c r="J376" s="371"/>
    </row>
    <row r="377" spans="1:13" ht="35.25" customHeight="1" x14ac:dyDescent="0.25">
      <c r="A377" s="951"/>
      <c r="B377" s="810"/>
      <c r="C377" s="279" t="s">
        <v>276</v>
      </c>
      <c r="D377" s="430" t="s">
        <v>277</v>
      </c>
      <c r="E377" s="280"/>
      <c r="F377" s="431">
        <f t="shared" si="64"/>
        <v>9</v>
      </c>
      <c r="G377" s="571">
        <v>2500</v>
      </c>
      <c r="H377" s="586">
        <f t="shared" si="67"/>
        <v>0</v>
      </c>
      <c r="I377" s="589">
        <f>+G377*F377</f>
        <v>22500</v>
      </c>
      <c r="J377" s="371"/>
    </row>
    <row r="378" spans="1:13" ht="35.25" customHeight="1" x14ac:dyDescent="0.25">
      <c r="A378" s="951"/>
      <c r="B378" s="810"/>
      <c r="C378" s="279" t="s">
        <v>449</v>
      </c>
      <c r="D378" s="430"/>
      <c r="E378" s="280"/>
      <c r="F378" s="431">
        <f t="shared" si="64"/>
        <v>0</v>
      </c>
      <c r="G378" s="571">
        <v>30000</v>
      </c>
      <c r="H378" s="586">
        <f t="shared" si="67"/>
        <v>0</v>
      </c>
      <c r="I378" s="589">
        <f>+G378*F378</f>
        <v>0</v>
      </c>
      <c r="J378" s="371"/>
    </row>
    <row r="379" spans="1:13" ht="35.25" customHeight="1" x14ac:dyDescent="0.25">
      <c r="A379" s="951"/>
      <c r="B379" s="810"/>
      <c r="C379" s="279" t="s">
        <v>377</v>
      </c>
      <c r="D379" s="430" t="s">
        <v>303</v>
      </c>
      <c r="E379" s="280"/>
      <c r="F379" s="431">
        <f t="shared" si="64"/>
        <v>0</v>
      </c>
      <c r="G379" s="571">
        <v>360</v>
      </c>
      <c r="H379" s="586">
        <f t="shared" si="67"/>
        <v>0</v>
      </c>
      <c r="I379" s="589">
        <f>+G379*F379</f>
        <v>0</v>
      </c>
      <c r="J379" s="371"/>
    </row>
    <row r="380" spans="1:13" ht="35.25" customHeight="1" thickBot="1" x14ac:dyDescent="0.3">
      <c r="A380" s="951"/>
      <c r="B380" s="810"/>
      <c r="C380" s="279" t="s">
        <v>425</v>
      </c>
      <c r="D380" s="430" t="s">
        <v>303</v>
      </c>
      <c r="E380" s="280"/>
      <c r="F380" s="431">
        <f t="shared" si="64"/>
        <v>0</v>
      </c>
      <c r="G380" s="572">
        <v>10</v>
      </c>
      <c r="H380" s="586">
        <f t="shared" si="67"/>
        <v>0</v>
      </c>
      <c r="I380" s="589">
        <f t="shared" ref="I380" si="69">+G380*F380</f>
        <v>0</v>
      </c>
      <c r="J380" s="371"/>
    </row>
    <row r="381" spans="1:13" ht="35.25" customHeight="1" thickBot="1" x14ac:dyDescent="0.3">
      <c r="A381" s="951"/>
      <c r="B381" s="946" t="s">
        <v>271</v>
      </c>
      <c r="C381" s="947"/>
      <c r="D381" s="812"/>
      <c r="E381" s="324">
        <f>SUM(E374:E380)</f>
        <v>0</v>
      </c>
      <c r="F381" s="324">
        <f>SUM(F374:F380)</f>
        <v>9</v>
      </c>
      <c r="G381" s="324"/>
      <c r="H381" s="580">
        <f>SUM(H374:H380)</f>
        <v>0</v>
      </c>
      <c r="I381" s="573">
        <f>SUM(I374:I380)</f>
        <v>22500</v>
      </c>
      <c r="J381" s="371"/>
    </row>
    <row r="382" spans="1:13" ht="35.25" customHeight="1" thickBot="1" x14ac:dyDescent="0.3">
      <c r="A382" s="951"/>
      <c r="B382" s="810"/>
      <c r="C382" s="279"/>
      <c r="D382" s="430"/>
      <c r="E382" s="280"/>
      <c r="F382" s="316"/>
      <c r="G382" s="572"/>
      <c r="H382" s="581"/>
      <c r="I382" s="282">
        <f t="shared" ref="I382" si="70">+G382*F382</f>
        <v>0</v>
      </c>
      <c r="J382" s="371"/>
    </row>
    <row r="383" spans="1:13" ht="35.25" customHeight="1" thickBot="1" x14ac:dyDescent="0.3">
      <c r="A383" s="952"/>
      <c r="B383" s="946" t="s">
        <v>268</v>
      </c>
      <c r="C383" s="947"/>
      <c r="D383" s="808"/>
      <c r="E383" s="324">
        <f>+E381+E373+E358</f>
        <v>0</v>
      </c>
      <c r="F383" s="324">
        <f>+F381+F373+F358</f>
        <v>38909</v>
      </c>
      <c r="G383" s="324"/>
      <c r="H383" s="573">
        <f>+H373+H358+H381</f>
        <v>0</v>
      </c>
      <c r="I383" s="573">
        <f>+I373+I358+I381</f>
        <v>1212268.8</v>
      </c>
      <c r="J383" s="371"/>
      <c r="K383" s="664"/>
      <c r="M383" s="664"/>
    </row>
    <row r="384" spans="1:13" ht="35.25" customHeight="1" x14ac:dyDescent="0.25">
      <c r="A384" s="950" t="s">
        <v>101</v>
      </c>
      <c r="B384" s="810"/>
      <c r="C384" s="279" t="s">
        <v>280</v>
      </c>
      <c r="D384" s="430" t="s">
        <v>178</v>
      </c>
      <c r="E384" s="280"/>
      <c r="F384" s="431">
        <f t="shared" ref="F384:F415" si="71">+E384+F275</f>
        <v>0</v>
      </c>
      <c r="G384" s="595">
        <v>13.25</v>
      </c>
      <c r="H384" s="590">
        <f t="shared" ref="H384:H415" si="72">E384*G384</f>
        <v>0</v>
      </c>
      <c r="I384" s="589">
        <f t="shared" ref="I384:I415" si="73">+G384*F384</f>
        <v>0</v>
      </c>
      <c r="J384" s="371"/>
      <c r="K384" s="664"/>
    </row>
    <row r="385" spans="1:11" ht="35.25" customHeight="1" x14ac:dyDescent="0.25">
      <c r="A385" s="951"/>
      <c r="B385" s="810"/>
      <c r="C385" s="279" t="s">
        <v>281</v>
      </c>
      <c r="D385" s="430"/>
      <c r="E385" s="280"/>
      <c r="F385" s="431">
        <f t="shared" si="71"/>
        <v>1</v>
      </c>
      <c r="G385" s="596">
        <v>34000</v>
      </c>
      <c r="H385" s="590">
        <f t="shared" si="72"/>
        <v>0</v>
      </c>
      <c r="I385" s="589">
        <f t="shared" si="73"/>
        <v>34000</v>
      </c>
      <c r="J385" s="371"/>
      <c r="K385" s="664"/>
    </row>
    <row r="386" spans="1:11" ht="35.25" customHeight="1" x14ac:dyDescent="0.25">
      <c r="A386" s="951"/>
      <c r="B386" s="810"/>
      <c r="C386" s="279" t="s">
        <v>281</v>
      </c>
      <c r="D386" s="430"/>
      <c r="E386" s="280"/>
      <c r="F386" s="431">
        <f t="shared" si="71"/>
        <v>0</v>
      </c>
      <c r="G386" s="596">
        <v>18000</v>
      </c>
      <c r="H386" s="590">
        <f t="shared" si="72"/>
        <v>0</v>
      </c>
      <c r="I386" s="589">
        <f t="shared" si="73"/>
        <v>0</v>
      </c>
      <c r="J386" s="371"/>
    </row>
    <row r="387" spans="1:11" ht="35.25" customHeight="1" x14ac:dyDescent="0.25">
      <c r="A387" s="951"/>
      <c r="B387" s="810"/>
      <c r="C387" s="279" t="s">
        <v>515</v>
      </c>
      <c r="D387" s="430" t="s">
        <v>516</v>
      </c>
      <c r="E387" s="280"/>
      <c r="F387" s="431">
        <f t="shared" si="71"/>
        <v>135252</v>
      </c>
      <c r="G387" s="595">
        <v>25</v>
      </c>
      <c r="H387" s="590">
        <f t="shared" si="72"/>
        <v>0</v>
      </c>
      <c r="I387" s="589">
        <f t="shared" si="73"/>
        <v>3381300</v>
      </c>
      <c r="J387" s="371"/>
    </row>
    <row r="388" spans="1:11" ht="35.25" customHeight="1" x14ac:dyDescent="0.25">
      <c r="A388" s="951"/>
      <c r="B388" s="810"/>
      <c r="C388" s="279" t="s">
        <v>459</v>
      </c>
      <c r="D388" s="430" t="s">
        <v>516</v>
      </c>
      <c r="E388" s="280">
        <v>123318</v>
      </c>
      <c r="F388" s="431">
        <f t="shared" si="71"/>
        <v>314262</v>
      </c>
      <c r="G388" s="595">
        <v>25.43</v>
      </c>
      <c r="H388" s="590">
        <f t="shared" si="72"/>
        <v>3135976.7399999998</v>
      </c>
      <c r="I388" s="589">
        <f t="shared" si="73"/>
        <v>7991682.6600000001</v>
      </c>
      <c r="J388" s="371"/>
    </row>
    <row r="389" spans="1:11" ht="35.25" customHeight="1" x14ac:dyDescent="0.25">
      <c r="A389" s="951"/>
      <c r="B389" s="810"/>
      <c r="C389" s="279" t="s">
        <v>459</v>
      </c>
      <c r="D389" s="430" t="s">
        <v>92</v>
      </c>
      <c r="E389" s="280"/>
      <c r="F389" s="431">
        <f t="shared" si="71"/>
        <v>0</v>
      </c>
      <c r="G389" s="595">
        <v>24.93</v>
      </c>
      <c r="H389" s="590">
        <f t="shared" si="72"/>
        <v>0</v>
      </c>
      <c r="I389" s="589">
        <f t="shared" si="73"/>
        <v>0</v>
      </c>
      <c r="J389" s="371"/>
    </row>
    <row r="390" spans="1:11" ht="35.25" customHeight="1" x14ac:dyDescent="0.25">
      <c r="A390" s="951"/>
      <c r="B390" s="810"/>
      <c r="C390" s="705" t="s">
        <v>460</v>
      </c>
      <c r="D390" s="706" t="s">
        <v>92</v>
      </c>
      <c r="E390" s="280"/>
      <c r="F390" s="431">
        <f t="shared" si="71"/>
        <v>0</v>
      </c>
      <c r="G390" s="595">
        <v>20.8</v>
      </c>
      <c r="H390" s="590">
        <f t="shared" si="72"/>
        <v>0</v>
      </c>
      <c r="I390" s="589">
        <f t="shared" si="73"/>
        <v>0</v>
      </c>
      <c r="J390" s="371"/>
    </row>
    <row r="391" spans="1:11" ht="35.25" customHeight="1" x14ac:dyDescent="0.25">
      <c r="A391" s="951"/>
      <c r="B391" s="810"/>
      <c r="C391" s="705" t="s">
        <v>514</v>
      </c>
      <c r="D391" s="706" t="s">
        <v>462</v>
      </c>
      <c r="E391" s="280"/>
      <c r="F391" s="431">
        <f t="shared" si="71"/>
        <v>123318</v>
      </c>
      <c r="G391" s="595">
        <v>26.36</v>
      </c>
      <c r="H391" s="590">
        <f t="shared" si="72"/>
        <v>0</v>
      </c>
      <c r="I391" s="589">
        <f t="shared" si="73"/>
        <v>3250662.48</v>
      </c>
      <c r="J391" s="371"/>
    </row>
    <row r="392" spans="1:11" ht="35.25" customHeight="1" x14ac:dyDescent="0.25">
      <c r="A392" s="951"/>
      <c r="B392" s="810"/>
      <c r="C392" s="705" t="s">
        <v>461</v>
      </c>
      <c r="D392" s="706" t="s">
        <v>462</v>
      </c>
      <c r="E392" s="280"/>
      <c r="F392" s="431">
        <f t="shared" si="71"/>
        <v>0</v>
      </c>
      <c r="G392" s="595">
        <v>25.49</v>
      </c>
      <c r="H392" s="590">
        <f t="shared" si="72"/>
        <v>0</v>
      </c>
      <c r="I392" s="589">
        <f t="shared" si="73"/>
        <v>0</v>
      </c>
      <c r="J392" s="371"/>
    </row>
    <row r="393" spans="1:11" s="716" customFormat="1" ht="35.25" customHeight="1" x14ac:dyDescent="0.25">
      <c r="A393" s="951"/>
      <c r="B393" s="707"/>
      <c r="C393" s="708" t="s">
        <v>463</v>
      </c>
      <c r="D393" s="709" t="s">
        <v>308</v>
      </c>
      <c r="E393" s="710"/>
      <c r="F393" s="711">
        <f t="shared" si="71"/>
        <v>0</v>
      </c>
      <c r="G393" s="712">
        <v>24.41</v>
      </c>
      <c r="H393" s="713">
        <f t="shared" si="72"/>
        <v>0</v>
      </c>
      <c r="I393" s="714">
        <f t="shared" si="73"/>
        <v>0</v>
      </c>
      <c r="J393" s="715"/>
    </row>
    <row r="394" spans="1:11" ht="35.25" customHeight="1" x14ac:dyDescent="0.25">
      <c r="A394" s="951"/>
      <c r="B394" s="810"/>
      <c r="C394" s="279" t="s">
        <v>439</v>
      </c>
      <c r="D394" s="430" t="s">
        <v>421</v>
      </c>
      <c r="E394" s="280"/>
      <c r="F394" s="431">
        <f t="shared" si="71"/>
        <v>0</v>
      </c>
      <c r="G394" s="595">
        <v>20.76</v>
      </c>
      <c r="H394" s="590">
        <f t="shared" si="72"/>
        <v>0</v>
      </c>
      <c r="I394" s="589">
        <f t="shared" si="73"/>
        <v>0</v>
      </c>
      <c r="J394" s="371"/>
    </row>
    <row r="395" spans="1:11" ht="35.25" customHeight="1" x14ac:dyDescent="0.25">
      <c r="A395" s="951"/>
      <c r="B395" s="810"/>
      <c r="C395" s="279" t="s">
        <v>297</v>
      </c>
      <c r="D395" s="430" t="s">
        <v>107</v>
      </c>
      <c r="E395" s="280"/>
      <c r="F395" s="431">
        <f t="shared" si="71"/>
        <v>0</v>
      </c>
      <c r="G395" s="595">
        <v>24.93</v>
      </c>
      <c r="H395" s="590">
        <f t="shared" si="72"/>
        <v>0</v>
      </c>
      <c r="I395" s="589">
        <f t="shared" si="73"/>
        <v>0</v>
      </c>
      <c r="J395" s="371"/>
    </row>
    <row r="396" spans="1:11" ht="35.25" customHeight="1" x14ac:dyDescent="0.25">
      <c r="A396" s="951"/>
      <c r="B396" s="810"/>
      <c r="C396" s="279" t="s">
        <v>298</v>
      </c>
      <c r="D396" s="430" t="s">
        <v>279</v>
      </c>
      <c r="E396" s="280"/>
      <c r="F396" s="431">
        <f t="shared" si="71"/>
        <v>0</v>
      </c>
      <c r="G396" s="595">
        <v>24.93</v>
      </c>
      <c r="H396" s="590">
        <f t="shared" si="72"/>
        <v>0</v>
      </c>
      <c r="I396" s="589">
        <f t="shared" si="73"/>
        <v>0</v>
      </c>
      <c r="J396" s="371"/>
    </row>
    <row r="397" spans="1:11" ht="35.25" customHeight="1" x14ac:dyDescent="0.25">
      <c r="A397" s="951"/>
      <c r="B397" s="810"/>
      <c r="C397" s="279" t="s">
        <v>423</v>
      </c>
      <c r="D397" s="430" t="s">
        <v>358</v>
      </c>
      <c r="E397" s="280"/>
      <c r="F397" s="431">
        <f t="shared" si="71"/>
        <v>0</v>
      </c>
      <c r="G397" s="595">
        <v>23.78</v>
      </c>
      <c r="H397" s="590">
        <f t="shared" si="72"/>
        <v>0</v>
      </c>
      <c r="I397" s="589">
        <f t="shared" si="73"/>
        <v>0</v>
      </c>
      <c r="J397" s="371"/>
    </row>
    <row r="398" spans="1:11" ht="35.25" customHeight="1" x14ac:dyDescent="0.25">
      <c r="A398" s="951"/>
      <c r="B398" s="810"/>
      <c r="C398" s="279" t="s">
        <v>423</v>
      </c>
      <c r="D398" s="430" t="s">
        <v>308</v>
      </c>
      <c r="E398" s="280"/>
      <c r="F398" s="431">
        <f t="shared" si="71"/>
        <v>0</v>
      </c>
      <c r="G398" s="595">
        <v>23.78</v>
      </c>
      <c r="H398" s="590">
        <f t="shared" si="72"/>
        <v>0</v>
      </c>
      <c r="I398" s="589">
        <f t="shared" si="73"/>
        <v>0</v>
      </c>
      <c r="J398" s="371"/>
    </row>
    <row r="399" spans="1:11" ht="35.25" customHeight="1" x14ac:dyDescent="0.25">
      <c r="A399" s="951"/>
      <c r="B399" s="810"/>
      <c r="C399" s="279" t="s">
        <v>352</v>
      </c>
      <c r="D399" s="430" t="s">
        <v>308</v>
      </c>
      <c r="E399" s="280"/>
      <c r="F399" s="431">
        <f t="shared" si="71"/>
        <v>0</v>
      </c>
      <c r="G399" s="595">
        <v>37.4566666666</v>
      </c>
      <c r="H399" s="590">
        <f t="shared" si="72"/>
        <v>0</v>
      </c>
      <c r="I399" s="589">
        <f t="shared" si="73"/>
        <v>0</v>
      </c>
      <c r="J399" s="371"/>
    </row>
    <row r="400" spans="1:11" ht="35.25" customHeight="1" x14ac:dyDescent="0.25">
      <c r="A400" s="951"/>
      <c r="B400" s="810"/>
      <c r="C400" s="279" t="s">
        <v>353</v>
      </c>
      <c r="D400" s="430" t="s">
        <v>308</v>
      </c>
      <c r="E400" s="280"/>
      <c r="F400" s="431">
        <f t="shared" si="71"/>
        <v>0</v>
      </c>
      <c r="G400" s="595">
        <v>37.89</v>
      </c>
      <c r="H400" s="590">
        <f t="shared" si="72"/>
        <v>0</v>
      </c>
      <c r="I400" s="589">
        <f t="shared" si="73"/>
        <v>0</v>
      </c>
      <c r="J400" s="371"/>
    </row>
    <row r="401" spans="1:10" ht="35.25" customHeight="1" x14ac:dyDescent="0.25">
      <c r="A401" s="951"/>
      <c r="B401" s="810"/>
      <c r="C401" s="279" t="s">
        <v>455</v>
      </c>
      <c r="D401" s="430" t="s">
        <v>92</v>
      </c>
      <c r="E401" s="280"/>
      <c r="F401" s="431">
        <f t="shared" si="71"/>
        <v>0</v>
      </c>
      <c r="G401" s="595">
        <v>28.31</v>
      </c>
      <c r="H401" s="590">
        <f t="shared" si="72"/>
        <v>0</v>
      </c>
      <c r="I401" s="589">
        <f t="shared" si="73"/>
        <v>0</v>
      </c>
      <c r="J401" s="371"/>
    </row>
    <row r="402" spans="1:10" ht="35.25" customHeight="1" x14ac:dyDescent="0.25">
      <c r="A402" s="951"/>
      <c r="B402" s="810"/>
      <c r="C402" s="279" t="s">
        <v>455</v>
      </c>
      <c r="D402" s="430" t="s">
        <v>421</v>
      </c>
      <c r="E402" s="280"/>
      <c r="F402" s="431">
        <f t="shared" si="71"/>
        <v>0</v>
      </c>
      <c r="G402" s="595">
        <v>28.88</v>
      </c>
      <c r="H402" s="590">
        <f t="shared" si="72"/>
        <v>0</v>
      </c>
      <c r="I402" s="589">
        <f t="shared" si="73"/>
        <v>0</v>
      </c>
      <c r="J402" s="371"/>
    </row>
    <row r="403" spans="1:10" ht="35.25" customHeight="1" x14ac:dyDescent="0.25">
      <c r="A403" s="951"/>
      <c r="B403" s="810"/>
      <c r="C403" s="279" t="s">
        <v>456</v>
      </c>
      <c r="D403" s="430" t="s">
        <v>421</v>
      </c>
      <c r="E403" s="280"/>
      <c r="F403" s="431">
        <f t="shared" si="71"/>
        <v>0</v>
      </c>
      <c r="G403" s="595">
        <v>28.21</v>
      </c>
      <c r="H403" s="590">
        <f t="shared" si="72"/>
        <v>0</v>
      </c>
      <c r="I403" s="589">
        <f t="shared" si="73"/>
        <v>0</v>
      </c>
      <c r="J403" s="371"/>
    </row>
    <row r="404" spans="1:10" ht="35.25" customHeight="1" x14ac:dyDescent="0.25">
      <c r="A404" s="951"/>
      <c r="B404" s="810"/>
      <c r="C404" s="279" t="s">
        <v>457</v>
      </c>
      <c r="D404" s="430" t="s">
        <v>336</v>
      </c>
      <c r="E404" s="280"/>
      <c r="F404" s="431">
        <f t="shared" si="71"/>
        <v>0</v>
      </c>
      <c r="G404" s="595">
        <v>39</v>
      </c>
      <c r="H404" s="590">
        <f t="shared" si="72"/>
        <v>0</v>
      </c>
      <c r="I404" s="589">
        <f t="shared" si="73"/>
        <v>0</v>
      </c>
      <c r="J404" s="371"/>
    </row>
    <row r="405" spans="1:10" ht="35.25" customHeight="1" x14ac:dyDescent="0.25">
      <c r="A405" s="951"/>
      <c r="B405" s="810"/>
      <c r="C405" s="279" t="s">
        <v>457</v>
      </c>
      <c r="D405" s="430" t="s">
        <v>92</v>
      </c>
      <c r="E405" s="280"/>
      <c r="F405" s="431">
        <f t="shared" si="71"/>
        <v>0</v>
      </c>
      <c r="G405" s="595">
        <v>32.65</v>
      </c>
      <c r="H405" s="590">
        <f t="shared" si="72"/>
        <v>0</v>
      </c>
      <c r="I405" s="589">
        <f t="shared" si="73"/>
        <v>0</v>
      </c>
      <c r="J405" s="371"/>
    </row>
    <row r="406" spans="1:10" ht="35.25" customHeight="1" x14ac:dyDescent="0.25">
      <c r="A406" s="951"/>
      <c r="B406" s="810"/>
      <c r="C406" s="279" t="s">
        <v>457</v>
      </c>
      <c r="D406" s="430" t="s">
        <v>421</v>
      </c>
      <c r="E406" s="280"/>
      <c r="F406" s="431">
        <f t="shared" si="71"/>
        <v>0</v>
      </c>
      <c r="G406" s="595">
        <v>33.299999999999997</v>
      </c>
      <c r="H406" s="590">
        <f t="shared" si="72"/>
        <v>0</v>
      </c>
      <c r="I406" s="589">
        <f t="shared" si="73"/>
        <v>0</v>
      </c>
      <c r="J406" s="371"/>
    </row>
    <row r="407" spans="1:10" ht="35.25" customHeight="1" x14ac:dyDescent="0.25">
      <c r="A407" s="951"/>
      <c r="B407" s="810"/>
      <c r="C407" s="279" t="s">
        <v>298</v>
      </c>
      <c r="D407" s="430" t="s">
        <v>278</v>
      </c>
      <c r="E407" s="280"/>
      <c r="F407" s="431">
        <f t="shared" si="71"/>
        <v>0</v>
      </c>
      <c r="G407" s="595">
        <v>24.93</v>
      </c>
      <c r="H407" s="590">
        <f t="shared" si="72"/>
        <v>0</v>
      </c>
      <c r="I407" s="589">
        <f t="shared" si="73"/>
        <v>0</v>
      </c>
      <c r="J407" s="371"/>
    </row>
    <row r="408" spans="1:10" ht="35.25" customHeight="1" x14ac:dyDescent="0.25">
      <c r="A408" s="951"/>
      <c r="B408" s="810"/>
      <c r="C408" s="279" t="s">
        <v>298</v>
      </c>
      <c r="D408" s="430"/>
      <c r="E408" s="280"/>
      <c r="F408" s="431">
        <f t="shared" si="71"/>
        <v>0</v>
      </c>
      <c r="G408" s="595">
        <v>24.93</v>
      </c>
      <c r="H408" s="590">
        <f t="shared" si="72"/>
        <v>0</v>
      </c>
      <c r="I408" s="589">
        <f t="shared" si="73"/>
        <v>0</v>
      </c>
      <c r="J408" s="371"/>
    </row>
    <row r="409" spans="1:10" ht="35.25" customHeight="1" x14ac:dyDescent="0.25">
      <c r="A409" s="951"/>
      <c r="B409" s="810"/>
      <c r="C409" s="279" t="s">
        <v>315</v>
      </c>
      <c r="D409" s="430" t="s">
        <v>288</v>
      </c>
      <c r="E409" s="280"/>
      <c r="F409" s="431">
        <f t="shared" si="71"/>
        <v>0</v>
      </c>
      <c r="G409" s="595">
        <v>34.26</v>
      </c>
      <c r="H409" s="590">
        <f t="shared" si="72"/>
        <v>0</v>
      </c>
      <c r="I409" s="589">
        <f t="shared" si="73"/>
        <v>0</v>
      </c>
      <c r="J409" s="371"/>
    </row>
    <row r="410" spans="1:10" ht="35.25" customHeight="1" x14ac:dyDescent="0.25">
      <c r="A410" s="951"/>
      <c r="B410" s="810"/>
      <c r="C410" s="279" t="s">
        <v>326</v>
      </c>
      <c r="D410" s="430" t="s">
        <v>358</v>
      </c>
      <c r="E410" s="280"/>
      <c r="F410" s="431">
        <f t="shared" si="71"/>
        <v>0</v>
      </c>
      <c r="G410" s="595">
        <v>37.89</v>
      </c>
      <c r="H410" s="590">
        <f t="shared" si="72"/>
        <v>0</v>
      </c>
      <c r="I410" s="589">
        <f t="shared" si="73"/>
        <v>0</v>
      </c>
      <c r="J410" s="371"/>
    </row>
    <row r="411" spans="1:10" ht="35.25" customHeight="1" x14ac:dyDescent="0.25">
      <c r="A411" s="951"/>
      <c r="B411" s="810"/>
      <c r="C411" s="279" t="s">
        <v>361</v>
      </c>
      <c r="D411" s="430" t="s">
        <v>336</v>
      </c>
      <c r="E411" s="280"/>
      <c r="F411" s="431">
        <f t="shared" si="71"/>
        <v>0</v>
      </c>
      <c r="G411" s="595">
        <v>39</v>
      </c>
      <c r="H411" s="590">
        <f t="shared" si="72"/>
        <v>0</v>
      </c>
      <c r="I411" s="589">
        <f t="shared" si="73"/>
        <v>0</v>
      </c>
      <c r="J411" s="371"/>
    </row>
    <row r="412" spans="1:10" ht="35.25" customHeight="1" x14ac:dyDescent="0.25">
      <c r="A412" s="951"/>
      <c r="B412" s="810"/>
      <c r="C412" s="279" t="s">
        <v>298</v>
      </c>
      <c r="D412" s="430" t="s">
        <v>177</v>
      </c>
      <c r="E412" s="280"/>
      <c r="F412" s="431">
        <f t="shared" si="71"/>
        <v>0</v>
      </c>
      <c r="G412" s="595">
        <v>21.22</v>
      </c>
      <c r="H412" s="590">
        <f t="shared" si="72"/>
        <v>0</v>
      </c>
      <c r="I412" s="589">
        <f t="shared" si="73"/>
        <v>0</v>
      </c>
      <c r="J412" s="371"/>
    </row>
    <row r="413" spans="1:10" ht="35.25" customHeight="1" x14ac:dyDescent="0.25">
      <c r="A413" s="951"/>
      <c r="B413" s="810"/>
      <c r="C413" s="279" t="s">
        <v>297</v>
      </c>
      <c r="D413" s="430" t="s">
        <v>177</v>
      </c>
      <c r="E413" s="280"/>
      <c r="F413" s="431">
        <f t="shared" si="71"/>
        <v>0</v>
      </c>
      <c r="G413" s="595">
        <v>21.22</v>
      </c>
      <c r="H413" s="590">
        <f t="shared" si="72"/>
        <v>0</v>
      </c>
      <c r="I413" s="589">
        <f t="shared" si="73"/>
        <v>0</v>
      </c>
      <c r="J413" s="371"/>
    </row>
    <row r="414" spans="1:10" ht="35.25" customHeight="1" x14ac:dyDescent="0.25">
      <c r="A414" s="951"/>
      <c r="B414" s="810"/>
      <c r="C414" s="279" t="s">
        <v>337</v>
      </c>
      <c r="D414" s="430" t="s">
        <v>303</v>
      </c>
      <c r="E414" s="280"/>
      <c r="F414" s="431">
        <f t="shared" si="71"/>
        <v>0</v>
      </c>
      <c r="G414" s="595">
        <v>10000</v>
      </c>
      <c r="H414" s="590">
        <f t="shared" si="72"/>
        <v>0</v>
      </c>
      <c r="I414" s="589">
        <f t="shared" si="73"/>
        <v>0</v>
      </c>
      <c r="J414" s="371"/>
    </row>
    <row r="415" spans="1:10" ht="35.25" customHeight="1" thickBot="1" x14ac:dyDescent="0.3">
      <c r="A415" s="951"/>
      <c r="B415" s="810"/>
      <c r="C415" s="279" t="s">
        <v>302</v>
      </c>
      <c r="D415" s="430" t="s">
        <v>303</v>
      </c>
      <c r="E415" s="280"/>
      <c r="F415" s="431">
        <f t="shared" si="71"/>
        <v>0</v>
      </c>
      <c r="G415" s="595">
        <v>360</v>
      </c>
      <c r="H415" s="590">
        <f t="shared" si="72"/>
        <v>0</v>
      </c>
      <c r="I415" s="589">
        <f t="shared" si="73"/>
        <v>0</v>
      </c>
      <c r="J415" s="371"/>
    </row>
    <row r="416" spans="1:10" ht="35.25" customHeight="1" thickBot="1" x14ac:dyDescent="0.3">
      <c r="A416" s="952"/>
      <c r="B416" s="946" t="s">
        <v>267</v>
      </c>
      <c r="C416" s="947"/>
      <c r="D416" s="812"/>
      <c r="E416" s="324">
        <f>SUM(E384:E415)</f>
        <v>123318</v>
      </c>
      <c r="F416" s="324">
        <f>SUM(F384:F415)</f>
        <v>572833</v>
      </c>
      <c r="G416" s="324"/>
      <c r="H416" s="580">
        <f>SUM(H384:H415)</f>
        <v>3135976.7399999998</v>
      </c>
      <c r="I416" s="573">
        <f>SUM(I384:I415)</f>
        <v>14657645.140000001</v>
      </c>
      <c r="J416" s="371"/>
    </row>
    <row r="417" spans="1:10" ht="35.25" customHeight="1" x14ac:dyDescent="0.25">
      <c r="A417" s="950" t="s">
        <v>102</v>
      </c>
      <c r="B417" s="810"/>
      <c r="C417" s="279" t="s">
        <v>272</v>
      </c>
      <c r="D417" s="430" t="s">
        <v>237</v>
      </c>
      <c r="E417" s="280"/>
      <c r="F417" s="431">
        <f t="shared" ref="F417:F441" si="74">+E417+F308</f>
        <v>592</v>
      </c>
      <c r="G417" s="595">
        <v>430.02</v>
      </c>
      <c r="H417" s="586">
        <f>E417*G417</f>
        <v>0</v>
      </c>
      <c r="I417" s="589">
        <f t="shared" ref="I417:I438" si="75">+G417*F417</f>
        <v>254571.84</v>
      </c>
      <c r="J417" s="371"/>
    </row>
    <row r="418" spans="1:10" ht="35.25" customHeight="1" x14ac:dyDescent="0.25">
      <c r="A418" s="951"/>
      <c r="B418" s="810"/>
      <c r="C418" s="279" t="s">
        <v>273</v>
      </c>
      <c r="D418" s="430" t="s">
        <v>237</v>
      </c>
      <c r="E418" s="280"/>
      <c r="F418" s="431">
        <f t="shared" si="74"/>
        <v>0</v>
      </c>
      <c r="G418" s="595">
        <v>445.38</v>
      </c>
      <c r="H418" s="586">
        <f t="shared" ref="H418:H438" si="76">E418*G418</f>
        <v>0</v>
      </c>
      <c r="I418" s="589">
        <f t="shared" si="75"/>
        <v>0</v>
      </c>
      <c r="J418" s="371"/>
    </row>
    <row r="419" spans="1:10" ht="35.25" customHeight="1" x14ac:dyDescent="0.25">
      <c r="A419" s="951"/>
      <c r="B419" s="810"/>
      <c r="C419" s="279" t="s">
        <v>388</v>
      </c>
      <c r="D419" s="430" t="s">
        <v>237</v>
      </c>
      <c r="E419" s="280"/>
      <c r="F419" s="431">
        <f t="shared" si="74"/>
        <v>0</v>
      </c>
      <c r="G419" s="595">
        <v>445.38</v>
      </c>
      <c r="H419" s="586">
        <f t="shared" si="76"/>
        <v>0</v>
      </c>
      <c r="I419" s="589">
        <f t="shared" si="75"/>
        <v>0</v>
      </c>
      <c r="J419" s="371"/>
    </row>
    <row r="420" spans="1:10" ht="35.25" customHeight="1" x14ac:dyDescent="0.25">
      <c r="A420" s="951"/>
      <c r="B420" s="810"/>
      <c r="C420" s="279" t="s">
        <v>300</v>
      </c>
      <c r="D420" s="430" t="s">
        <v>237</v>
      </c>
      <c r="E420" s="280"/>
      <c r="F420" s="431">
        <f t="shared" si="74"/>
        <v>0</v>
      </c>
      <c r="G420" s="595">
        <v>63.55</v>
      </c>
      <c r="H420" s="586">
        <f t="shared" si="76"/>
        <v>0</v>
      </c>
      <c r="I420" s="589">
        <f t="shared" si="75"/>
        <v>0</v>
      </c>
      <c r="J420" s="371"/>
    </row>
    <row r="421" spans="1:10" ht="35.25" customHeight="1" x14ac:dyDescent="0.25">
      <c r="A421" s="951"/>
      <c r="B421" s="810"/>
      <c r="C421" s="279" t="s">
        <v>274</v>
      </c>
      <c r="D421" s="430" t="s">
        <v>237</v>
      </c>
      <c r="E421" s="280"/>
      <c r="F421" s="431">
        <f t="shared" si="74"/>
        <v>33660</v>
      </c>
      <c r="G421" s="595">
        <v>71.44</v>
      </c>
      <c r="H421" s="586">
        <f t="shared" si="76"/>
        <v>0</v>
      </c>
      <c r="I421" s="589">
        <f t="shared" si="75"/>
        <v>2404670.4</v>
      </c>
      <c r="J421" s="371"/>
    </row>
    <row r="422" spans="1:10" ht="35.25" customHeight="1" x14ac:dyDescent="0.25">
      <c r="A422" s="951"/>
      <c r="B422" s="810"/>
      <c r="C422" s="279" t="s">
        <v>275</v>
      </c>
      <c r="D422" s="430" t="s">
        <v>237</v>
      </c>
      <c r="E422" s="280"/>
      <c r="F422" s="431">
        <f t="shared" si="74"/>
        <v>0</v>
      </c>
      <c r="G422" s="595">
        <v>36.5</v>
      </c>
      <c r="H422" s="586">
        <f t="shared" si="76"/>
        <v>0</v>
      </c>
      <c r="I422" s="589">
        <f t="shared" si="75"/>
        <v>0</v>
      </c>
      <c r="J422" s="371"/>
    </row>
    <row r="423" spans="1:10" ht="35.25" customHeight="1" x14ac:dyDescent="0.25">
      <c r="A423" s="951"/>
      <c r="B423" s="810"/>
      <c r="C423" s="279" t="s">
        <v>424</v>
      </c>
      <c r="D423" s="430" t="s">
        <v>237</v>
      </c>
      <c r="E423" s="280"/>
      <c r="F423" s="431">
        <f t="shared" si="74"/>
        <v>0</v>
      </c>
      <c r="G423" s="595">
        <v>320.35000000000002</v>
      </c>
      <c r="H423" s="586">
        <f t="shared" si="76"/>
        <v>0</v>
      </c>
      <c r="I423" s="589">
        <f t="shared" si="75"/>
        <v>0</v>
      </c>
      <c r="J423" s="371"/>
    </row>
    <row r="424" spans="1:10" ht="35.25" customHeight="1" x14ac:dyDescent="0.25">
      <c r="A424" s="951"/>
      <c r="B424" s="810"/>
      <c r="C424" s="279" t="s">
        <v>284</v>
      </c>
      <c r="D424" s="430" t="s">
        <v>237</v>
      </c>
      <c r="E424" s="280"/>
      <c r="F424" s="431">
        <f t="shared" si="74"/>
        <v>0</v>
      </c>
      <c r="G424" s="595">
        <v>320.35000000000002</v>
      </c>
      <c r="H424" s="586">
        <f t="shared" si="76"/>
        <v>0</v>
      </c>
      <c r="I424" s="589">
        <f t="shared" si="75"/>
        <v>0</v>
      </c>
      <c r="J424" s="371"/>
    </row>
    <row r="425" spans="1:10" ht="35.25" customHeight="1" x14ac:dyDescent="0.25">
      <c r="A425" s="951"/>
      <c r="B425" s="810"/>
      <c r="C425" s="279" t="s">
        <v>295</v>
      </c>
      <c r="D425" s="430" t="s">
        <v>237</v>
      </c>
      <c r="E425" s="280"/>
      <c r="F425" s="431">
        <f t="shared" si="74"/>
        <v>0</v>
      </c>
      <c r="G425" s="595">
        <v>434.41</v>
      </c>
      <c r="H425" s="586">
        <f t="shared" si="76"/>
        <v>0</v>
      </c>
      <c r="I425" s="589">
        <f t="shared" si="75"/>
        <v>0</v>
      </c>
      <c r="J425" s="371"/>
    </row>
    <row r="426" spans="1:10" ht="35.25" customHeight="1" x14ac:dyDescent="0.25">
      <c r="A426" s="951"/>
      <c r="B426" s="810"/>
      <c r="C426" s="279" t="s">
        <v>281</v>
      </c>
      <c r="D426" s="430" t="s">
        <v>237</v>
      </c>
      <c r="E426" s="280"/>
      <c r="F426" s="431">
        <f t="shared" si="74"/>
        <v>0</v>
      </c>
      <c r="G426" s="595">
        <v>29690</v>
      </c>
      <c r="H426" s="586">
        <f t="shared" si="76"/>
        <v>0</v>
      </c>
      <c r="I426" s="589">
        <f t="shared" si="75"/>
        <v>0</v>
      </c>
      <c r="J426" s="371"/>
    </row>
    <row r="427" spans="1:10" ht="35.25" customHeight="1" x14ac:dyDescent="0.25">
      <c r="A427" s="951"/>
      <c r="B427" s="810"/>
      <c r="C427" s="279" t="s">
        <v>281</v>
      </c>
      <c r="D427" s="430" t="s">
        <v>237</v>
      </c>
      <c r="E427" s="280"/>
      <c r="F427" s="431">
        <f t="shared" si="74"/>
        <v>0</v>
      </c>
      <c r="G427" s="595">
        <v>26445</v>
      </c>
      <c r="H427" s="586">
        <f t="shared" si="76"/>
        <v>0</v>
      </c>
      <c r="I427" s="589">
        <f t="shared" si="75"/>
        <v>0</v>
      </c>
      <c r="J427" s="371"/>
    </row>
    <row r="428" spans="1:10" ht="35.25" customHeight="1" x14ac:dyDescent="0.25">
      <c r="A428" s="951"/>
      <c r="B428" s="810"/>
      <c r="C428" s="279" t="s">
        <v>281</v>
      </c>
      <c r="D428" s="430"/>
      <c r="E428" s="280"/>
      <c r="F428" s="431">
        <f t="shared" si="74"/>
        <v>4</v>
      </c>
      <c r="G428" s="595">
        <v>29690</v>
      </c>
      <c r="H428" s="586">
        <f t="shared" si="76"/>
        <v>0</v>
      </c>
      <c r="I428" s="589">
        <f t="shared" si="75"/>
        <v>118760</v>
      </c>
      <c r="J428" s="371"/>
    </row>
    <row r="429" spans="1:10" ht="35.25" customHeight="1" x14ac:dyDescent="0.25">
      <c r="A429" s="951"/>
      <c r="B429" s="810"/>
      <c r="C429" s="279" t="s">
        <v>310</v>
      </c>
      <c r="D429" s="430" t="s">
        <v>335</v>
      </c>
      <c r="E429" s="280"/>
      <c r="F429" s="431">
        <f t="shared" si="74"/>
        <v>0</v>
      </c>
      <c r="G429" s="595">
        <v>50</v>
      </c>
      <c r="H429" s="586">
        <f t="shared" si="76"/>
        <v>0</v>
      </c>
      <c r="I429" s="589">
        <f t="shared" si="75"/>
        <v>0</v>
      </c>
      <c r="J429" s="371"/>
    </row>
    <row r="430" spans="1:10" ht="35.25" customHeight="1" x14ac:dyDescent="0.25">
      <c r="A430" s="951"/>
      <c r="B430" s="810"/>
      <c r="C430" s="279" t="s">
        <v>310</v>
      </c>
      <c r="D430" s="430"/>
      <c r="E430" s="280"/>
      <c r="F430" s="431">
        <f t="shared" si="74"/>
        <v>0</v>
      </c>
      <c r="G430" s="595">
        <v>10</v>
      </c>
      <c r="H430" s="586">
        <f t="shared" si="76"/>
        <v>0</v>
      </c>
      <c r="I430" s="589">
        <f t="shared" si="75"/>
        <v>0</v>
      </c>
      <c r="J430" s="371"/>
    </row>
    <row r="431" spans="1:10" ht="35.25" customHeight="1" x14ac:dyDescent="0.25">
      <c r="A431" s="951"/>
      <c r="B431" s="810"/>
      <c r="C431" s="279" t="s">
        <v>509</v>
      </c>
      <c r="D431" s="430" t="s">
        <v>237</v>
      </c>
      <c r="E431" s="280"/>
      <c r="F431" s="431">
        <f t="shared" si="74"/>
        <v>6000</v>
      </c>
      <c r="G431" s="595">
        <v>65.459999999999994</v>
      </c>
      <c r="H431" s="586">
        <f t="shared" si="76"/>
        <v>0</v>
      </c>
      <c r="I431" s="589">
        <f t="shared" si="75"/>
        <v>392759.99999999994</v>
      </c>
      <c r="J431" s="371"/>
    </row>
    <row r="432" spans="1:10" ht="35.25" customHeight="1" x14ac:dyDescent="0.25">
      <c r="A432" s="951"/>
      <c r="B432" s="810"/>
      <c r="C432" s="279" t="s">
        <v>327</v>
      </c>
      <c r="D432" s="430" t="s">
        <v>362</v>
      </c>
      <c r="E432" s="280"/>
      <c r="F432" s="431">
        <f t="shared" si="74"/>
        <v>0</v>
      </c>
      <c r="G432" s="595">
        <v>57.64</v>
      </c>
      <c r="H432" s="586">
        <f t="shared" si="76"/>
        <v>0</v>
      </c>
      <c r="I432" s="589">
        <f t="shared" si="75"/>
        <v>0</v>
      </c>
      <c r="J432" s="371"/>
    </row>
    <row r="433" spans="1:10" ht="35.25" customHeight="1" x14ac:dyDescent="0.25">
      <c r="A433" s="951"/>
      <c r="B433" s="810"/>
      <c r="C433" s="279" t="s">
        <v>328</v>
      </c>
      <c r="D433" s="430" t="s">
        <v>329</v>
      </c>
      <c r="E433" s="280"/>
      <c r="F433" s="431">
        <f t="shared" si="74"/>
        <v>0</v>
      </c>
      <c r="G433" s="595">
        <v>434.41</v>
      </c>
      <c r="H433" s="586">
        <f t="shared" si="76"/>
        <v>0</v>
      </c>
      <c r="I433" s="589">
        <f t="shared" si="75"/>
        <v>0</v>
      </c>
      <c r="J433" s="371"/>
    </row>
    <row r="434" spans="1:10" ht="35.25" customHeight="1" x14ac:dyDescent="0.25">
      <c r="A434" s="951"/>
      <c r="B434" s="810"/>
      <c r="C434" s="279" t="s">
        <v>341</v>
      </c>
      <c r="D434" s="430" t="s">
        <v>237</v>
      </c>
      <c r="E434" s="280"/>
      <c r="F434" s="431">
        <f t="shared" si="74"/>
        <v>0</v>
      </c>
      <c r="G434" s="595">
        <v>624.26</v>
      </c>
      <c r="H434" s="586">
        <f t="shared" si="76"/>
        <v>0</v>
      </c>
      <c r="I434" s="589">
        <f t="shared" si="75"/>
        <v>0</v>
      </c>
      <c r="J434" s="371"/>
    </row>
    <row r="435" spans="1:10" ht="35.25" customHeight="1" x14ac:dyDescent="0.25">
      <c r="A435" s="951"/>
      <c r="B435" s="810"/>
      <c r="C435" s="279" t="s">
        <v>330</v>
      </c>
      <c r="D435" s="430" t="s">
        <v>329</v>
      </c>
      <c r="E435" s="280"/>
      <c r="F435" s="431">
        <f t="shared" si="74"/>
        <v>0</v>
      </c>
      <c r="G435" s="595">
        <v>63.55</v>
      </c>
      <c r="H435" s="586">
        <f t="shared" si="76"/>
        <v>0</v>
      </c>
      <c r="I435" s="589">
        <f t="shared" si="75"/>
        <v>0</v>
      </c>
      <c r="J435" s="371"/>
    </row>
    <row r="436" spans="1:10" ht="35.25" customHeight="1" x14ac:dyDescent="0.25">
      <c r="A436" s="951"/>
      <c r="B436" s="810"/>
      <c r="C436" s="279" t="s">
        <v>369</v>
      </c>
      <c r="D436" s="430" t="s">
        <v>237</v>
      </c>
      <c r="E436" s="280"/>
      <c r="F436" s="431">
        <f t="shared" si="74"/>
        <v>0</v>
      </c>
      <c r="G436" s="595">
        <v>59.96</v>
      </c>
      <c r="H436" s="586">
        <f t="shared" si="76"/>
        <v>0</v>
      </c>
      <c r="I436" s="589">
        <f t="shared" si="75"/>
        <v>0</v>
      </c>
      <c r="J436" s="371"/>
    </row>
    <row r="437" spans="1:10" ht="35.25" customHeight="1" x14ac:dyDescent="0.25">
      <c r="A437" s="951"/>
      <c r="B437" s="810"/>
      <c r="C437" s="279" t="s">
        <v>417</v>
      </c>
      <c r="D437" s="430" t="s">
        <v>329</v>
      </c>
      <c r="E437" s="280"/>
      <c r="F437" s="431">
        <f t="shared" si="74"/>
        <v>0</v>
      </c>
      <c r="G437" s="595">
        <v>53.86</v>
      </c>
      <c r="H437" s="586">
        <f t="shared" si="76"/>
        <v>0</v>
      </c>
      <c r="I437" s="589">
        <f t="shared" si="75"/>
        <v>0</v>
      </c>
      <c r="J437" s="371"/>
    </row>
    <row r="438" spans="1:10" ht="35.25" customHeight="1" x14ac:dyDescent="0.25">
      <c r="A438" s="951"/>
      <c r="B438" s="810"/>
      <c r="C438" s="279" t="s">
        <v>377</v>
      </c>
      <c r="D438" s="430"/>
      <c r="E438" s="280"/>
      <c r="F438" s="431">
        <f t="shared" si="74"/>
        <v>0</v>
      </c>
      <c r="G438" s="595">
        <v>360</v>
      </c>
      <c r="H438" s="586">
        <f t="shared" si="76"/>
        <v>0</v>
      </c>
      <c r="I438" s="589">
        <f t="shared" si="75"/>
        <v>0</v>
      </c>
      <c r="J438" s="371"/>
    </row>
    <row r="439" spans="1:10" ht="35.25" customHeight="1" x14ac:dyDescent="0.25">
      <c r="A439" s="951"/>
      <c r="B439" s="810"/>
      <c r="C439" s="279" t="s">
        <v>465</v>
      </c>
      <c r="D439" s="430"/>
      <c r="E439" s="280"/>
      <c r="F439" s="431">
        <f t="shared" si="74"/>
        <v>0</v>
      </c>
      <c r="G439" s="595"/>
      <c r="H439" s="586">
        <f>+E439</f>
        <v>0</v>
      </c>
      <c r="I439" s="589">
        <f>+H439</f>
        <v>0</v>
      </c>
      <c r="J439" s="371"/>
    </row>
    <row r="440" spans="1:10" ht="35.25" customHeight="1" x14ac:dyDescent="0.25">
      <c r="A440" s="951"/>
      <c r="B440" s="810"/>
      <c r="C440" s="279" t="s">
        <v>281</v>
      </c>
      <c r="D440" s="430"/>
      <c r="E440" s="280"/>
      <c r="F440" s="431">
        <f t="shared" si="74"/>
        <v>0</v>
      </c>
      <c r="G440" s="595">
        <v>39450</v>
      </c>
      <c r="H440" s="586">
        <f t="shared" ref="H440:H441" si="77">E440*G440</f>
        <v>0</v>
      </c>
      <c r="I440" s="589">
        <f t="shared" ref="I440:I441" si="78">+G440*F440</f>
        <v>0</v>
      </c>
      <c r="J440" s="371"/>
    </row>
    <row r="441" spans="1:10" ht="35.25" customHeight="1" thickBot="1" x14ac:dyDescent="0.3">
      <c r="A441" s="951"/>
      <c r="B441" s="810"/>
      <c r="C441" s="279" t="s">
        <v>327</v>
      </c>
      <c r="D441" s="430" t="s">
        <v>438</v>
      </c>
      <c r="E441" s="280"/>
      <c r="F441" s="431">
        <f t="shared" si="74"/>
        <v>0</v>
      </c>
      <c r="G441" s="595">
        <v>57.64</v>
      </c>
      <c r="H441" s="586">
        <f t="shared" si="77"/>
        <v>0</v>
      </c>
      <c r="I441" s="589">
        <f t="shared" si="78"/>
        <v>0</v>
      </c>
      <c r="J441" s="371"/>
    </row>
    <row r="442" spans="1:10" ht="35.25" customHeight="1" thickBot="1" x14ac:dyDescent="0.3">
      <c r="A442" s="952"/>
      <c r="B442" s="946" t="s">
        <v>269</v>
      </c>
      <c r="C442" s="947"/>
      <c r="D442" s="812"/>
      <c r="E442" s="324">
        <f>SUM(E417:E441)</f>
        <v>0</v>
      </c>
      <c r="F442" s="324">
        <f>SUM(F417:F441)</f>
        <v>40256</v>
      </c>
      <c r="G442" s="324"/>
      <c r="H442" s="583">
        <f>SUM(H417:H441)</f>
        <v>0</v>
      </c>
      <c r="I442" s="573">
        <f>SUM(I417:I441)</f>
        <v>3170762.2399999998</v>
      </c>
      <c r="J442" s="370"/>
    </row>
    <row r="443" spans="1:10" ht="35.25" customHeight="1" thickBot="1" x14ac:dyDescent="0.3">
      <c r="A443" s="816"/>
      <c r="B443" s="433"/>
      <c r="C443" s="279" t="s">
        <v>377</v>
      </c>
      <c r="D443" s="430"/>
      <c r="E443" s="280"/>
      <c r="F443" s="281">
        <f>+E443</f>
        <v>0</v>
      </c>
      <c r="G443" s="332"/>
      <c r="H443" s="582">
        <f t="shared" ref="H443" si="79">E443*G443</f>
        <v>0</v>
      </c>
      <c r="I443" s="282">
        <f t="shared" ref="I443" si="80">+G443*F443</f>
        <v>0</v>
      </c>
      <c r="J443" s="371"/>
    </row>
    <row r="444" spans="1:10" ht="35.25" customHeight="1" thickBot="1" x14ac:dyDescent="0.3">
      <c r="A444" s="816"/>
      <c r="B444" s="946" t="s">
        <v>223</v>
      </c>
      <c r="C444" s="947"/>
      <c r="D444" s="808"/>
      <c r="E444" s="324"/>
      <c r="F444" s="325"/>
      <c r="G444" s="324"/>
      <c r="H444" s="580"/>
      <c r="I444" s="322">
        <f>SUM(I443)</f>
        <v>0</v>
      </c>
      <c r="J444" s="347"/>
    </row>
    <row r="445" spans="1:10" ht="35.25" customHeight="1" thickBot="1" x14ac:dyDescent="0.3">
      <c r="A445" s="318"/>
      <c r="B445" s="948" t="s">
        <v>174</v>
      </c>
      <c r="C445" s="949"/>
      <c r="D445" s="809"/>
      <c r="E445" s="372">
        <f>+E442+E416+E383+E381</f>
        <v>123318</v>
      </c>
      <c r="F445" s="372">
        <f>+F442+F416+F383+F381</f>
        <v>652007</v>
      </c>
      <c r="G445" s="372"/>
      <c r="H445" s="372"/>
      <c r="I445" s="372">
        <f>+I442+I416+I383+I444</f>
        <v>19040676.18</v>
      </c>
      <c r="J445" s="373"/>
    </row>
    <row r="446" spans="1:10" ht="24.6" customHeight="1" thickBot="1" x14ac:dyDescent="0.3">
      <c r="A446" s="230"/>
      <c r="B446" s="230"/>
      <c r="C446" s="230"/>
      <c r="D446" s="230"/>
      <c r="E446" s="232"/>
      <c r="F446" s="232"/>
      <c r="G446" s="232"/>
      <c r="H446" s="232"/>
      <c r="I446" s="267"/>
      <c r="J446" s="234"/>
    </row>
    <row r="447" spans="1:10" ht="35.25" customHeight="1" x14ac:dyDescent="0.25">
      <c r="A447" s="881" t="s">
        <v>1</v>
      </c>
      <c r="B447" s="884" t="s">
        <v>2</v>
      </c>
      <c r="C447" s="955" t="s">
        <v>394</v>
      </c>
      <c r="D447" s="935" t="s">
        <v>395</v>
      </c>
      <c r="E447" s="959" t="s">
        <v>523</v>
      </c>
      <c r="F447" s="891"/>
      <c r="G447" s="891"/>
      <c r="H447" s="891"/>
      <c r="I447" s="891"/>
      <c r="J447" s="892"/>
    </row>
    <row r="448" spans="1:10" ht="35.25" customHeight="1" x14ac:dyDescent="0.25">
      <c r="A448" s="953"/>
      <c r="B448" s="954"/>
      <c r="C448" s="956"/>
      <c r="D448" s="936"/>
      <c r="E448" s="960" t="s">
        <v>410</v>
      </c>
      <c r="F448" s="961"/>
      <c r="G448" s="960" t="s">
        <v>409</v>
      </c>
      <c r="H448" s="962"/>
      <c r="I448" s="962"/>
      <c r="J448" s="961"/>
    </row>
    <row r="449" spans="1:10" ht="35.25" customHeight="1" x14ac:dyDescent="0.25">
      <c r="A449" s="882"/>
      <c r="B449" s="885"/>
      <c r="C449" s="957"/>
      <c r="D449" s="936"/>
      <c r="E449" s="893" t="s">
        <v>411</v>
      </c>
      <c r="F449" s="895" t="s">
        <v>412</v>
      </c>
      <c r="G449" s="964" t="s">
        <v>90</v>
      </c>
      <c r="H449" s="966" t="s">
        <v>91</v>
      </c>
      <c r="I449" s="966" t="s">
        <v>91</v>
      </c>
      <c r="J449" s="968" t="s">
        <v>12</v>
      </c>
    </row>
    <row r="450" spans="1:10" ht="35.25" customHeight="1" thickBot="1" x14ac:dyDescent="0.3">
      <c r="A450" s="883"/>
      <c r="B450" s="886"/>
      <c r="C450" s="958"/>
      <c r="D450" s="937"/>
      <c r="E450" s="894"/>
      <c r="F450" s="963"/>
      <c r="G450" s="965"/>
      <c r="H450" s="967"/>
      <c r="I450" s="967"/>
      <c r="J450" s="969"/>
    </row>
    <row r="451" spans="1:10" ht="35.25" customHeight="1" x14ac:dyDescent="0.25">
      <c r="A451" s="950" t="s">
        <v>103</v>
      </c>
      <c r="B451" s="435"/>
      <c r="C451" s="570" t="s">
        <v>437</v>
      </c>
      <c r="D451" s="630" t="s">
        <v>372</v>
      </c>
      <c r="E451" s="660"/>
      <c r="F451" s="636">
        <f>+E451+F342</f>
        <v>0</v>
      </c>
      <c r="G451" s="691">
        <v>107.85</v>
      </c>
      <c r="H451" s="584">
        <f t="shared" ref="H451:H467" si="81">E451*G451</f>
        <v>0</v>
      </c>
      <c r="I451" s="587">
        <f>+G451*F451</f>
        <v>0</v>
      </c>
      <c r="J451" s="349"/>
    </row>
    <row r="452" spans="1:10" ht="35.25" customHeight="1" x14ac:dyDescent="0.25">
      <c r="A452" s="951"/>
      <c r="B452" s="434"/>
      <c r="C452" s="437" t="s">
        <v>263</v>
      </c>
      <c r="D452" s="631" t="s">
        <v>264</v>
      </c>
      <c r="E452" s="661"/>
      <c r="F452" s="662">
        <f t="shared" ref="F452" si="82">+E452+F343</f>
        <v>0</v>
      </c>
      <c r="G452" s="658">
        <v>11</v>
      </c>
      <c r="H452" s="585">
        <f t="shared" si="81"/>
        <v>0</v>
      </c>
      <c r="I452" s="588">
        <f>+G452*F452</f>
        <v>0</v>
      </c>
      <c r="J452" s="350"/>
    </row>
    <row r="453" spans="1:10" ht="35.25" customHeight="1" x14ac:dyDescent="0.25">
      <c r="A453" s="951"/>
      <c r="B453" s="434"/>
      <c r="C453" s="437" t="s">
        <v>518</v>
      </c>
      <c r="D453" s="631" t="s">
        <v>527</v>
      </c>
      <c r="E453" s="661">
        <v>9920</v>
      </c>
      <c r="F453" s="662">
        <f>+E453</f>
        <v>9920</v>
      </c>
      <c r="G453" s="658">
        <v>135.96</v>
      </c>
      <c r="H453" s="585">
        <f t="shared" ref="H453:H454" si="83">E453*G453</f>
        <v>1348723.2000000002</v>
      </c>
      <c r="I453" s="588">
        <f t="shared" ref="I453:I454" si="84">+G453*F453</f>
        <v>1348723.2000000002</v>
      </c>
      <c r="J453" s="350"/>
    </row>
    <row r="454" spans="1:10" ht="35.25" customHeight="1" x14ac:dyDescent="0.25">
      <c r="A454" s="951"/>
      <c r="B454" s="434"/>
      <c r="C454" s="437" t="s">
        <v>518</v>
      </c>
      <c r="D454" s="631" t="s">
        <v>448</v>
      </c>
      <c r="E454" s="661"/>
      <c r="F454" s="662">
        <f>+E454</f>
        <v>0</v>
      </c>
      <c r="G454" s="658">
        <v>139.04</v>
      </c>
      <c r="H454" s="585">
        <f t="shared" si="83"/>
        <v>0</v>
      </c>
      <c r="I454" s="588">
        <f t="shared" si="84"/>
        <v>0</v>
      </c>
      <c r="J454" s="350"/>
    </row>
    <row r="455" spans="1:10" ht="35.25" customHeight="1" x14ac:dyDescent="0.25">
      <c r="A455" s="951"/>
      <c r="B455" s="434"/>
      <c r="C455" s="437" t="s">
        <v>355</v>
      </c>
      <c r="D455" s="631" t="s">
        <v>356</v>
      </c>
      <c r="E455" s="661"/>
      <c r="F455" s="662">
        <f t="shared" ref="F455:F467" si="85">+E455+F345</f>
        <v>0</v>
      </c>
      <c r="G455" s="675">
        <v>20.5</v>
      </c>
      <c r="H455" s="585">
        <f t="shared" si="81"/>
        <v>0</v>
      </c>
      <c r="I455" s="588">
        <f t="shared" ref="I455:I467" si="86">+G455*F455</f>
        <v>0</v>
      </c>
      <c r="J455" s="350"/>
    </row>
    <row r="456" spans="1:10" ht="35.25" customHeight="1" x14ac:dyDescent="0.25">
      <c r="A456" s="951"/>
      <c r="B456" s="434"/>
      <c r="C456" s="437" t="s">
        <v>287</v>
      </c>
      <c r="D456" s="631" t="s">
        <v>177</v>
      </c>
      <c r="E456" s="661"/>
      <c r="F456" s="662">
        <f t="shared" si="85"/>
        <v>0</v>
      </c>
      <c r="G456" s="658">
        <v>14.79</v>
      </c>
      <c r="H456" s="585">
        <f t="shared" si="81"/>
        <v>0</v>
      </c>
      <c r="I456" s="588">
        <f t="shared" si="86"/>
        <v>0</v>
      </c>
      <c r="J456" s="350"/>
    </row>
    <row r="457" spans="1:10" ht="35.25" customHeight="1" x14ac:dyDescent="0.25">
      <c r="A457" s="951"/>
      <c r="B457" s="434"/>
      <c r="C457" s="437" t="s">
        <v>518</v>
      </c>
      <c r="D457" s="631" t="s">
        <v>264</v>
      </c>
      <c r="E457" s="661"/>
      <c r="F457" s="662">
        <f t="shared" si="85"/>
        <v>1280</v>
      </c>
      <c r="G457" s="658">
        <v>135.96</v>
      </c>
      <c r="H457" s="585">
        <f t="shared" si="81"/>
        <v>0</v>
      </c>
      <c r="I457" s="588">
        <f t="shared" si="86"/>
        <v>174028.80000000002</v>
      </c>
      <c r="J457" s="350"/>
    </row>
    <row r="458" spans="1:10" ht="35.25" customHeight="1" x14ac:dyDescent="0.25">
      <c r="A458" s="951"/>
      <c r="B458" s="434"/>
      <c r="C458" s="437" t="s">
        <v>389</v>
      </c>
      <c r="D458" s="632" t="s">
        <v>354</v>
      </c>
      <c r="E458" s="661"/>
      <c r="F458" s="662">
        <f t="shared" si="85"/>
        <v>0</v>
      </c>
      <c r="G458" s="658">
        <v>147.58000000000001</v>
      </c>
      <c r="H458" s="585">
        <f t="shared" si="81"/>
        <v>0</v>
      </c>
      <c r="I458" s="588">
        <f t="shared" si="86"/>
        <v>0</v>
      </c>
      <c r="J458" s="350"/>
    </row>
    <row r="459" spans="1:10" ht="35.25" customHeight="1" x14ac:dyDescent="0.25">
      <c r="A459" s="951"/>
      <c r="B459" s="434"/>
      <c r="C459" s="437" t="s">
        <v>312</v>
      </c>
      <c r="D459" s="632" t="s">
        <v>440</v>
      </c>
      <c r="E459" s="661"/>
      <c r="F459" s="662">
        <f t="shared" si="85"/>
        <v>0</v>
      </c>
      <c r="G459" s="658">
        <v>18.84</v>
      </c>
      <c r="H459" s="585">
        <f t="shared" si="81"/>
        <v>0</v>
      </c>
      <c r="I459" s="588">
        <f t="shared" si="86"/>
        <v>0</v>
      </c>
      <c r="J459" s="350"/>
    </row>
    <row r="460" spans="1:10" ht="35.25" customHeight="1" x14ac:dyDescent="0.25">
      <c r="A460" s="951"/>
      <c r="B460" s="434"/>
      <c r="C460" s="437" t="s">
        <v>312</v>
      </c>
      <c r="D460" s="632" t="s">
        <v>264</v>
      </c>
      <c r="E460" s="661"/>
      <c r="F460" s="662">
        <f t="shared" si="85"/>
        <v>0</v>
      </c>
      <c r="G460" s="658">
        <v>18.84</v>
      </c>
      <c r="H460" s="585">
        <f t="shared" si="81"/>
        <v>0</v>
      </c>
      <c r="I460" s="588">
        <f t="shared" si="86"/>
        <v>0</v>
      </c>
      <c r="J460" s="350"/>
    </row>
    <row r="461" spans="1:10" ht="35.25" customHeight="1" x14ac:dyDescent="0.25">
      <c r="A461" s="951"/>
      <c r="B461" s="434"/>
      <c r="C461" s="437" t="s">
        <v>320</v>
      </c>
      <c r="D461" s="632" t="s">
        <v>231</v>
      </c>
      <c r="E461" s="661"/>
      <c r="F461" s="662">
        <f t="shared" si="85"/>
        <v>0</v>
      </c>
      <c r="G461" s="658">
        <v>21.18</v>
      </c>
      <c r="H461" s="585">
        <f t="shared" si="81"/>
        <v>0</v>
      </c>
      <c r="I461" s="588">
        <f t="shared" si="86"/>
        <v>0</v>
      </c>
      <c r="J461" s="350"/>
    </row>
    <row r="462" spans="1:10" ht="35.25" customHeight="1" x14ac:dyDescent="0.25">
      <c r="A462" s="951"/>
      <c r="B462" s="434"/>
      <c r="C462" s="437" t="s">
        <v>322</v>
      </c>
      <c r="D462" s="632" t="s">
        <v>323</v>
      </c>
      <c r="E462" s="661"/>
      <c r="F462" s="662">
        <f t="shared" si="85"/>
        <v>0</v>
      </c>
      <c r="G462" s="658">
        <v>21.28</v>
      </c>
      <c r="H462" s="585">
        <f t="shared" si="81"/>
        <v>0</v>
      </c>
      <c r="I462" s="588">
        <f t="shared" si="86"/>
        <v>0</v>
      </c>
      <c r="J462" s="350"/>
    </row>
    <row r="463" spans="1:10" ht="35.25" customHeight="1" x14ac:dyDescent="0.25">
      <c r="A463" s="951"/>
      <c r="B463" s="434"/>
      <c r="C463" s="437" t="s">
        <v>376</v>
      </c>
      <c r="D463" s="632" t="s">
        <v>372</v>
      </c>
      <c r="E463" s="661"/>
      <c r="F463" s="662">
        <f t="shared" si="85"/>
        <v>0</v>
      </c>
      <c r="G463" s="658">
        <v>143.28</v>
      </c>
      <c r="H463" s="585">
        <f t="shared" si="81"/>
        <v>0</v>
      </c>
      <c r="I463" s="588">
        <f t="shared" si="86"/>
        <v>0</v>
      </c>
      <c r="J463" s="350"/>
    </row>
    <row r="464" spans="1:10" ht="35.25" customHeight="1" x14ac:dyDescent="0.25">
      <c r="A464" s="951"/>
      <c r="B464" s="434"/>
      <c r="C464" s="437" t="s">
        <v>466</v>
      </c>
      <c r="D464" s="632"/>
      <c r="E464" s="661"/>
      <c r="F464" s="662">
        <f t="shared" si="85"/>
        <v>0</v>
      </c>
      <c r="G464" s="658">
        <v>14.79</v>
      </c>
      <c r="H464" s="585">
        <f t="shared" si="81"/>
        <v>0</v>
      </c>
      <c r="I464" s="588">
        <f t="shared" si="86"/>
        <v>0</v>
      </c>
      <c r="J464" s="350"/>
    </row>
    <row r="465" spans="1:10" ht="35.25" customHeight="1" x14ac:dyDescent="0.25">
      <c r="A465" s="951"/>
      <c r="B465" s="434"/>
      <c r="C465" s="437" t="s">
        <v>446</v>
      </c>
      <c r="D465" s="631" t="s">
        <v>177</v>
      </c>
      <c r="E465" s="661"/>
      <c r="F465" s="662">
        <f t="shared" si="85"/>
        <v>0</v>
      </c>
      <c r="G465" s="658">
        <v>14.55</v>
      </c>
      <c r="H465" s="585">
        <f t="shared" si="81"/>
        <v>0</v>
      </c>
      <c r="I465" s="588">
        <f t="shared" si="86"/>
        <v>0</v>
      </c>
      <c r="J465" s="350"/>
    </row>
    <row r="466" spans="1:10" ht="35.25" customHeight="1" x14ac:dyDescent="0.25">
      <c r="A466" s="951"/>
      <c r="B466" s="434"/>
      <c r="C466" s="437" t="s">
        <v>325</v>
      </c>
      <c r="D466" s="632" t="s">
        <v>188</v>
      </c>
      <c r="E466" s="661"/>
      <c r="F466" s="662">
        <f t="shared" si="85"/>
        <v>0</v>
      </c>
      <c r="G466" s="658">
        <v>21.28</v>
      </c>
      <c r="H466" s="585">
        <f t="shared" si="81"/>
        <v>0</v>
      </c>
      <c r="I466" s="588">
        <f t="shared" si="86"/>
        <v>0</v>
      </c>
      <c r="J466" s="350"/>
    </row>
    <row r="467" spans="1:10" ht="35.25" customHeight="1" thickBot="1" x14ac:dyDescent="0.3">
      <c r="A467" s="951"/>
      <c r="B467" s="434"/>
      <c r="C467" s="437" t="s">
        <v>334</v>
      </c>
      <c r="D467" s="633" t="s">
        <v>178</v>
      </c>
      <c r="E467" s="661"/>
      <c r="F467" s="637">
        <f t="shared" si="85"/>
        <v>0</v>
      </c>
      <c r="G467" s="658">
        <v>36.44</v>
      </c>
      <c r="H467" s="585">
        <f t="shared" si="81"/>
        <v>0</v>
      </c>
      <c r="I467" s="588">
        <f t="shared" si="86"/>
        <v>0</v>
      </c>
      <c r="J467" s="350"/>
    </row>
    <row r="468" spans="1:10" ht="35.25" customHeight="1" thickBot="1" x14ac:dyDescent="0.3">
      <c r="A468" s="951"/>
      <c r="B468" s="946" t="s">
        <v>265</v>
      </c>
      <c r="C468" s="947"/>
      <c r="D468" s="822"/>
      <c r="E468" s="324">
        <f>SUM(E451:E467)</f>
        <v>9920</v>
      </c>
      <c r="F468" s="659">
        <f>SUM(F451:F467)</f>
        <v>11200</v>
      </c>
      <c r="G468" s="324"/>
      <c r="H468" s="580">
        <f>SUM(H451:H467)</f>
        <v>1348723.2000000002</v>
      </c>
      <c r="I468" s="573">
        <f>SUM(I451:I467)</f>
        <v>1522752.0000000002</v>
      </c>
      <c r="J468" s="347"/>
    </row>
    <row r="469" spans="1:10" ht="35.25" customHeight="1" x14ac:dyDescent="0.25">
      <c r="A469" s="951"/>
      <c r="B469" s="820"/>
      <c r="C469" s="279" t="s">
        <v>270</v>
      </c>
      <c r="D469" s="430" t="s">
        <v>237</v>
      </c>
      <c r="E469" s="280"/>
      <c r="F469" s="431">
        <f t="shared" ref="F469:F490" si="87">+E469+F359</f>
        <v>0</v>
      </c>
      <c r="G469" s="571">
        <v>160.44999999999999</v>
      </c>
      <c r="H469" s="586">
        <f t="shared" ref="H469:H482" si="88">E469*G469</f>
        <v>0</v>
      </c>
      <c r="I469" s="589">
        <f t="shared" ref="I469:I482" si="89">+G469*F469</f>
        <v>0</v>
      </c>
      <c r="J469" s="371"/>
    </row>
    <row r="470" spans="1:10" ht="35.25" customHeight="1" x14ac:dyDescent="0.25">
      <c r="A470" s="951"/>
      <c r="B470" s="820"/>
      <c r="C470" s="279" t="s">
        <v>285</v>
      </c>
      <c r="D470" s="430" t="s">
        <v>237</v>
      </c>
      <c r="E470" s="280"/>
      <c r="F470" s="431">
        <f t="shared" si="87"/>
        <v>0</v>
      </c>
      <c r="G470" s="571">
        <v>160.44999999999999</v>
      </c>
      <c r="H470" s="586">
        <f t="shared" si="88"/>
        <v>0</v>
      </c>
      <c r="I470" s="589">
        <f t="shared" si="89"/>
        <v>0</v>
      </c>
      <c r="J470" s="371"/>
    </row>
    <row r="471" spans="1:10" ht="35.25" customHeight="1" x14ac:dyDescent="0.25">
      <c r="A471" s="951"/>
      <c r="B471" s="820"/>
      <c r="C471" s="279" t="s">
        <v>386</v>
      </c>
      <c r="D471" s="430" t="s">
        <v>237</v>
      </c>
      <c r="E471" s="280"/>
      <c r="F471" s="431">
        <f t="shared" si="87"/>
        <v>0</v>
      </c>
      <c r="G471" s="571">
        <v>160.44999999999999</v>
      </c>
      <c r="H471" s="586">
        <f t="shared" si="88"/>
        <v>0</v>
      </c>
      <c r="I471" s="589">
        <f t="shared" si="89"/>
        <v>0</v>
      </c>
      <c r="J471" s="371"/>
    </row>
    <row r="472" spans="1:10" ht="35.25" customHeight="1" x14ac:dyDescent="0.25">
      <c r="A472" s="951"/>
      <c r="B472" s="820"/>
      <c r="C472" s="279" t="s">
        <v>286</v>
      </c>
      <c r="D472" s="430" t="s">
        <v>93</v>
      </c>
      <c r="E472" s="280"/>
      <c r="F472" s="431">
        <f t="shared" si="87"/>
        <v>37620</v>
      </c>
      <c r="G472" s="571">
        <v>27</v>
      </c>
      <c r="H472" s="586">
        <f t="shared" si="88"/>
        <v>0</v>
      </c>
      <c r="I472" s="589">
        <f t="shared" si="89"/>
        <v>1015740</v>
      </c>
      <c r="J472" s="371"/>
    </row>
    <row r="473" spans="1:10" ht="35.25" customHeight="1" x14ac:dyDescent="0.25">
      <c r="A473" s="951"/>
      <c r="B473" s="820"/>
      <c r="C473" s="279" t="s">
        <v>286</v>
      </c>
      <c r="D473" s="430" t="s">
        <v>291</v>
      </c>
      <c r="E473" s="280"/>
      <c r="F473" s="431">
        <f t="shared" si="87"/>
        <v>0</v>
      </c>
      <c r="G473" s="571">
        <v>27.5</v>
      </c>
      <c r="H473" s="586">
        <f t="shared" si="88"/>
        <v>0</v>
      </c>
      <c r="I473" s="589">
        <f t="shared" si="89"/>
        <v>0</v>
      </c>
      <c r="J473" s="371"/>
    </row>
    <row r="474" spans="1:10" ht="35.25" customHeight="1" x14ac:dyDescent="0.25">
      <c r="A474" s="951"/>
      <c r="B474" s="820"/>
      <c r="C474" s="279" t="s">
        <v>275</v>
      </c>
      <c r="D474" s="430" t="s">
        <v>291</v>
      </c>
      <c r="E474" s="280"/>
      <c r="F474" s="431">
        <f t="shared" si="87"/>
        <v>0</v>
      </c>
      <c r="G474" s="571">
        <v>34.5</v>
      </c>
      <c r="H474" s="586">
        <f t="shared" si="88"/>
        <v>0</v>
      </c>
      <c r="I474" s="589">
        <f t="shared" si="89"/>
        <v>0</v>
      </c>
      <c r="J474" s="371"/>
    </row>
    <row r="475" spans="1:10" ht="35.25" customHeight="1" x14ac:dyDescent="0.25">
      <c r="A475" s="951"/>
      <c r="B475" s="820"/>
      <c r="C475" s="279" t="s">
        <v>467</v>
      </c>
      <c r="D475" s="430" t="s">
        <v>435</v>
      </c>
      <c r="E475" s="280"/>
      <c r="F475" s="431">
        <f t="shared" si="87"/>
        <v>0</v>
      </c>
      <c r="G475" s="571">
        <v>10.57</v>
      </c>
      <c r="H475" s="586">
        <f t="shared" si="88"/>
        <v>0</v>
      </c>
      <c r="I475" s="589">
        <f t="shared" si="89"/>
        <v>0</v>
      </c>
      <c r="J475" s="371"/>
    </row>
    <row r="476" spans="1:10" ht="35.25" customHeight="1" x14ac:dyDescent="0.25">
      <c r="A476" s="951"/>
      <c r="B476" s="820"/>
      <c r="C476" s="279" t="s">
        <v>275</v>
      </c>
      <c r="D476" s="430" t="s">
        <v>435</v>
      </c>
      <c r="E476" s="280"/>
      <c r="F476" s="431">
        <f t="shared" si="87"/>
        <v>0</v>
      </c>
      <c r="G476" s="571">
        <v>55.76</v>
      </c>
      <c r="H476" s="586">
        <f t="shared" si="88"/>
        <v>0</v>
      </c>
      <c r="I476" s="589">
        <f t="shared" si="89"/>
        <v>0</v>
      </c>
      <c r="J476" s="371"/>
    </row>
    <row r="477" spans="1:10" ht="35.25" customHeight="1" x14ac:dyDescent="0.25">
      <c r="A477" s="951"/>
      <c r="B477" s="820"/>
      <c r="C477" s="279" t="s">
        <v>419</v>
      </c>
      <c r="D477" s="430" t="s">
        <v>237</v>
      </c>
      <c r="E477" s="280"/>
      <c r="F477" s="431">
        <f t="shared" si="87"/>
        <v>0</v>
      </c>
      <c r="G477" s="571">
        <v>160.44999999999999</v>
      </c>
      <c r="H477" s="586">
        <f t="shared" si="88"/>
        <v>0</v>
      </c>
      <c r="I477" s="589">
        <f t="shared" si="89"/>
        <v>0</v>
      </c>
      <c r="J477" s="371"/>
    </row>
    <row r="478" spans="1:10" ht="35.25" customHeight="1" x14ac:dyDescent="0.25">
      <c r="A478" s="951"/>
      <c r="B478" s="820"/>
      <c r="C478" s="279" t="s">
        <v>346</v>
      </c>
      <c r="D478" s="430" t="s">
        <v>237</v>
      </c>
      <c r="E478" s="280"/>
      <c r="F478" s="431">
        <f t="shared" si="87"/>
        <v>0</v>
      </c>
      <c r="G478" s="571">
        <v>160.44999999999999</v>
      </c>
      <c r="H478" s="586">
        <f t="shared" si="88"/>
        <v>0</v>
      </c>
      <c r="I478" s="589">
        <f t="shared" si="89"/>
        <v>0</v>
      </c>
      <c r="J478" s="371"/>
    </row>
    <row r="479" spans="1:10" ht="35.25" customHeight="1" x14ac:dyDescent="0.25">
      <c r="A479" s="951"/>
      <c r="B479" s="820"/>
      <c r="C479" s="279" t="s">
        <v>385</v>
      </c>
      <c r="D479" s="430" t="s">
        <v>237</v>
      </c>
      <c r="E479" s="280"/>
      <c r="F479" s="431">
        <f t="shared" si="87"/>
        <v>0</v>
      </c>
      <c r="G479" s="571">
        <v>160.44999999999999</v>
      </c>
      <c r="H479" s="586">
        <f t="shared" si="88"/>
        <v>0</v>
      </c>
      <c r="I479" s="589">
        <f t="shared" si="89"/>
        <v>0</v>
      </c>
      <c r="J479" s="371"/>
    </row>
    <row r="480" spans="1:10" ht="35.25" customHeight="1" x14ac:dyDescent="0.25">
      <c r="A480" s="951"/>
      <c r="B480" s="820"/>
      <c r="C480" s="279" t="s">
        <v>436</v>
      </c>
      <c r="D480" s="430" t="s">
        <v>237</v>
      </c>
      <c r="E480" s="280"/>
      <c r="F480" s="431">
        <f t="shared" si="87"/>
        <v>0</v>
      </c>
      <c r="G480" s="571">
        <v>160.44999999999999</v>
      </c>
      <c r="H480" s="586">
        <f t="shared" si="88"/>
        <v>0</v>
      </c>
      <c r="I480" s="589">
        <f t="shared" si="89"/>
        <v>0</v>
      </c>
      <c r="J480" s="371"/>
    </row>
    <row r="481" spans="1:13" ht="35.25" customHeight="1" x14ac:dyDescent="0.25">
      <c r="A481" s="951"/>
      <c r="B481" s="820"/>
      <c r="C481" s="279" t="s">
        <v>301</v>
      </c>
      <c r="D481" s="430" t="s">
        <v>237</v>
      </c>
      <c r="E481" s="280"/>
      <c r="F481" s="431">
        <f t="shared" si="87"/>
        <v>0</v>
      </c>
      <c r="G481" s="571">
        <v>160.44999999999999</v>
      </c>
      <c r="H481" s="586">
        <f t="shared" si="88"/>
        <v>0</v>
      </c>
      <c r="I481" s="589">
        <f t="shared" si="89"/>
        <v>0</v>
      </c>
      <c r="J481" s="371"/>
    </row>
    <row r="482" spans="1:13" ht="35.25" customHeight="1" thickBot="1" x14ac:dyDescent="0.3">
      <c r="A482" s="951"/>
      <c r="B482" s="820"/>
      <c r="C482" s="279" t="s">
        <v>309</v>
      </c>
      <c r="D482" s="430" t="s">
        <v>237</v>
      </c>
      <c r="E482" s="280"/>
      <c r="F482" s="431">
        <f t="shared" si="87"/>
        <v>0</v>
      </c>
      <c r="G482" s="571">
        <v>160.44999999999999</v>
      </c>
      <c r="H482" s="586">
        <f t="shared" si="88"/>
        <v>0</v>
      </c>
      <c r="I482" s="589">
        <f t="shared" si="89"/>
        <v>0</v>
      </c>
      <c r="J482" s="371"/>
    </row>
    <row r="483" spans="1:13" ht="35.25" customHeight="1" thickBot="1" x14ac:dyDescent="0.3">
      <c r="A483" s="951"/>
      <c r="B483" s="946" t="s">
        <v>266</v>
      </c>
      <c r="C483" s="947"/>
      <c r="D483" s="822"/>
      <c r="E483" s="324">
        <f>SUM(E469:E482)</f>
        <v>0</v>
      </c>
      <c r="F483" s="324">
        <f t="shared" si="87"/>
        <v>37620</v>
      </c>
      <c r="G483" s="324"/>
      <c r="H483" s="580">
        <f>SUM(H469:H482)</f>
        <v>0</v>
      </c>
      <c r="I483" s="573">
        <f>SUM(I469:I482)</f>
        <v>1015740</v>
      </c>
      <c r="J483" s="347"/>
    </row>
    <row r="484" spans="1:13" ht="35.25" customHeight="1" x14ac:dyDescent="0.25">
      <c r="A484" s="951"/>
      <c r="B484" s="820"/>
      <c r="C484" s="279" t="s">
        <v>370</v>
      </c>
      <c r="D484" s="430" t="s">
        <v>371</v>
      </c>
      <c r="E484" s="280"/>
      <c r="F484" s="431">
        <f t="shared" si="87"/>
        <v>0</v>
      </c>
      <c r="G484" s="571">
        <v>5.34</v>
      </c>
      <c r="H484" s="586">
        <f t="shared" ref="H484:H490" si="90">E484*G484</f>
        <v>0</v>
      </c>
      <c r="I484" s="589">
        <f t="shared" ref="I484" si="91">+G484*F484</f>
        <v>0</v>
      </c>
      <c r="J484" s="371"/>
    </row>
    <row r="485" spans="1:13" ht="35.25" customHeight="1" x14ac:dyDescent="0.25">
      <c r="A485" s="951"/>
      <c r="B485" s="820"/>
      <c r="C485" s="279" t="s">
        <v>387</v>
      </c>
      <c r="D485" s="430" t="s">
        <v>264</v>
      </c>
      <c r="E485" s="280"/>
      <c r="F485" s="431">
        <f t="shared" si="87"/>
        <v>0</v>
      </c>
      <c r="G485" s="571">
        <v>31.73</v>
      </c>
      <c r="H485" s="586">
        <f t="shared" si="90"/>
        <v>0</v>
      </c>
      <c r="I485" s="589">
        <f>+G485*F485</f>
        <v>0</v>
      </c>
      <c r="J485" s="371"/>
    </row>
    <row r="486" spans="1:13" ht="35.25" customHeight="1" x14ac:dyDescent="0.25">
      <c r="A486" s="951"/>
      <c r="B486" s="820"/>
      <c r="C486" s="279" t="s">
        <v>390</v>
      </c>
      <c r="D486" s="430" t="s">
        <v>391</v>
      </c>
      <c r="E486" s="280"/>
      <c r="F486" s="431">
        <f t="shared" si="87"/>
        <v>0</v>
      </c>
      <c r="G486" s="571">
        <v>10.58</v>
      </c>
      <c r="H486" s="586">
        <f t="shared" si="90"/>
        <v>0</v>
      </c>
      <c r="I486" s="589">
        <f>+G486*F486</f>
        <v>0</v>
      </c>
      <c r="J486" s="371"/>
    </row>
    <row r="487" spans="1:13" ht="35.25" customHeight="1" x14ac:dyDescent="0.25">
      <c r="A487" s="951"/>
      <c r="B487" s="820"/>
      <c r="C487" s="279" t="s">
        <v>276</v>
      </c>
      <c r="D487" s="430" t="s">
        <v>277</v>
      </c>
      <c r="E487" s="280"/>
      <c r="F487" s="431">
        <f t="shared" si="87"/>
        <v>9</v>
      </c>
      <c r="G487" s="571">
        <v>2500</v>
      </c>
      <c r="H487" s="586">
        <f t="shared" si="90"/>
        <v>0</v>
      </c>
      <c r="I487" s="589">
        <f>+G487*F487</f>
        <v>22500</v>
      </c>
      <c r="J487" s="371"/>
    </row>
    <row r="488" spans="1:13" ht="35.25" customHeight="1" x14ac:dyDescent="0.25">
      <c r="A488" s="951"/>
      <c r="B488" s="820"/>
      <c r="C488" s="279" t="s">
        <v>449</v>
      </c>
      <c r="D488" s="430"/>
      <c r="E488" s="280"/>
      <c r="F488" s="431">
        <f t="shared" si="87"/>
        <v>0</v>
      </c>
      <c r="G488" s="571">
        <v>30000</v>
      </c>
      <c r="H488" s="586">
        <f t="shared" si="90"/>
        <v>0</v>
      </c>
      <c r="I488" s="589">
        <f>+G488*F488</f>
        <v>0</v>
      </c>
      <c r="J488" s="371"/>
    </row>
    <row r="489" spans="1:13" ht="35.25" customHeight="1" x14ac:dyDescent="0.25">
      <c r="A489" s="951"/>
      <c r="B489" s="820"/>
      <c r="C489" s="279" t="s">
        <v>377</v>
      </c>
      <c r="D489" s="430" t="s">
        <v>303</v>
      </c>
      <c r="E489" s="280"/>
      <c r="F489" s="431">
        <f t="shared" si="87"/>
        <v>0</v>
      </c>
      <c r="G489" s="571">
        <v>360</v>
      </c>
      <c r="H489" s="586">
        <f t="shared" si="90"/>
        <v>0</v>
      </c>
      <c r="I489" s="589">
        <f>+G489*F489</f>
        <v>0</v>
      </c>
      <c r="J489" s="371"/>
    </row>
    <row r="490" spans="1:13" ht="35.25" customHeight="1" thickBot="1" x14ac:dyDescent="0.3">
      <c r="A490" s="951"/>
      <c r="B490" s="820"/>
      <c r="C490" s="279" t="s">
        <v>425</v>
      </c>
      <c r="D490" s="430" t="s">
        <v>303</v>
      </c>
      <c r="E490" s="280"/>
      <c r="F490" s="431">
        <f t="shared" si="87"/>
        <v>0</v>
      </c>
      <c r="G490" s="572">
        <v>10</v>
      </c>
      <c r="H490" s="586">
        <f t="shared" si="90"/>
        <v>0</v>
      </c>
      <c r="I490" s="589">
        <f t="shared" ref="I490" si="92">+G490*F490</f>
        <v>0</v>
      </c>
      <c r="J490" s="371"/>
    </row>
    <row r="491" spans="1:13" ht="35.25" customHeight="1" thickBot="1" x14ac:dyDescent="0.3">
      <c r="A491" s="951"/>
      <c r="B491" s="946" t="s">
        <v>271</v>
      </c>
      <c r="C491" s="947"/>
      <c r="D491" s="822"/>
      <c r="E491" s="324">
        <f>SUM(E484:E490)</f>
        <v>0</v>
      </c>
      <c r="F491" s="324">
        <f>SUM(F484:F490)</f>
        <v>9</v>
      </c>
      <c r="G491" s="324"/>
      <c r="H491" s="580">
        <f>SUM(H484:H490)</f>
        <v>0</v>
      </c>
      <c r="I491" s="573">
        <f>SUM(I484:I490)</f>
        <v>22500</v>
      </c>
      <c r="J491" s="371"/>
    </row>
    <row r="492" spans="1:13" ht="35.25" customHeight="1" thickBot="1" x14ac:dyDescent="0.3">
      <c r="A492" s="951"/>
      <c r="B492" s="820"/>
      <c r="C492" s="279"/>
      <c r="D492" s="430"/>
      <c r="E492" s="280"/>
      <c r="F492" s="316"/>
      <c r="G492" s="572"/>
      <c r="H492" s="581"/>
      <c r="I492" s="282">
        <f t="shared" ref="I492" si="93">+G492*F492</f>
        <v>0</v>
      </c>
      <c r="J492" s="371"/>
    </row>
    <row r="493" spans="1:13" ht="35.25" customHeight="1" thickBot="1" x14ac:dyDescent="0.3">
      <c r="A493" s="952"/>
      <c r="B493" s="946" t="s">
        <v>268</v>
      </c>
      <c r="C493" s="947"/>
      <c r="D493" s="818"/>
      <c r="E493" s="324">
        <f>+E491+E483+E468</f>
        <v>9920</v>
      </c>
      <c r="F493" s="324">
        <f>+F491+F483+F468</f>
        <v>48829</v>
      </c>
      <c r="G493" s="324"/>
      <c r="H493" s="573">
        <f>+H483+H468+H491</f>
        <v>1348723.2000000002</v>
      </c>
      <c r="I493" s="573">
        <f>+I483+I468+I491</f>
        <v>2560992</v>
      </c>
      <c r="J493" s="371"/>
      <c r="K493" s="664"/>
      <c r="M493" s="664"/>
    </row>
    <row r="494" spans="1:13" ht="35.25" customHeight="1" x14ac:dyDescent="0.25">
      <c r="A494" s="950" t="s">
        <v>101</v>
      </c>
      <c r="B494" s="820"/>
      <c r="C494" s="279" t="s">
        <v>280</v>
      </c>
      <c r="D494" s="430" t="s">
        <v>178</v>
      </c>
      <c r="E494" s="280"/>
      <c r="F494" s="431">
        <f t="shared" ref="F494:F525" si="94">+E494+F384</f>
        <v>0</v>
      </c>
      <c r="G494" s="595">
        <v>13.25</v>
      </c>
      <c r="H494" s="590">
        <f t="shared" ref="H494:H525" si="95">E494*G494</f>
        <v>0</v>
      </c>
      <c r="I494" s="589">
        <f t="shared" ref="I494:I525" si="96">+G494*F494</f>
        <v>0</v>
      </c>
      <c r="J494" s="371"/>
      <c r="K494" s="664"/>
    </row>
    <row r="495" spans="1:13" ht="35.25" customHeight="1" x14ac:dyDescent="0.25">
      <c r="A495" s="951"/>
      <c r="B495" s="820"/>
      <c r="C495" s="279" t="s">
        <v>281</v>
      </c>
      <c r="D495" s="430"/>
      <c r="E495" s="280">
        <v>1</v>
      </c>
      <c r="F495" s="431">
        <f t="shared" si="94"/>
        <v>2</v>
      </c>
      <c r="G495" s="596">
        <v>34000</v>
      </c>
      <c r="H495" s="590">
        <f t="shared" si="95"/>
        <v>34000</v>
      </c>
      <c r="I495" s="589">
        <f t="shared" si="96"/>
        <v>68000</v>
      </c>
      <c r="J495" s="371"/>
      <c r="K495" s="664"/>
    </row>
    <row r="496" spans="1:13" ht="35.25" customHeight="1" x14ac:dyDescent="0.25">
      <c r="A496" s="951"/>
      <c r="B496" s="820"/>
      <c r="C496" s="279" t="s">
        <v>281</v>
      </c>
      <c r="D496" s="430"/>
      <c r="E496" s="280"/>
      <c r="F496" s="431">
        <f t="shared" si="94"/>
        <v>0</v>
      </c>
      <c r="G496" s="596">
        <v>18000</v>
      </c>
      <c r="H496" s="590">
        <f t="shared" si="95"/>
        <v>0</v>
      </c>
      <c r="I496" s="589">
        <f t="shared" si="96"/>
        <v>0</v>
      </c>
      <c r="J496" s="371"/>
    </row>
    <row r="497" spans="1:10" ht="35.25" customHeight="1" x14ac:dyDescent="0.25">
      <c r="A497" s="951"/>
      <c r="B497" s="820"/>
      <c r="C497" s="279" t="s">
        <v>515</v>
      </c>
      <c r="D497" s="430" t="s">
        <v>516</v>
      </c>
      <c r="E497" s="280"/>
      <c r="F497" s="431">
        <f t="shared" si="94"/>
        <v>135252</v>
      </c>
      <c r="G497" s="595">
        <v>25</v>
      </c>
      <c r="H497" s="590">
        <f t="shared" si="95"/>
        <v>0</v>
      </c>
      <c r="I497" s="589">
        <f t="shared" si="96"/>
        <v>3381300</v>
      </c>
      <c r="J497" s="371"/>
    </row>
    <row r="498" spans="1:10" ht="35.25" customHeight="1" x14ac:dyDescent="0.25">
      <c r="A498" s="951"/>
      <c r="B498" s="820"/>
      <c r="C498" s="279" t="s">
        <v>459</v>
      </c>
      <c r="D498" s="430" t="s">
        <v>516</v>
      </c>
      <c r="E498" s="280">
        <v>123318</v>
      </c>
      <c r="F498" s="431">
        <f t="shared" si="94"/>
        <v>437580</v>
      </c>
      <c r="G498" s="595">
        <v>25.43</v>
      </c>
      <c r="H498" s="590">
        <f t="shared" si="95"/>
        <v>3135976.7399999998</v>
      </c>
      <c r="I498" s="589">
        <f t="shared" si="96"/>
        <v>11127659.4</v>
      </c>
      <c r="J498" s="371"/>
    </row>
    <row r="499" spans="1:10" ht="35.25" customHeight="1" x14ac:dyDescent="0.25">
      <c r="A499" s="951"/>
      <c r="B499" s="820"/>
      <c r="C499" s="279" t="s">
        <v>459</v>
      </c>
      <c r="D499" s="430" t="s">
        <v>92</v>
      </c>
      <c r="E499" s="280"/>
      <c r="F499" s="431">
        <f t="shared" si="94"/>
        <v>0</v>
      </c>
      <c r="G499" s="595">
        <v>24.93</v>
      </c>
      <c r="H499" s="590">
        <f t="shared" si="95"/>
        <v>0</v>
      </c>
      <c r="I499" s="589">
        <f t="shared" si="96"/>
        <v>0</v>
      </c>
      <c r="J499" s="371"/>
    </row>
    <row r="500" spans="1:10" ht="35.25" customHeight="1" x14ac:dyDescent="0.25">
      <c r="A500" s="951"/>
      <c r="B500" s="820"/>
      <c r="C500" s="705" t="s">
        <v>460</v>
      </c>
      <c r="D500" s="706" t="s">
        <v>92</v>
      </c>
      <c r="E500" s="280"/>
      <c r="F500" s="431">
        <f t="shared" si="94"/>
        <v>0</v>
      </c>
      <c r="G500" s="595">
        <v>20.8</v>
      </c>
      <c r="H500" s="590">
        <f t="shared" si="95"/>
        <v>0</v>
      </c>
      <c r="I500" s="589">
        <f t="shared" si="96"/>
        <v>0</v>
      </c>
      <c r="J500" s="371"/>
    </row>
    <row r="501" spans="1:10" ht="35.25" customHeight="1" x14ac:dyDescent="0.25">
      <c r="A501" s="951"/>
      <c r="B501" s="820"/>
      <c r="C501" s="705" t="s">
        <v>514</v>
      </c>
      <c r="D501" s="706" t="s">
        <v>462</v>
      </c>
      <c r="E501" s="280">
        <v>123318</v>
      </c>
      <c r="F501" s="431">
        <f t="shared" si="94"/>
        <v>246636</v>
      </c>
      <c r="G501" s="595">
        <v>26.36</v>
      </c>
      <c r="H501" s="590">
        <f t="shared" si="95"/>
        <v>3250662.48</v>
      </c>
      <c r="I501" s="589">
        <f t="shared" si="96"/>
        <v>6501324.96</v>
      </c>
      <c r="J501" s="371"/>
    </row>
    <row r="502" spans="1:10" ht="35.25" customHeight="1" x14ac:dyDescent="0.25">
      <c r="A502" s="951"/>
      <c r="B502" s="820"/>
      <c r="C502" s="705" t="s">
        <v>461</v>
      </c>
      <c r="D502" s="706" t="s">
        <v>462</v>
      </c>
      <c r="E502" s="280"/>
      <c r="F502" s="431">
        <f t="shared" si="94"/>
        <v>0</v>
      </c>
      <c r="G502" s="595">
        <v>25.49</v>
      </c>
      <c r="H502" s="590">
        <f t="shared" si="95"/>
        <v>0</v>
      </c>
      <c r="I502" s="589">
        <f t="shared" si="96"/>
        <v>0</v>
      </c>
      <c r="J502" s="371"/>
    </row>
    <row r="503" spans="1:10" s="716" customFormat="1" ht="35.25" customHeight="1" x14ac:dyDescent="0.25">
      <c r="A503" s="951"/>
      <c r="B503" s="707"/>
      <c r="C503" s="708" t="s">
        <v>463</v>
      </c>
      <c r="D503" s="709" t="s">
        <v>308</v>
      </c>
      <c r="E503" s="710"/>
      <c r="F503" s="711">
        <f t="shared" si="94"/>
        <v>0</v>
      </c>
      <c r="G503" s="712">
        <v>24.41</v>
      </c>
      <c r="H503" s="713">
        <f t="shared" si="95"/>
        <v>0</v>
      </c>
      <c r="I503" s="714">
        <f t="shared" si="96"/>
        <v>0</v>
      </c>
      <c r="J503" s="715"/>
    </row>
    <row r="504" spans="1:10" ht="35.25" customHeight="1" x14ac:dyDescent="0.25">
      <c r="A504" s="951"/>
      <c r="B504" s="820"/>
      <c r="C504" s="279" t="s">
        <v>439</v>
      </c>
      <c r="D504" s="430" t="s">
        <v>421</v>
      </c>
      <c r="E504" s="280"/>
      <c r="F504" s="431">
        <f t="shared" si="94"/>
        <v>0</v>
      </c>
      <c r="G504" s="595">
        <v>20.76</v>
      </c>
      <c r="H504" s="590">
        <f t="shared" si="95"/>
        <v>0</v>
      </c>
      <c r="I504" s="589">
        <f t="shared" si="96"/>
        <v>0</v>
      </c>
      <c r="J504" s="371"/>
    </row>
    <row r="505" spans="1:10" ht="35.25" customHeight="1" x14ac:dyDescent="0.25">
      <c r="A505" s="951"/>
      <c r="B505" s="820"/>
      <c r="C505" s="279" t="s">
        <v>297</v>
      </c>
      <c r="D505" s="430" t="s">
        <v>107</v>
      </c>
      <c r="E505" s="280"/>
      <c r="F505" s="431">
        <f t="shared" si="94"/>
        <v>0</v>
      </c>
      <c r="G505" s="595">
        <v>24.93</v>
      </c>
      <c r="H505" s="590">
        <f t="shared" si="95"/>
        <v>0</v>
      </c>
      <c r="I505" s="589">
        <f t="shared" si="96"/>
        <v>0</v>
      </c>
      <c r="J505" s="371"/>
    </row>
    <row r="506" spans="1:10" ht="35.25" customHeight="1" x14ac:dyDescent="0.25">
      <c r="A506" s="951"/>
      <c r="B506" s="820"/>
      <c r="C506" s="279" t="s">
        <v>298</v>
      </c>
      <c r="D506" s="430" t="s">
        <v>279</v>
      </c>
      <c r="E506" s="280"/>
      <c r="F506" s="431">
        <f t="shared" si="94"/>
        <v>0</v>
      </c>
      <c r="G506" s="595">
        <v>24.93</v>
      </c>
      <c r="H506" s="590">
        <f t="shared" si="95"/>
        <v>0</v>
      </c>
      <c r="I506" s="589">
        <f t="shared" si="96"/>
        <v>0</v>
      </c>
      <c r="J506" s="371"/>
    </row>
    <row r="507" spans="1:10" ht="35.25" customHeight="1" x14ac:dyDescent="0.25">
      <c r="A507" s="951"/>
      <c r="B507" s="820"/>
      <c r="C507" s="279" t="s">
        <v>423</v>
      </c>
      <c r="D507" s="430" t="s">
        <v>358</v>
      </c>
      <c r="E507" s="280"/>
      <c r="F507" s="431">
        <f t="shared" si="94"/>
        <v>0</v>
      </c>
      <c r="G507" s="595">
        <v>23.78</v>
      </c>
      <c r="H507" s="590">
        <f t="shared" si="95"/>
        <v>0</v>
      </c>
      <c r="I507" s="589">
        <f t="shared" si="96"/>
        <v>0</v>
      </c>
      <c r="J507" s="371"/>
    </row>
    <row r="508" spans="1:10" ht="35.25" customHeight="1" x14ac:dyDescent="0.25">
      <c r="A508" s="951"/>
      <c r="B508" s="820"/>
      <c r="C508" s="279" t="s">
        <v>423</v>
      </c>
      <c r="D508" s="430" t="s">
        <v>308</v>
      </c>
      <c r="E508" s="280"/>
      <c r="F508" s="431">
        <f t="shared" si="94"/>
        <v>0</v>
      </c>
      <c r="G508" s="595">
        <v>23.78</v>
      </c>
      <c r="H508" s="590">
        <f t="shared" si="95"/>
        <v>0</v>
      </c>
      <c r="I508" s="589">
        <f t="shared" si="96"/>
        <v>0</v>
      </c>
      <c r="J508" s="371"/>
    </row>
    <row r="509" spans="1:10" ht="35.25" customHeight="1" x14ac:dyDescent="0.25">
      <c r="A509" s="951"/>
      <c r="B509" s="820"/>
      <c r="C509" s="279" t="s">
        <v>352</v>
      </c>
      <c r="D509" s="430" t="s">
        <v>308</v>
      </c>
      <c r="E509" s="280"/>
      <c r="F509" s="431">
        <f t="shared" si="94"/>
        <v>0</v>
      </c>
      <c r="G509" s="595">
        <v>37.4566666666</v>
      </c>
      <c r="H509" s="590">
        <f t="shared" si="95"/>
        <v>0</v>
      </c>
      <c r="I509" s="589">
        <f t="shared" si="96"/>
        <v>0</v>
      </c>
      <c r="J509" s="371"/>
    </row>
    <row r="510" spans="1:10" ht="35.25" customHeight="1" x14ac:dyDescent="0.25">
      <c r="A510" s="951"/>
      <c r="B510" s="820"/>
      <c r="C510" s="279" t="s">
        <v>353</v>
      </c>
      <c r="D510" s="430" t="s">
        <v>308</v>
      </c>
      <c r="E510" s="280"/>
      <c r="F510" s="431">
        <f t="shared" si="94"/>
        <v>0</v>
      </c>
      <c r="G510" s="595">
        <v>37.89</v>
      </c>
      <c r="H510" s="590">
        <f t="shared" si="95"/>
        <v>0</v>
      </c>
      <c r="I510" s="589">
        <f t="shared" si="96"/>
        <v>0</v>
      </c>
      <c r="J510" s="371"/>
    </row>
    <row r="511" spans="1:10" ht="35.25" customHeight="1" x14ac:dyDescent="0.25">
      <c r="A511" s="951"/>
      <c r="B511" s="820"/>
      <c r="C511" s="279" t="s">
        <v>455</v>
      </c>
      <c r="D511" s="430" t="s">
        <v>92</v>
      </c>
      <c r="E511" s="280"/>
      <c r="F511" s="431">
        <f t="shared" si="94"/>
        <v>0</v>
      </c>
      <c r="G511" s="595">
        <v>28.31</v>
      </c>
      <c r="H511" s="590">
        <f t="shared" si="95"/>
        <v>0</v>
      </c>
      <c r="I511" s="589">
        <f t="shared" si="96"/>
        <v>0</v>
      </c>
      <c r="J511" s="371"/>
    </row>
    <row r="512" spans="1:10" ht="35.25" customHeight="1" x14ac:dyDescent="0.25">
      <c r="A512" s="951"/>
      <c r="B512" s="820"/>
      <c r="C512" s="279" t="s">
        <v>455</v>
      </c>
      <c r="D512" s="430" t="s">
        <v>421</v>
      </c>
      <c r="E512" s="280"/>
      <c r="F512" s="431">
        <f t="shared" si="94"/>
        <v>0</v>
      </c>
      <c r="G512" s="595">
        <v>28.88</v>
      </c>
      <c r="H512" s="590">
        <f t="shared" si="95"/>
        <v>0</v>
      </c>
      <c r="I512" s="589">
        <f t="shared" si="96"/>
        <v>0</v>
      </c>
      <c r="J512" s="371"/>
    </row>
    <row r="513" spans="1:10" ht="35.25" customHeight="1" x14ac:dyDescent="0.25">
      <c r="A513" s="951"/>
      <c r="B513" s="820"/>
      <c r="C513" s="279" t="s">
        <v>456</v>
      </c>
      <c r="D513" s="430" t="s">
        <v>421</v>
      </c>
      <c r="E513" s="280"/>
      <c r="F513" s="431">
        <f t="shared" si="94"/>
        <v>0</v>
      </c>
      <c r="G513" s="595">
        <v>28.21</v>
      </c>
      <c r="H513" s="590">
        <f t="shared" si="95"/>
        <v>0</v>
      </c>
      <c r="I513" s="589">
        <f t="shared" si="96"/>
        <v>0</v>
      </c>
      <c r="J513" s="371"/>
    </row>
    <row r="514" spans="1:10" ht="35.25" customHeight="1" x14ac:dyDescent="0.25">
      <c r="A514" s="951"/>
      <c r="B514" s="820"/>
      <c r="C514" s="279" t="s">
        <v>457</v>
      </c>
      <c r="D514" s="430" t="s">
        <v>336</v>
      </c>
      <c r="E514" s="280"/>
      <c r="F514" s="431">
        <f t="shared" si="94"/>
        <v>0</v>
      </c>
      <c r="G514" s="595">
        <v>39</v>
      </c>
      <c r="H514" s="590">
        <f t="shared" si="95"/>
        <v>0</v>
      </c>
      <c r="I514" s="589">
        <f t="shared" si="96"/>
        <v>0</v>
      </c>
      <c r="J514" s="371"/>
    </row>
    <row r="515" spans="1:10" ht="35.25" customHeight="1" x14ac:dyDescent="0.25">
      <c r="A515" s="951"/>
      <c r="B515" s="820"/>
      <c r="C515" s="279" t="s">
        <v>457</v>
      </c>
      <c r="D515" s="430" t="s">
        <v>92</v>
      </c>
      <c r="E515" s="280"/>
      <c r="F515" s="431">
        <f t="shared" si="94"/>
        <v>0</v>
      </c>
      <c r="G515" s="595">
        <v>32.65</v>
      </c>
      <c r="H515" s="590">
        <f t="shared" si="95"/>
        <v>0</v>
      </c>
      <c r="I515" s="589">
        <f t="shared" si="96"/>
        <v>0</v>
      </c>
      <c r="J515" s="371"/>
    </row>
    <row r="516" spans="1:10" ht="35.25" customHeight="1" x14ac:dyDescent="0.25">
      <c r="A516" s="951"/>
      <c r="B516" s="820"/>
      <c r="C516" s="279" t="s">
        <v>457</v>
      </c>
      <c r="D516" s="430" t="s">
        <v>421</v>
      </c>
      <c r="E516" s="280"/>
      <c r="F516" s="431">
        <f t="shared" si="94"/>
        <v>0</v>
      </c>
      <c r="G516" s="595">
        <v>33.299999999999997</v>
      </c>
      <c r="H516" s="590">
        <f t="shared" si="95"/>
        <v>0</v>
      </c>
      <c r="I516" s="589">
        <f t="shared" si="96"/>
        <v>0</v>
      </c>
      <c r="J516" s="371"/>
    </row>
    <row r="517" spans="1:10" ht="35.25" customHeight="1" x14ac:dyDescent="0.25">
      <c r="A517" s="951"/>
      <c r="B517" s="820"/>
      <c r="C517" s="279" t="s">
        <v>298</v>
      </c>
      <c r="D517" s="430" t="s">
        <v>278</v>
      </c>
      <c r="E517" s="280"/>
      <c r="F517" s="431">
        <f t="shared" si="94"/>
        <v>0</v>
      </c>
      <c r="G517" s="595">
        <v>24.93</v>
      </c>
      <c r="H517" s="590">
        <f t="shared" si="95"/>
        <v>0</v>
      </c>
      <c r="I517" s="589">
        <f t="shared" si="96"/>
        <v>0</v>
      </c>
      <c r="J517" s="371"/>
    </row>
    <row r="518" spans="1:10" ht="35.25" customHeight="1" x14ac:dyDescent="0.25">
      <c r="A518" s="951"/>
      <c r="B518" s="820"/>
      <c r="C518" s="279" t="s">
        <v>298</v>
      </c>
      <c r="D518" s="430"/>
      <c r="E518" s="280"/>
      <c r="F518" s="431">
        <f t="shared" si="94"/>
        <v>0</v>
      </c>
      <c r="G518" s="595">
        <v>24.93</v>
      </c>
      <c r="H518" s="590">
        <f t="shared" si="95"/>
        <v>0</v>
      </c>
      <c r="I518" s="589">
        <f t="shared" si="96"/>
        <v>0</v>
      </c>
      <c r="J518" s="371"/>
    </row>
    <row r="519" spans="1:10" ht="35.25" customHeight="1" x14ac:dyDescent="0.25">
      <c r="A519" s="951"/>
      <c r="B519" s="820"/>
      <c r="C519" s="279" t="s">
        <v>315</v>
      </c>
      <c r="D519" s="430" t="s">
        <v>288</v>
      </c>
      <c r="E519" s="280"/>
      <c r="F519" s="431">
        <f t="shared" si="94"/>
        <v>0</v>
      </c>
      <c r="G519" s="595">
        <v>34.26</v>
      </c>
      <c r="H519" s="590">
        <f t="shared" si="95"/>
        <v>0</v>
      </c>
      <c r="I519" s="589">
        <f t="shared" si="96"/>
        <v>0</v>
      </c>
      <c r="J519" s="371"/>
    </row>
    <row r="520" spans="1:10" ht="35.25" customHeight="1" x14ac:dyDescent="0.25">
      <c r="A520" s="951"/>
      <c r="B520" s="820"/>
      <c r="C520" s="279" t="s">
        <v>326</v>
      </c>
      <c r="D520" s="430" t="s">
        <v>358</v>
      </c>
      <c r="E520" s="280"/>
      <c r="F520" s="431">
        <f t="shared" si="94"/>
        <v>0</v>
      </c>
      <c r="G520" s="595">
        <v>37.89</v>
      </c>
      <c r="H520" s="590">
        <f t="shared" si="95"/>
        <v>0</v>
      </c>
      <c r="I520" s="589">
        <f t="shared" si="96"/>
        <v>0</v>
      </c>
      <c r="J520" s="371"/>
    </row>
    <row r="521" spans="1:10" ht="35.25" customHeight="1" x14ac:dyDescent="0.25">
      <c r="A521" s="951"/>
      <c r="B521" s="820"/>
      <c r="C521" s="279" t="s">
        <v>361</v>
      </c>
      <c r="D521" s="430" t="s">
        <v>336</v>
      </c>
      <c r="E521" s="280"/>
      <c r="F521" s="431">
        <f t="shared" si="94"/>
        <v>0</v>
      </c>
      <c r="G521" s="595">
        <v>39</v>
      </c>
      <c r="H521" s="590">
        <f t="shared" si="95"/>
        <v>0</v>
      </c>
      <c r="I521" s="589">
        <f t="shared" si="96"/>
        <v>0</v>
      </c>
      <c r="J521" s="371"/>
    </row>
    <row r="522" spans="1:10" ht="35.25" customHeight="1" x14ac:dyDescent="0.25">
      <c r="A522" s="951"/>
      <c r="B522" s="820"/>
      <c r="C522" s="279" t="s">
        <v>298</v>
      </c>
      <c r="D522" s="430" t="s">
        <v>177</v>
      </c>
      <c r="E522" s="280"/>
      <c r="F522" s="431">
        <f t="shared" si="94"/>
        <v>0</v>
      </c>
      <c r="G522" s="595">
        <v>21.22</v>
      </c>
      <c r="H522" s="590">
        <f t="shared" si="95"/>
        <v>0</v>
      </c>
      <c r="I522" s="589">
        <f t="shared" si="96"/>
        <v>0</v>
      </c>
      <c r="J522" s="371"/>
    </row>
    <row r="523" spans="1:10" ht="35.25" customHeight="1" x14ac:dyDescent="0.25">
      <c r="A523" s="951"/>
      <c r="B523" s="820"/>
      <c r="C523" s="279" t="s">
        <v>297</v>
      </c>
      <c r="D523" s="430" t="s">
        <v>177</v>
      </c>
      <c r="E523" s="280"/>
      <c r="F523" s="431">
        <f t="shared" si="94"/>
        <v>0</v>
      </c>
      <c r="G523" s="595">
        <v>21.22</v>
      </c>
      <c r="H523" s="590">
        <f t="shared" si="95"/>
        <v>0</v>
      </c>
      <c r="I523" s="589">
        <f t="shared" si="96"/>
        <v>0</v>
      </c>
      <c r="J523" s="371"/>
    </row>
    <row r="524" spans="1:10" ht="35.25" customHeight="1" x14ac:dyDescent="0.25">
      <c r="A524" s="951"/>
      <c r="B524" s="820"/>
      <c r="C524" s="279" t="s">
        <v>337</v>
      </c>
      <c r="D524" s="430" t="s">
        <v>303</v>
      </c>
      <c r="E524" s="280"/>
      <c r="F524" s="431">
        <f t="shared" si="94"/>
        <v>0</v>
      </c>
      <c r="G524" s="595">
        <v>10000</v>
      </c>
      <c r="H524" s="590">
        <f t="shared" si="95"/>
        <v>0</v>
      </c>
      <c r="I524" s="589">
        <f t="shared" si="96"/>
        <v>0</v>
      </c>
      <c r="J524" s="371"/>
    </row>
    <row r="525" spans="1:10" ht="35.25" customHeight="1" thickBot="1" x14ac:dyDescent="0.3">
      <c r="A525" s="951"/>
      <c r="B525" s="820"/>
      <c r="C525" s="279" t="s">
        <v>302</v>
      </c>
      <c r="D525" s="430" t="s">
        <v>303</v>
      </c>
      <c r="E525" s="280"/>
      <c r="F525" s="431">
        <f t="shared" si="94"/>
        <v>0</v>
      </c>
      <c r="G525" s="595">
        <v>360</v>
      </c>
      <c r="H525" s="590">
        <f t="shared" si="95"/>
        <v>0</v>
      </c>
      <c r="I525" s="589">
        <f t="shared" si="96"/>
        <v>0</v>
      </c>
      <c r="J525" s="371"/>
    </row>
    <row r="526" spans="1:10" ht="35.25" customHeight="1" thickBot="1" x14ac:dyDescent="0.3">
      <c r="A526" s="952"/>
      <c r="B526" s="946" t="s">
        <v>267</v>
      </c>
      <c r="C526" s="947"/>
      <c r="D526" s="822"/>
      <c r="E526" s="324">
        <f>SUM(E494:E525)</f>
        <v>246637</v>
      </c>
      <c r="F526" s="324">
        <f>SUM(F494:F525)</f>
        <v>819470</v>
      </c>
      <c r="G526" s="324"/>
      <c r="H526" s="580">
        <f>SUM(H494:H525)</f>
        <v>6420639.2199999997</v>
      </c>
      <c r="I526" s="573">
        <f>SUM(I494:I525)</f>
        <v>21078284.359999999</v>
      </c>
      <c r="J526" s="371"/>
    </row>
    <row r="527" spans="1:10" ht="35.25" customHeight="1" x14ac:dyDescent="0.25">
      <c r="A527" s="950" t="s">
        <v>102</v>
      </c>
      <c r="B527" s="820"/>
      <c r="C527" s="279" t="s">
        <v>272</v>
      </c>
      <c r="D527" s="430" t="s">
        <v>237</v>
      </c>
      <c r="E527" s="280"/>
      <c r="F527" s="431">
        <f t="shared" ref="F527:F551" si="97">+E527+F417</f>
        <v>592</v>
      </c>
      <c r="G527" s="595">
        <v>430.02</v>
      </c>
      <c r="H527" s="586">
        <f>E527*G527</f>
        <v>0</v>
      </c>
      <c r="I527" s="589">
        <f t="shared" ref="I527:I548" si="98">+G527*F527</f>
        <v>254571.84</v>
      </c>
      <c r="J527" s="371"/>
    </row>
    <row r="528" spans="1:10" ht="35.25" customHeight="1" x14ac:dyDescent="0.25">
      <c r="A528" s="951"/>
      <c r="B528" s="820"/>
      <c r="C528" s="279" t="s">
        <v>273</v>
      </c>
      <c r="D528" s="430" t="s">
        <v>237</v>
      </c>
      <c r="E528" s="280"/>
      <c r="F528" s="431">
        <f t="shared" si="97"/>
        <v>0</v>
      </c>
      <c r="G528" s="595">
        <v>445.38</v>
      </c>
      <c r="H528" s="586">
        <f t="shared" ref="H528:H548" si="99">E528*G528</f>
        <v>0</v>
      </c>
      <c r="I528" s="589">
        <f t="shared" si="98"/>
        <v>0</v>
      </c>
      <c r="J528" s="371"/>
    </row>
    <row r="529" spans="1:10" ht="35.25" customHeight="1" x14ac:dyDescent="0.25">
      <c r="A529" s="951"/>
      <c r="B529" s="820"/>
      <c r="C529" s="279" t="s">
        <v>388</v>
      </c>
      <c r="D529" s="430" t="s">
        <v>237</v>
      </c>
      <c r="E529" s="280"/>
      <c r="F529" s="431">
        <f t="shared" si="97"/>
        <v>0</v>
      </c>
      <c r="G529" s="595">
        <v>445.38</v>
      </c>
      <c r="H529" s="586">
        <f t="shared" si="99"/>
        <v>0</v>
      </c>
      <c r="I529" s="589">
        <f t="shared" si="98"/>
        <v>0</v>
      </c>
      <c r="J529" s="371"/>
    </row>
    <row r="530" spans="1:10" ht="35.25" customHeight="1" x14ac:dyDescent="0.25">
      <c r="A530" s="951"/>
      <c r="B530" s="820"/>
      <c r="C530" s="279" t="s">
        <v>300</v>
      </c>
      <c r="D530" s="430" t="s">
        <v>237</v>
      </c>
      <c r="E530" s="280"/>
      <c r="F530" s="431">
        <f t="shared" si="97"/>
        <v>0</v>
      </c>
      <c r="G530" s="595">
        <v>63.55</v>
      </c>
      <c r="H530" s="586">
        <f t="shared" si="99"/>
        <v>0</v>
      </c>
      <c r="I530" s="589">
        <f t="shared" si="98"/>
        <v>0</v>
      </c>
      <c r="J530" s="371"/>
    </row>
    <row r="531" spans="1:10" ht="35.25" customHeight="1" x14ac:dyDescent="0.25">
      <c r="A531" s="951"/>
      <c r="B531" s="820"/>
      <c r="C531" s="279" t="s">
        <v>274</v>
      </c>
      <c r="D531" s="430" t="s">
        <v>237</v>
      </c>
      <c r="E531" s="836">
        <v>30240</v>
      </c>
      <c r="F531" s="837">
        <f t="shared" si="97"/>
        <v>63900</v>
      </c>
      <c r="G531" s="838">
        <v>71.44</v>
      </c>
      <c r="H531" s="586">
        <f t="shared" si="99"/>
        <v>2160345.6</v>
      </c>
      <c r="I531" s="589">
        <f t="shared" si="98"/>
        <v>4565016</v>
      </c>
      <c r="J531" s="371"/>
    </row>
    <row r="532" spans="1:10" ht="35.25" customHeight="1" x14ac:dyDescent="0.25">
      <c r="A532" s="951"/>
      <c r="B532" s="820"/>
      <c r="C532" s="279" t="s">
        <v>275</v>
      </c>
      <c r="D532" s="430" t="s">
        <v>237</v>
      </c>
      <c r="E532" s="280"/>
      <c r="F532" s="431">
        <f t="shared" si="97"/>
        <v>0</v>
      </c>
      <c r="G532" s="595">
        <v>36.5</v>
      </c>
      <c r="H532" s="586">
        <f t="shared" si="99"/>
        <v>0</v>
      </c>
      <c r="I532" s="589">
        <f t="shared" si="98"/>
        <v>0</v>
      </c>
      <c r="J532" s="371"/>
    </row>
    <row r="533" spans="1:10" ht="35.25" customHeight="1" x14ac:dyDescent="0.25">
      <c r="A533" s="951"/>
      <c r="B533" s="820"/>
      <c r="C533" s="279" t="s">
        <v>424</v>
      </c>
      <c r="D533" s="430" t="s">
        <v>237</v>
      </c>
      <c r="E533" s="280"/>
      <c r="F533" s="431">
        <f t="shared" si="97"/>
        <v>0</v>
      </c>
      <c r="G533" s="595">
        <v>320.35000000000002</v>
      </c>
      <c r="H533" s="586">
        <f t="shared" si="99"/>
        <v>0</v>
      </c>
      <c r="I533" s="589">
        <f t="shared" si="98"/>
        <v>0</v>
      </c>
      <c r="J533" s="371"/>
    </row>
    <row r="534" spans="1:10" ht="35.25" customHeight="1" x14ac:dyDescent="0.25">
      <c r="A534" s="951"/>
      <c r="B534" s="820"/>
      <c r="C534" s="279" t="s">
        <v>284</v>
      </c>
      <c r="D534" s="430" t="s">
        <v>237</v>
      </c>
      <c r="E534" s="280"/>
      <c r="F534" s="431">
        <f t="shared" si="97"/>
        <v>0</v>
      </c>
      <c r="G534" s="595">
        <v>320.35000000000002</v>
      </c>
      <c r="H534" s="586">
        <f t="shared" si="99"/>
        <v>0</v>
      </c>
      <c r="I534" s="589">
        <f t="shared" si="98"/>
        <v>0</v>
      </c>
      <c r="J534" s="371"/>
    </row>
    <row r="535" spans="1:10" ht="35.25" customHeight="1" x14ac:dyDescent="0.25">
      <c r="A535" s="951"/>
      <c r="B535" s="820"/>
      <c r="C535" s="279" t="s">
        <v>295</v>
      </c>
      <c r="D535" s="430" t="s">
        <v>237</v>
      </c>
      <c r="E535" s="280"/>
      <c r="F535" s="431">
        <f t="shared" si="97"/>
        <v>0</v>
      </c>
      <c r="G535" s="595">
        <v>434.41</v>
      </c>
      <c r="H535" s="586">
        <f t="shared" si="99"/>
        <v>0</v>
      </c>
      <c r="I535" s="589">
        <f t="shared" si="98"/>
        <v>0</v>
      </c>
      <c r="J535" s="371"/>
    </row>
    <row r="536" spans="1:10" ht="35.25" customHeight="1" x14ac:dyDescent="0.25">
      <c r="A536" s="951"/>
      <c r="B536" s="820"/>
      <c r="C536" s="279" t="s">
        <v>281</v>
      </c>
      <c r="D536" s="430" t="s">
        <v>237</v>
      </c>
      <c r="E536" s="280"/>
      <c r="F536" s="431">
        <f t="shared" si="97"/>
        <v>0</v>
      </c>
      <c r="G536" s="595">
        <v>29690</v>
      </c>
      <c r="H536" s="586">
        <f t="shared" si="99"/>
        <v>0</v>
      </c>
      <c r="I536" s="589">
        <f t="shared" si="98"/>
        <v>0</v>
      </c>
      <c r="J536" s="371"/>
    </row>
    <row r="537" spans="1:10" ht="35.25" customHeight="1" x14ac:dyDescent="0.25">
      <c r="A537" s="951"/>
      <c r="B537" s="820"/>
      <c r="C537" s="279" t="s">
        <v>281</v>
      </c>
      <c r="D537" s="430" t="s">
        <v>237</v>
      </c>
      <c r="E537" s="280"/>
      <c r="F537" s="431">
        <f t="shared" si="97"/>
        <v>0</v>
      </c>
      <c r="G537" s="595">
        <v>26445</v>
      </c>
      <c r="H537" s="586">
        <f t="shared" si="99"/>
        <v>0</v>
      </c>
      <c r="I537" s="589">
        <f t="shared" si="98"/>
        <v>0</v>
      </c>
      <c r="J537" s="371"/>
    </row>
    <row r="538" spans="1:10" ht="35.25" customHeight="1" x14ac:dyDescent="0.25">
      <c r="A538" s="951"/>
      <c r="B538" s="820"/>
      <c r="C538" s="279" t="s">
        <v>281</v>
      </c>
      <c r="D538" s="430"/>
      <c r="E538" s="280"/>
      <c r="F538" s="431">
        <f t="shared" si="97"/>
        <v>4</v>
      </c>
      <c r="G538" s="595">
        <v>29690</v>
      </c>
      <c r="H538" s="586">
        <f t="shared" si="99"/>
        <v>0</v>
      </c>
      <c r="I538" s="589">
        <f t="shared" si="98"/>
        <v>118760</v>
      </c>
      <c r="J538" s="371"/>
    </row>
    <row r="539" spans="1:10" ht="35.25" customHeight="1" x14ac:dyDescent="0.25">
      <c r="A539" s="951"/>
      <c r="B539" s="820"/>
      <c r="C539" s="279" t="s">
        <v>310</v>
      </c>
      <c r="D539" s="430" t="s">
        <v>335</v>
      </c>
      <c r="E539" s="280"/>
      <c r="F539" s="431">
        <f t="shared" si="97"/>
        <v>0</v>
      </c>
      <c r="G539" s="595">
        <v>50</v>
      </c>
      <c r="H539" s="586">
        <f t="shared" si="99"/>
        <v>0</v>
      </c>
      <c r="I539" s="589">
        <f t="shared" si="98"/>
        <v>0</v>
      </c>
      <c r="J539" s="371"/>
    </row>
    <row r="540" spans="1:10" ht="35.25" customHeight="1" x14ac:dyDescent="0.25">
      <c r="A540" s="951"/>
      <c r="B540" s="820"/>
      <c r="C540" s="279" t="s">
        <v>310</v>
      </c>
      <c r="D540" s="430"/>
      <c r="E540" s="280"/>
      <c r="F540" s="431">
        <f t="shared" si="97"/>
        <v>0</v>
      </c>
      <c r="G540" s="595">
        <v>10</v>
      </c>
      <c r="H540" s="586">
        <f t="shared" si="99"/>
        <v>0</v>
      </c>
      <c r="I540" s="589">
        <f t="shared" si="98"/>
        <v>0</v>
      </c>
      <c r="J540" s="371"/>
    </row>
    <row r="541" spans="1:10" ht="35.25" customHeight="1" x14ac:dyDescent="0.25">
      <c r="A541" s="951"/>
      <c r="B541" s="820"/>
      <c r="C541" s="279" t="s">
        <v>509</v>
      </c>
      <c r="D541" s="430" t="s">
        <v>237</v>
      </c>
      <c r="E541" s="280"/>
      <c r="F541" s="431">
        <f t="shared" si="97"/>
        <v>6000</v>
      </c>
      <c r="G541" s="595">
        <v>65.459999999999994</v>
      </c>
      <c r="H541" s="586">
        <f t="shared" si="99"/>
        <v>0</v>
      </c>
      <c r="I541" s="589">
        <f t="shared" si="98"/>
        <v>392759.99999999994</v>
      </c>
      <c r="J541" s="371"/>
    </row>
    <row r="542" spans="1:10" ht="35.25" customHeight="1" x14ac:dyDescent="0.25">
      <c r="A542" s="951"/>
      <c r="B542" s="820"/>
      <c r="C542" s="279" t="s">
        <v>327</v>
      </c>
      <c r="D542" s="430" t="s">
        <v>362</v>
      </c>
      <c r="E542" s="280"/>
      <c r="F542" s="431">
        <f t="shared" si="97"/>
        <v>0</v>
      </c>
      <c r="G542" s="595">
        <v>57.64</v>
      </c>
      <c r="H542" s="586">
        <f t="shared" si="99"/>
        <v>0</v>
      </c>
      <c r="I542" s="589">
        <f t="shared" si="98"/>
        <v>0</v>
      </c>
      <c r="J542" s="371"/>
    </row>
    <row r="543" spans="1:10" ht="35.25" customHeight="1" x14ac:dyDescent="0.25">
      <c r="A543" s="951"/>
      <c r="B543" s="820"/>
      <c r="C543" s="279" t="s">
        <v>328</v>
      </c>
      <c r="D543" s="430" t="s">
        <v>329</v>
      </c>
      <c r="E543" s="280"/>
      <c r="F543" s="431">
        <f t="shared" si="97"/>
        <v>0</v>
      </c>
      <c r="G543" s="595">
        <v>434.41</v>
      </c>
      <c r="H543" s="586">
        <f t="shared" si="99"/>
        <v>0</v>
      </c>
      <c r="I543" s="589">
        <f t="shared" si="98"/>
        <v>0</v>
      </c>
      <c r="J543" s="371"/>
    </row>
    <row r="544" spans="1:10" ht="35.25" customHeight="1" x14ac:dyDescent="0.25">
      <c r="A544" s="951"/>
      <c r="B544" s="820"/>
      <c r="C544" s="279" t="s">
        <v>341</v>
      </c>
      <c r="D544" s="430" t="s">
        <v>237</v>
      </c>
      <c r="E544" s="280"/>
      <c r="F544" s="431">
        <f t="shared" si="97"/>
        <v>0</v>
      </c>
      <c r="G544" s="595">
        <v>624.26</v>
      </c>
      <c r="H544" s="586">
        <f t="shared" si="99"/>
        <v>0</v>
      </c>
      <c r="I544" s="589">
        <f t="shared" si="98"/>
        <v>0</v>
      </c>
      <c r="J544" s="371"/>
    </row>
    <row r="545" spans="1:10" ht="35.25" customHeight="1" x14ac:dyDescent="0.25">
      <c r="A545" s="951"/>
      <c r="B545" s="820"/>
      <c r="C545" s="279" t="s">
        <v>330</v>
      </c>
      <c r="D545" s="430" t="s">
        <v>329</v>
      </c>
      <c r="E545" s="280"/>
      <c r="F545" s="431">
        <f t="shared" si="97"/>
        <v>0</v>
      </c>
      <c r="G545" s="595">
        <v>63.55</v>
      </c>
      <c r="H545" s="586">
        <f t="shared" si="99"/>
        <v>0</v>
      </c>
      <c r="I545" s="589">
        <f t="shared" si="98"/>
        <v>0</v>
      </c>
      <c r="J545" s="371"/>
    </row>
    <row r="546" spans="1:10" ht="35.25" customHeight="1" x14ac:dyDescent="0.25">
      <c r="A546" s="951"/>
      <c r="B546" s="820"/>
      <c r="C546" s="279" t="s">
        <v>369</v>
      </c>
      <c r="D546" s="430" t="s">
        <v>237</v>
      </c>
      <c r="E546" s="280"/>
      <c r="F546" s="431">
        <f t="shared" si="97"/>
        <v>0</v>
      </c>
      <c r="G546" s="595">
        <v>59.96</v>
      </c>
      <c r="H546" s="586">
        <f t="shared" si="99"/>
        <v>0</v>
      </c>
      <c r="I546" s="589">
        <f t="shared" si="98"/>
        <v>0</v>
      </c>
      <c r="J546" s="371"/>
    </row>
    <row r="547" spans="1:10" ht="35.25" customHeight="1" x14ac:dyDescent="0.25">
      <c r="A547" s="951"/>
      <c r="B547" s="820"/>
      <c r="C547" s="279" t="s">
        <v>417</v>
      </c>
      <c r="D547" s="430" t="s">
        <v>329</v>
      </c>
      <c r="E547" s="280"/>
      <c r="F547" s="431">
        <f t="shared" si="97"/>
        <v>0</v>
      </c>
      <c r="G547" s="595">
        <v>53.86</v>
      </c>
      <c r="H547" s="586">
        <f t="shared" si="99"/>
        <v>0</v>
      </c>
      <c r="I547" s="589">
        <f t="shared" si="98"/>
        <v>0</v>
      </c>
      <c r="J547" s="371"/>
    </row>
    <row r="548" spans="1:10" ht="35.25" customHeight="1" x14ac:dyDescent="0.25">
      <c r="A548" s="951"/>
      <c r="B548" s="820"/>
      <c r="C548" s="279" t="s">
        <v>377</v>
      </c>
      <c r="D548" s="430"/>
      <c r="E548" s="280"/>
      <c r="F548" s="431">
        <f t="shared" si="97"/>
        <v>0</v>
      </c>
      <c r="G548" s="595">
        <v>360</v>
      </c>
      <c r="H548" s="586">
        <f t="shared" si="99"/>
        <v>0</v>
      </c>
      <c r="I548" s="589">
        <f t="shared" si="98"/>
        <v>0</v>
      </c>
      <c r="J548" s="371"/>
    </row>
    <row r="549" spans="1:10" ht="35.25" customHeight="1" x14ac:dyDescent="0.25">
      <c r="A549" s="951"/>
      <c r="B549" s="820"/>
      <c r="C549" s="279" t="s">
        <v>465</v>
      </c>
      <c r="D549" s="430"/>
      <c r="E549" s="280"/>
      <c r="F549" s="431">
        <f t="shared" si="97"/>
        <v>0</v>
      </c>
      <c r="G549" s="595"/>
      <c r="H549" s="586">
        <f>+E549</f>
        <v>0</v>
      </c>
      <c r="I549" s="589">
        <f>+H549</f>
        <v>0</v>
      </c>
      <c r="J549" s="371"/>
    </row>
    <row r="550" spans="1:10" ht="35.25" customHeight="1" x14ac:dyDescent="0.25">
      <c r="A550" s="951"/>
      <c r="B550" s="820"/>
      <c r="C550" s="279" t="s">
        <v>281</v>
      </c>
      <c r="D550" s="430"/>
      <c r="E550" s="280"/>
      <c r="F550" s="431">
        <f t="shared" si="97"/>
        <v>0</v>
      </c>
      <c r="G550" s="595">
        <v>39450</v>
      </c>
      <c r="H550" s="586">
        <f t="shared" ref="H550:H551" si="100">E550*G550</f>
        <v>0</v>
      </c>
      <c r="I550" s="589">
        <f t="shared" ref="I550:I551" si="101">+G550*F550</f>
        <v>0</v>
      </c>
      <c r="J550" s="371"/>
    </row>
    <row r="551" spans="1:10" ht="35.25" customHeight="1" thickBot="1" x14ac:dyDescent="0.3">
      <c r="A551" s="951"/>
      <c r="B551" s="820"/>
      <c r="C551" s="279" t="s">
        <v>327</v>
      </c>
      <c r="D551" s="430" t="s">
        <v>438</v>
      </c>
      <c r="E551" s="280"/>
      <c r="F551" s="431">
        <f t="shared" si="97"/>
        <v>0</v>
      </c>
      <c r="G551" s="595">
        <v>57.64</v>
      </c>
      <c r="H551" s="586">
        <f t="shared" si="100"/>
        <v>0</v>
      </c>
      <c r="I551" s="589">
        <f t="shared" si="101"/>
        <v>0</v>
      </c>
      <c r="J551" s="371"/>
    </row>
    <row r="552" spans="1:10" ht="35.25" customHeight="1" thickBot="1" x14ac:dyDescent="0.3">
      <c r="A552" s="952"/>
      <c r="B552" s="946" t="s">
        <v>269</v>
      </c>
      <c r="C552" s="947"/>
      <c r="D552" s="822"/>
      <c r="E552" s="324">
        <f>SUM(E527:E551)</f>
        <v>30240</v>
      </c>
      <c r="F552" s="324">
        <f>SUM(F527:F551)</f>
        <v>70496</v>
      </c>
      <c r="G552" s="324"/>
      <c r="H552" s="583">
        <f>SUM(H527:H551)</f>
        <v>2160345.6</v>
      </c>
      <c r="I552" s="573">
        <f>SUM(I527:I551)</f>
        <v>5331107.8399999999</v>
      </c>
      <c r="J552" s="370"/>
    </row>
    <row r="553" spans="1:10" ht="35.25" customHeight="1" thickBot="1" x14ac:dyDescent="0.3">
      <c r="A553" s="826"/>
      <c r="B553" s="433"/>
      <c r="C553" s="279" t="s">
        <v>377</v>
      </c>
      <c r="D553" s="430"/>
      <c r="E553" s="280"/>
      <c r="F553" s="281">
        <f>+E553</f>
        <v>0</v>
      </c>
      <c r="G553" s="332"/>
      <c r="H553" s="582">
        <f t="shared" ref="H553" si="102">E553*G553</f>
        <v>0</v>
      </c>
      <c r="I553" s="282">
        <f t="shared" ref="I553" si="103">+G553*F553</f>
        <v>0</v>
      </c>
      <c r="J553" s="371"/>
    </row>
    <row r="554" spans="1:10" ht="35.25" customHeight="1" thickBot="1" x14ac:dyDescent="0.3">
      <c r="A554" s="826"/>
      <c r="B554" s="946" t="s">
        <v>223</v>
      </c>
      <c r="C554" s="947"/>
      <c r="D554" s="818"/>
      <c r="E554" s="324"/>
      <c r="F554" s="325"/>
      <c r="G554" s="324"/>
      <c r="H554" s="580"/>
      <c r="I554" s="322">
        <f>SUM(I553)</f>
        <v>0</v>
      </c>
      <c r="J554" s="347"/>
    </row>
    <row r="555" spans="1:10" ht="35.25" customHeight="1" thickBot="1" x14ac:dyDescent="0.3">
      <c r="A555" s="318"/>
      <c r="B555" s="948" t="s">
        <v>174</v>
      </c>
      <c r="C555" s="949"/>
      <c r="D555" s="819"/>
      <c r="E555" s="372">
        <f>+E552+E526+E493+E491</f>
        <v>286797</v>
      </c>
      <c r="F555" s="372">
        <f>+F552+F526+F493+F491</f>
        <v>938804</v>
      </c>
      <c r="G555" s="372"/>
      <c r="H555" s="372"/>
      <c r="I555" s="372">
        <f>+I552+I526+I493+I554</f>
        <v>28970384.199999999</v>
      </c>
      <c r="J555" s="373"/>
    </row>
    <row r="556" spans="1:10" ht="24.6" customHeight="1" thickBot="1" x14ac:dyDescent="0.3">
      <c r="A556" s="230"/>
      <c r="B556" s="230"/>
      <c r="C556" s="230"/>
      <c r="D556" s="230"/>
      <c r="E556" s="232"/>
      <c r="F556" s="232"/>
      <c r="G556" s="232"/>
      <c r="H556" s="232"/>
      <c r="I556" s="267"/>
      <c r="J556" s="234"/>
    </row>
    <row r="557" spans="1:10" ht="35.25" customHeight="1" x14ac:dyDescent="0.25">
      <c r="A557" s="881" t="s">
        <v>1</v>
      </c>
      <c r="B557" s="884" t="s">
        <v>2</v>
      </c>
      <c r="C557" s="955" t="s">
        <v>394</v>
      </c>
      <c r="D557" s="935" t="s">
        <v>395</v>
      </c>
      <c r="E557" s="959" t="s">
        <v>530</v>
      </c>
      <c r="F557" s="891"/>
      <c r="G557" s="891"/>
      <c r="H557" s="891"/>
      <c r="I557" s="891"/>
      <c r="J557" s="892"/>
    </row>
    <row r="558" spans="1:10" ht="35.25" customHeight="1" x14ac:dyDescent="0.25">
      <c r="A558" s="953"/>
      <c r="B558" s="954"/>
      <c r="C558" s="956"/>
      <c r="D558" s="936"/>
      <c r="E558" s="960" t="s">
        <v>410</v>
      </c>
      <c r="F558" s="961"/>
      <c r="G558" s="960" t="s">
        <v>409</v>
      </c>
      <c r="H558" s="962"/>
      <c r="I558" s="962"/>
      <c r="J558" s="961"/>
    </row>
    <row r="559" spans="1:10" ht="35.25" customHeight="1" x14ac:dyDescent="0.25">
      <c r="A559" s="882"/>
      <c r="B559" s="885"/>
      <c r="C559" s="957"/>
      <c r="D559" s="936"/>
      <c r="E559" s="893" t="s">
        <v>411</v>
      </c>
      <c r="F559" s="895" t="s">
        <v>412</v>
      </c>
      <c r="G559" s="964" t="s">
        <v>90</v>
      </c>
      <c r="H559" s="966" t="s">
        <v>91</v>
      </c>
      <c r="I559" s="966" t="s">
        <v>91</v>
      </c>
      <c r="J559" s="968" t="s">
        <v>12</v>
      </c>
    </row>
    <row r="560" spans="1:10" ht="35.25" customHeight="1" thickBot="1" x14ac:dyDescent="0.3">
      <c r="A560" s="883"/>
      <c r="B560" s="886"/>
      <c r="C560" s="958"/>
      <c r="D560" s="937"/>
      <c r="E560" s="894"/>
      <c r="F560" s="963"/>
      <c r="G560" s="965"/>
      <c r="H560" s="967"/>
      <c r="I560" s="967"/>
      <c r="J560" s="969"/>
    </row>
    <row r="561" spans="1:10" ht="35.25" customHeight="1" x14ac:dyDescent="0.25">
      <c r="A561" s="950" t="s">
        <v>103</v>
      </c>
      <c r="B561" s="435"/>
      <c r="C561" s="570" t="s">
        <v>437</v>
      </c>
      <c r="D561" s="630" t="s">
        <v>372</v>
      </c>
      <c r="E561" s="660"/>
      <c r="F561" s="636">
        <f>+E561+F451</f>
        <v>0</v>
      </c>
      <c r="G561" s="691">
        <v>107.85</v>
      </c>
      <c r="H561" s="584">
        <f t="shared" ref="H561:H577" si="104">E561*G561</f>
        <v>0</v>
      </c>
      <c r="I561" s="587">
        <f>+G561*F561</f>
        <v>0</v>
      </c>
      <c r="J561" s="349"/>
    </row>
    <row r="562" spans="1:10" ht="35.25" customHeight="1" x14ac:dyDescent="0.25">
      <c r="A562" s="951"/>
      <c r="B562" s="434"/>
      <c r="C562" s="437" t="s">
        <v>263</v>
      </c>
      <c r="D562" s="631" t="s">
        <v>264</v>
      </c>
      <c r="E562" s="661"/>
      <c r="F562" s="662">
        <f>+E562+F452</f>
        <v>0</v>
      </c>
      <c r="G562" s="658">
        <v>11</v>
      </c>
      <c r="H562" s="585">
        <f t="shared" si="104"/>
        <v>0</v>
      </c>
      <c r="I562" s="588">
        <f>+G562*F562</f>
        <v>0</v>
      </c>
      <c r="J562" s="350"/>
    </row>
    <row r="563" spans="1:10" ht="35.25" customHeight="1" x14ac:dyDescent="0.25">
      <c r="A563" s="951"/>
      <c r="B563" s="434"/>
      <c r="C563" s="437" t="s">
        <v>518</v>
      </c>
      <c r="D563" s="631" t="s">
        <v>527</v>
      </c>
      <c r="E563" s="661"/>
      <c r="F563" s="662">
        <f t="shared" ref="F563:F565" si="105">+E563+F453</f>
        <v>9920</v>
      </c>
      <c r="G563" s="658">
        <v>135.96</v>
      </c>
      <c r="H563" s="585">
        <f t="shared" si="104"/>
        <v>0</v>
      </c>
      <c r="I563" s="588">
        <f t="shared" ref="I563:I577" si="106">+G563*F563</f>
        <v>1348723.2000000002</v>
      </c>
      <c r="J563" s="350"/>
    </row>
    <row r="564" spans="1:10" ht="35.25" customHeight="1" x14ac:dyDescent="0.25">
      <c r="A564" s="951"/>
      <c r="B564" s="434"/>
      <c r="C564" s="437" t="s">
        <v>518</v>
      </c>
      <c r="D564" s="631" t="s">
        <v>448</v>
      </c>
      <c r="E564" s="661"/>
      <c r="F564" s="662">
        <f t="shared" si="105"/>
        <v>0</v>
      </c>
      <c r="G564" s="658">
        <v>139.04</v>
      </c>
      <c r="H564" s="585">
        <f t="shared" si="104"/>
        <v>0</v>
      </c>
      <c r="I564" s="588">
        <f t="shared" si="106"/>
        <v>0</v>
      </c>
      <c r="J564" s="350"/>
    </row>
    <row r="565" spans="1:10" ht="35.25" customHeight="1" x14ac:dyDescent="0.25">
      <c r="A565" s="951"/>
      <c r="B565" s="434"/>
      <c r="C565" s="437" t="s">
        <v>355</v>
      </c>
      <c r="D565" s="631" t="s">
        <v>356</v>
      </c>
      <c r="E565" s="661"/>
      <c r="F565" s="662">
        <f t="shared" si="105"/>
        <v>0</v>
      </c>
      <c r="G565" s="675">
        <v>20.5</v>
      </c>
      <c r="H565" s="585">
        <f t="shared" si="104"/>
        <v>0</v>
      </c>
      <c r="I565" s="588">
        <f t="shared" si="106"/>
        <v>0</v>
      </c>
      <c r="J565" s="350"/>
    </row>
    <row r="566" spans="1:10" ht="35.25" customHeight="1" x14ac:dyDescent="0.25">
      <c r="A566" s="951"/>
      <c r="B566" s="434"/>
      <c r="C566" s="437" t="s">
        <v>287</v>
      </c>
      <c r="D566" s="631" t="s">
        <v>177</v>
      </c>
      <c r="E566" s="661"/>
      <c r="F566" s="662">
        <f>+E566+F456</f>
        <v>0</v>
      </c>
      <c r="G566" s="658">
        <v>14.79</v>
      </c>
      <c r="H566" s="585">
        <f t="shared" si="104"/>
        <v>0</v>
      </c>
      <c r="I566" s="588">
        <f t="shared" si="106"/>
        <v>0</v>
      </c>
      <c r="J566" s="350"/>
    </row>
    <row r="567" spans="1:10" ht="35.25" customHeight="1" x14ac:dyDescent="0.25">
      <c r="A567" s="951"/>
      <c r="B567" s="434"/>
      <c r="C567" s="437" t="s">
        <v>518</v>
      </c>
      <c r="D567" s="631" t="s">
        <v>264</v>
      </c>
      <c r="E567" s="661"/>
      <c r="F567" s="662">
        <f>+E567+F457</f>
        <v>1280</v>
      </c>
      <c r="G567" s="658">
        <v>135.96</v>
      </c>
      <c r="H567" s="585">
        <f t="shared" si="104"/>
        <v>0</v>
      </c>
      <c r="I567" s="588">
        <f t="shared" si="106"/>
        <v>174028.80000000002</v>
      </c>
      <c r="J567" s="350"/>
    </row>
    <row r="568" spans="1:10" ht="35.25" customHeight="1" x14ac:dyDescent="0.25">
      <c r="A568" s="951"/>
      <c r="B568" s="434"/>
      <c r="C568" s="437" t="s">
        <v>389</v>
      </c>
      <c r="D568" s="632" t="s">
        <v>354</v>
      </c>
      <c r="E568" s="661"/>
      <c r="F568" s="662">
        <f>+E568+F458</f>
        <v>0</v>
      </c>
      <c r="G568" s="658">
        <v>147.58000000000001</v>
      </c>
      <c r="H568" s="585">
        <f t="shared" si="104"/>
        <v>0</v>
      </c>
      <c r="I568" s="588">
        <f t="shared" si="106"/>
        <v>0</v>
      </c>
      <c r="J568" s="350"/>
    </row>
    <row r="569" spans="1:10" ht="35.25" customHeight="1" x14ac:dyDescent="0.25">
      <c r="A569" s="951"/>
      <c r="B569" s="434"/>
      <c r="C569" s="437" t="s">
        <v>312</v>
      </c>
      <c r="D569" s="632" t="s">
        <v>440</v>
      </c>
      <c r="E569" s="661"/>
      <c r="F569" s="662">
        <f>+E569+F459</f>
        <v>0</v>
      </c>
      <c r="G569" s="658">
        <v>18.84</v>
      </c>
      <c r="H569" s="585">
        <f t="shared" si="104"/>
        <v>0</v>
      </c>
      <c r="I569" s="588">
        <f t="shared" si="106"/>
        <v>0</v>
      </c>
      <c r="J569" s="350"/>
    </row>
    <row r="570" spans="1:10" ht="35.25" customHeight="1" x14ac:dyDescent="0.25">
      <c r="A570" s="951"/>
      <c r="B570" s="434"/>
      <c r="C570" s="437" t="s">
        <v>312</v>
      </c>
      <c r="D570" s="632" t="s">
        <v>264</v>
      </c>
      <c r="E570" s="661"/>
      <c r="F570" s="662">
        <f>+E570+F460</f>
        <v>0</v>
      </c>
      <c r="G570" s="658">
        <v>18.84</v>
      </c>
      <c r="H570" s="585">
        <f t="shared" si="104"/>
        <v>0</v>
      </c>
      <c r="I570" s="588">
        <f t="shared" si="106"/>
        <v>0</v>
      </c>
      <c r="J570" s="350"/>
    </row>
    <row r="571" spans="1:10" ht="35.25" customHeight="1" x14ac:dyDescent="0.25">
      <c r="A571" s="951"/>
      <c r="B571" s="434"/>
      <c r="C571" s="437" t="s">
        <v>320</v>
      </c>
      <c r="D571" s="632" t="s">
        <v>231</v>
      </c>
      <c r="E571" s="661"/>
      <c r="F571" s="662">
        <f>+E571+F461</f>
        <v>0</v>
      </c>
      <c r="G571" s="658">
        <v>21.18</v>
      </c>
      <c r="H571" s="585">
        <f t="shared" si="104"/>
        <v>0</v>
      </c>
      <c r="I571" s="588">
        <f t="shared" si="106"/>
        <v>0</v>
      </c>
      <c r="J571" s="350"/>
    </row>
    <row r="572" spans="1:10" ht="35.25" customHeight="1" x14ac:dyDescent="0.25">
      <c r="A572" s="951"/>
      <c r="B572" s="434"/>
      <c r="C572" s="437" t="s">
        <v>322</v>
      </c>
      <c r="D572" s="632" t="s">
        <v>323</v>
      </c>
      <c r="E572" s="661"/>
      <c r="F572" s="662">
        <f>+E572+F462</f>
        <v>0</v>
      </c>
      <c r="G572" s="658">
        <v>21.28</v>
      </c>
      <c r="H572" s="585">
        <f t="shared" si="104"/>
        <v>0</v>
      </c>
      <c r="I572" s="588">
        <f t="shared" si="106"/>
        <v>0</v>
      </c>
      <c r="J572" s="350"/>
    </row>
    <row r="573" spans="1:10" ht="35.25" customHeight="1" x14ac:dyDescent="0.25">
      <c r="A573" s="951"/>
      <c r="B573" s="434"/>
      <c r="C573" s="437" t="s">
        <v>376</v>
      </c>
      <c r="D573" s="632" t="s">
        <v>372</v>
      </c>
      <c r="E573" s="661"/>
      <c r="F573" s="662">
        <f>+E573+F463</f>
        <v>0</v>
      </c>
      <c r="G573" s="658">
        <v>143.28</v>
      </c>
      <c r="H573" s="585">
        <f t="shared" si="104"/>
        <v>0</v>
      </c>
      <c r="I573" s="588">
        <f t="shared" si="106"/>
        <v>0</v>
      </c>
      <c r="J573" s="350"/>
    </row>
    <row r="574" spans="1:10" ht="35.25" customHeight="1" x14ac:dyDescent="0.25">
      <c r="A574" s="951"/>
      <c r="B574" s="434"/>
      <c r="C574" s="437" t="s">
        <v>466</v>
      </c>
      <c r="D574" s="632"/>
      <c r="E574" s="661"/>
      <c r="F574" s="662">
        <f>+E574+F464</f>
        <v>0</v>
      </c>
      <c r="G574" s="658">
        <v>14.79</v>
      </c>
      <c r="H574" s="585">
        <f t="shared" si="104"/>
        <v>0</v>
      </c>
      <c r="I574" s="588">
        <f t="shared" si="106"/>
        <v>0</v>
      </c>
      <c r="J574" s="350"/>
    </row>
    <row r="575" spans="1:10" ht="35.25" customHeight="1" x14ac:dyDescent="0.25">
      <c r="A575" s="951"/>
      <c r="B575" s="434"/>
      <c r="C575" s="437" t="s">
        <v>446</v>
      </c>
      <c r="D575" s="631" t="s">
        <v>177</v>
      </c>
      <c r="E575" s="661"/>
      <c r="F575" s="662">
        <f>+E575+F465</f>
        <v>0</v>
      </c>
      <c r="G575" s="658">
        <v>14.55</v>
      </c>
      <c r="H575" s="585">
        <f t="shared" si="104"/>
        <v>0</v>
      </c>
      <c r="I575" s="588">
        <f t="shared" si="106"/>
        <v>0</v>
      </c>
      <c r="J575" s="350"/>
    </row>
    <row r="576" spans="1:10" ht="35.25" customHeight="1" x14ac:dyDescent="0.25">
      <c r="A576" s="951"/>
      <c r="B576" s="434"/>
      <c r="C576" s="437" t="s">
        <v>325</v>
      </c>
      <c r="D576" s="632" t="s">
        <v>188</v>
      </c>
      <c r="E576" s="661"/>
      <c r="F576" s="662">
        <f>+E576+F466</f>
        <v>0</v>
      </c>
      <c r="G576" s="658">
        <v>21.28</v>
      </c>
      <c r="H576" s="585">
        <f t="shared" si="104"/>
        <v>0</v>
      </c>
      <c r="I576" s="588">
        <f t="shared" si="106"/>
        <v>0</v>
      </c>
      <c r="J576" s="350"/>
    </row>
    <row r="577" spans="1:10" ht="35.25" customHeight="1" thickBot="1" x14ac:dyDescent="0.3">
      <c r="A577" s="951"/>
      <c r="B577" s="434"/>
      <c r="C577" s="437" t="s">
        <v>334</v>
      </c>
      <c r="D577" s="633" t="s">
        <v>178</v>
      </c>
      <c r="E577" s="661"/>
      <c r="F577" s="637">
        <f>+E577+F467</f>
        <v>0</v>
      </c>
      <c r="G577" s="658">
        <v>36.44</v>
      </c>
      <c r="H577" s="585">
        <f t="shared" si="104"/>
        <v>0</v>
      </c>
      <c r="I577" s="588">
        <f t="shared" si="106"/>
        <v>0</v>
      </c>
      <c r="J577" s="350"/>
    </row>
    <row r="578" spans="1:10" ht="35.25" customHeight="1" thickBot="1" x14ac:dyDescent="0.3">
      <c r="A578" s="951"/>
      <c r="B578" s="946" t="s">
        <v>265</v>
      </c>
      <c r="C578" s="947"/>
      <c r="D578" s="831"/>
      <c r="E578" s="324">
        <f>SUM(E561:E577)</f>
        <v>0</v>
      </c>
      <c r="F578" s="659">
        <f>SUM(F561:F577)</f>
        <v>11200</v>
      </c>
      <c r="G578" s="324"/>
      <c r="H578" s="580">
        <f>SUM(H561:H577)</f>
        <v>0</v>
      </c>
      <c r="I578" s="573">
        <f>SUM(I561:I577)</f>
        <v>1522752.0000000002</v>
      </c>
      <c r="J578" s="347"/>
    </row>
    <row r="579" spans="1:10" ht="35.25" customHeight="1" x14ac:dyDescent="0.25">
      <c r="A579" s="951"/>
      <c r="B579" s="829"/>
      <c r="C579" s="279" t="s">
        <v>270</v>
      </c>
      <c r="D579" s="430" t="s">
        <v>237</v>
      </c>
      <c r="E579" s="280"/>
      <c r="F579" s="431">
        <f>+E579+F469</f>
        <v>0</v>
      </c>
      <c r="G579" s="571">
        <v>160.44999999999999</v>
      </c>
      <c r="H579" s="586">
        <f t="shared" ref="H579:H592" si="107">E579*G579</f>
        <v>0</v>
      </c>
      <c r="I579" s="589">
        <f t="shared" ref="I579:I592" si="108">+G579*F579</f>
        <v>0</v>
      </c>
      <c r="J579" s="371"/>
    </row>
    <row r="580" spans="1:10" ht="35.25" customHeight="1" x14ac:dyDescent="0.25">
      <c r="A580" s="951"/>
      <c r="B580" s="829"/>
      <c r="C580" s="279" t="s">
        <v>285</v>
      </c>
      <c r="D580" s="430" t="s">
        <v>237</v>
      </c>
      <c r="E580" s="280"/>
      <c r="F580" s="431">
        <f>+E580+F470</f>
        <v>0</v>
      </c>
      <c r="G580" s="571">
        <v>160.44999999999999</v>
      </c>
      <c r="H580" s="586">
        <f t="shared" si="107"/>
        <v>0</v>
      </c>
      <c r="I580" s="589">
        <f t="shared" si="108"/>
        <v>0</v>
      </c>
      <c r="J580" s="371"/>
    </row>
    <row r="581" spans="1:10" ht="35.25" customHeight="1" x14ac:dyDescent="0.25">
      <c r="A581" s="951"/>
      <c r="B581" s="829"/>
      <c r="C581" s="279" t="s">
        <v>386</v>
      </c>
      <c r="D581" s="430" t="s">
        <v>237</v>
      </c>
      <c r="E581" s="280"/>
      <c r="F581" s="431">
        <f>+E581+F471</f>
        <v>0</v>
      </c>
      <c r="G581" s="571">
        <v>160.44999999999999</v>
      </c>
      <c r="H581" s="586">
        <f t="shared" si="107"/>
        <v>0</v>
      </c>
      <c r="I581" s="589">
        <f t="shared" si="108"/>
        <v>0</v>
      </c>
      <c r="J581" s="371"/>
    </row>
    <row r="582" spans="1:10" ht="35.25" customHeight="1" x14ac:dyDescent="0.25">
      <c r="A582" s="951"/>
      <c r="B582" s="829"/>
      <c r="C582" s="279" t="s">
        <v>286</v>
      </c>
      <c r="D582" s="430" t="s">
        <v>93</v>
      </c>
      <c r="E582" s="280"/>
      <c r="F582" s="431">
        <f>+E582+F472</f>
        <v>37620</v>
      </c>
      <c r="G582" s="571">
        <v>27</v>
      </c>
      <c r="H582" s="586">
        <f t="shared" si="107"/>
        <v>0</v>
      </c>
      <c r="I582" s="589">
        <f t="shared" si="108"/>
        <v>1015740</v>
      </c>
      <c r="J582" s="371"/>
    </row>
    <row r="583" spans="1:10" ht="35.25" customHeight="1" x14ac:dyDescent="0.25">
      <c r="A583" s="951"/>
      <c r="B583" s="829"/>
      <c r="C583" s="279" t="s">
        <v>286</v>
      </c>
      <c r="D583" s="430" t="s">
        <v>291</v>
      </c>
      <c r="E583" s="280"/>
      <c r="F583" s="431">
        <f>+E583+F473</f>
        <v>0</v>
      </c>
      <c r="G583" s="571">
        <v>27.5</v>
      </c>
      <c r="H583" s="586">
        <f t="shared" si="107"/>
        <v>0</v>
      </c>
      <c r="I583" s="589">
        <f t="shared" si="108"/>
        <v>0</v>
      </c>
      <c r="J583" s="371"/>
    </row>
    <row r="584" spans="1:10" ht="35.25" customHeight="1" x14ac:dyDescent="0.25">
      <c r="A584" s="951"/>
      <c r="B584" s="829"/>
      <c r="C584" s="279" t="s">
        <v>275</v>
      </c>
      <c r="D584" s="430" t="s">
        <v>291</v>
      </c>
      <c r="E584" s="280"/>
      <c r="F584" s="431">
        <f>+E584+F474</f>
        <v>0</v>
      </c>
      <c r="G584" s="571">
        <v>34.5</v>
      </c>
      <c r="H584" s="586">
        <f t="shared" si="107"/>
        <v>0</v>
      </c>
      <c r="I584" s="589">
        <f t="shared" si="108"/>
        <v>0</v>
      </c>
      <c r="J584" s="371"/>
    </row>
    <row r="585" spans="1:10" ht="35.25" customHeight="1" x14ac:dyDescent="0.25">
      <c r="A585" s="951"/>
      <c r="B585" s="829"/>
      <c r="C585" s="279" t="s">
        <v>467</v>
      </c>
      <c r="D585" s="430" t="s">
        <v>435</v>
      </c>
      <c r="E585" s="280"/>
      <c r="F585" s="431">
        <f>+E585+F475</f>
        <v>0</v>
      </c>
      <c r="G585" s="571">
        <v>10.57</v>
      </c>
      <c r="H585" s="586">
        <f t="shared" si="107"/>
        <v>0</v>
      </c>
      <c r="I585" s="589">
        <f t="shared" si="108"/>
        <v>0</v>
      </c>
      <c r="J585" s="371"/>
    </row>
    <row r="586" spans="1:10" ht="35.25" customHeight="1" x14ac:dyDescent="0.25">
      <c r="A586" s="951"/>
      <c r="B586" s="829"/>
      <c r="C586" s="279" t="s">
        <v>275</v>
      </c>
      <c r="D586" s="430" t="s">
        <v>435</v>
      </c>
      <c r="E586" s="280"/>
      <c r="F586" s="431">
        <f>+E586+F476</f>
        <v>0</v>
      </c>
      <c r="G586" s="571">
        <v>55.76</v>
      </c>
      <c r="H586" s="586">
        <f t="shared" si="107"/>
        <v>0</v>
      </c>
      <c r="I586" s="589">
        <f t="shared" si="108"/>
        <v>0</v>
      </c>
      <c r="J586" s="371"/>
    </row>
    <row r="587" spans="1:10" ht="35.25" customHeight="1" x14ac:dyDescent="0.25">
      <c r="A587" s="951"/>
      <c r="B587" s="829"/>
      <c r="C587" s="279" t="s">
        <v>419</v>
      </c>
      <c r="D587" s="430" t="s">
        <v>237</v>
      </c>
      <c r="E587" s="280"/>
      <c r="F587" s="431">
        <f>+E587+F477</f>
        <v>0</v>
      </c>
      <c r="G587" s="571">
        <v>160.44999999999999</v>
      </c>
      <c r="H587" s="586">
        <f t="shared" si="107"/>
        <v>0</v>
      </c>
      <c r="I587" s="589">
        <f t="shared" si="108"/>
        <v>0</v>
      </c>
      <c r="J587" s="371"/>
    </row>
    <row r="588" spans="1:10" ht="35.25" customHeight="1" x14ac:dyDescent="0.25">
      <c r="A588" s="951"/>
      <c r="B588" s="829"/>
      <c r="C588" s="279" t="s">
        <v>346</v>
      </c>
      <c r="D588" s="430" t="s">
        <v>237</v>
      </c>
      <c r="E588" s="280"/>
      <c r="F588" s="431">
        <f>+E588+F478</f>
        <v>0</v>
      </c>
      <c r="G588" s="571">
        <v>160.44999999999999</v>
      </c>
      <c r="H588" s="586">
        <f t="shared" si="107"/>
        <v>0</v>
      </c>
      <c r="I588" s="589">
        <f t="shared" si="108"/>
        <v>0</v>
      </c>
      <c r="J588" s="371"/>
    </row>
    <row r="589" spans="1:10" ht="35.25" customHeight="1" x14ac:dyDescent="0.25">
      <c r="A589" s="951"/>
      <c r="B589" s="829"/>
      <c r="C589" s="279" t="s">
        <v>385</v>
      </c>
      <c r="D589" s="430" t="s">
        <v>237</v>
      </c>
      <c r="E589" s="280"/>
      <c r="F589" s="431">
        <f>+E589+F479</f>
        <v>0</v>
      </c>
      <c r="G589" s="571">
        <v>160.44999999999999</v>
      </c>
      <c r="H589" s="586">
        <f t="shared" si="107"/>
        <v>0</v>
      </c>
      <c r="I589" s="589">
        <f t="shared" si="108"/>
        <v>0</v>
      </c>
      <c r="J589" s="371"/>
    </row>
    <row r="590" spans="1:10" ht="35.25" customHeight="1" x14ac:dyDescent="0.25">
      <c r="A590" s="951"/>
      <c r="B590" s="829"/>
      <c r="C590" s="279" t="s">
        <v>436</v>
      </c>
      <c r="D590" s="430" t="s">
        <v>237</v>
      </c>
      <c r="E590" s="280"/>
      <c r="F590" s="431">
        <f>+E590+F480</f>
        <v>0</v>
      </c>
      <c r="G590" s="571">
        <v>160.44999999999999</v>
      </c>
      <c r="H590" s="586">
        <f t="shared" si="107"/>
        <v>0</v>
      </c>
      <c r="I590" s="589">
        <f t="shared" si="108"/>
        <v>0</v>
      </c>
      <c r="J590" s="371"/>
    </row>
    <row r="591" spans="1:10" ht="35.25" customHeight="1" x14ac:dyDescent="0.25">
      <c r="A591" s="951"/>
      <c r="B591" s="829"/>
      <c r="C591" s="279" t="s">
        <v>301</v>
      </c>
      <c r="D591" s="430" t="s">
        <v>237</v>
      </c>
      <c r="E591" s="280"/>
      <c r="F591" s="431">
        <f>+E591+F481</f>
        <v>0</v>
      </c>
      <c r="G591" s="571">
        <v>160.44999999999999</v>
      </c>
      <c r="H591" s="586">
        <f t="shared" si="107"/>
        <v>0</v>
      </c>
      <c r="I591" s="589">
        <f t="shared" si="108"/>
        <v>0</v>
      </c>
      <c r="J591" s="371"/>
    </row>
    <row r="592" spans="1:10" ht="35.25" customHeight="1" thickBot="1" x14ac:dyDescent="0.3">
      <c r="A592" s="951"/>
      <c r="B592" s="829"/>
      <c r="C592" s="279" t="s">
        <v>309</v>
      </c>
      <c r="D592" s="430" t="s">
        <v>237</v>
      </c>
      <c r="E592" s="280"/>
      <c r="F592" s="431">
        <f>+E592+F482</f>
        <v>0</v>
      </c>
      <c r="G592" s="571">
        <v>160.44999999999999</v>
      </c>
      <c r="H592" s="586">
        <f t="shared" si="107"/>
        <v>0</v>
      </c>
      <c r="I592" s="589">
        <f t="shared" si="108"/>
        <v>0</v>
      </c>
      <c r="J592" s="371"/>
    </row>
    <row r="593" spans="1:13" ht="35.25" customHeight="1" thickBot="1" x14ac:dyDescent="0.3">
      <c r="A593" s="951"/>
      <c r="B593" s="946" t="s">
        <v>266</v>
      </c>
      <c r="C593" s="947"/>
      <c r="D593" s="831"/>
      <c r="E593" s="324">
        <f>SUM(E579:E592)</f>
        <v>0</v>
      </c>
      <c r="F593" s="324">
        <f>+E593+F483</f>
        <v>37620</v>
      </c>
      <c r="G593" s="324"/>
      <c r="H593" s="580">
        <f>SUM(H579:H592)</f>
        <v>0</v>
      </c>
      <c r="I593" s="573">
        <f>SUM(I579:I592)</f>
        <v>1015740</v>
      </c>
      <c r="J593" s="347"/>
    </row>
    <row r="594" spans="1:13" ht="35.25" customHeight="1" x14ac:dyDescent="0.25">
      <c r="A594" s="951"/>
      <c r="B594" s="829"/>
      <c r="C594" s="279" t="s">
        <v>370</v>
      </c>
      <c r="D594" s="430" t="s">
        <v>371</v>
      </c>
      <c r="E594" s="280"/>
      <c r="F594" s="431">
        <f>+E594+F484</f>
        <v>0</v>
      </c>
      <c r="G594" s="571">
        <v>5.34</v>
      </c>
      <c r="H594" s="586">
        <f t="shared" ref="H594:H600" si="109">E594*G594</f>
        <v>0</v>
      </c>
      <c r="I594" s="589">
        <f t="shared" ref="I594" si="110">+G594*F594</f>
        <v>0</v>
      </c>
      <c r="J594" s="371"/>
    </row>
    <row r="595" spans="1:13" ht="35.25" customHeight="1" x14ac:dyDescent="0.25">
      <c r="A595" s="951"/>
      <c r="B595" s="829"/>
      <c r="C595" s="279" t="s">
        <v>387</v>
      </c>
      <c r="D595" s="430" t="s">
        <v>264</v>
      </c>
      <c r="E595" s="280"/>
      <c r="F595" s="431">
        <f>+E595+F485</f>
        <v>0</v>
      </c>
      <c r="G595" s="571">
        <v>31.73</v>
      </c>
      <c r="H595" s="586">
        <f t="shared" si="109"/>
        <v>0</v>
      </c>
      <c r="I595" s="589">
        <f>+G595*F595</f>
        <v>0</v>
      </c>
      <c r="J595" s="371"/>
    </row>
    <row r="596" spans="1:13" ht="35.25" customHeight="1" x14ac:dyDescent="0.25">
      <c r="A596" s="951"/>
      <c r="B596" s="829"/>
      <c r="C596" s="279" t="s">
        <v>390</v>
      </c>
      <c r="D596" s="430" t="s">
        <v>391</v>
      </c>
      <c r="E596" s="280"/>
      <c r="F596" s="431">
        <f>+E596+F486</f>
        <v>0</v>
      </c>
      <c r="G596" s="571">
        <v>10.58</v>
      </c>
      <c r="H596" s="586">
        <f t="shared" si="109"/>
        <v>0</v>
      </c>
      <c r="I596" s="589">
        <f>+G596*F596</f>
        <v>0</v>
      </c>
      <c r="J596" s="371"/>
    </row>
    <row r="597" spans="1:13" ht="35.25" customHeight="1" x14ac:dyDescent="0.25">
      <c r="A597" s="951"/>
      <c r="B597" s="829"/>
      <c r="C597" s="279" t="s">
        <v>276</v>
      </c>
      <c r="D597" s="430" t="s">
        <v>277</v>
      </c>
      <c r="E597" s="280">
        <v>5</v>
      </c>
      <c r="F597" s="431">
        <f>+E597+F487</f>
        <v>14</v>
      </c>
      <c r="G597" s="571">
        <v>2500</v>
      </c>
      <c r="H597" s="586">
        <f t="shared" si="109"/>
        <v>12500</v>
      </c>
      <c r="I597" s="589">
        <f>+G597*F597</f>
        <v>35000</v>
      </c>
      <c r="J597" s="371"/>
    </row>
    <row r="598" spans="1:13" ht="35.25" customHeight="1" x14ac:dyDescent="0.25">
      <c r="A598" s="951"/>
      <c r="B598" s="829"/>
      <c r="C598" s="279" t="s">
        <v>449</v>
      </c>
      <c r="D598" s="430"/>
      <c r="E598" s="280"/>
      <c r="F598" s="431">
        <f>+E598+F488</f>
        <v>0</v>
      </c>
      <c r="G598" s="571">
        <v>30000</v>
      </c>
      <c r="H598" s="586">
        <f t="shared" si="109"/>
        <v>0</v>
      </c>
      <c r="I598" s="589">
        <f>+G598*F598</f>
        <v>0</v>
      </c>
      <c r="J598" s="371"/>
    </row>
    <row r="599" spans="1:13" ht="35.25" customHeight="1" x14ac:dyDescent="0.25">
      <c r="A599" s="951"/>
      <c r="B599" s="829"/>
      <c r="C599" s="279" t="s">
        <v>377</v>
      </c>
      <c r="D599" s="430" t="s">
        <v>303</v>
      </c>
      <c r="E599" s="280"/>
      <c r="F599" s="431">
        <f>+E599+F489</f>
        <v>0</v>
      </c>
      <c r="G599" s="571">
        <v>360</v>
      </c>
      <c r="H599" s="586">
        <f t="shared" si="109"/>
        <v>0</v>
      </c>
      <c r="I599" s="589">
        <f>+G599*F599</f>
        <v>0</v>
      </c>
      <c r="J599" s="371"/>
    </row>
    <row r="600" spans="1:13" ht="35.25" customHeight="1" thickBot="1" x14ac:dyDescent="0.3">
      <c r="A600" s="951"/>
      <c r="B600" s="829"/>
      <c r="C600" s="279" t="s">
        <v>425</v>
      </c>
      <c r="D600" s="430" t="s">
        <v>303</v>
      </c>
      <c r="E600" s="280"/>
      <c r="F600" s="431">
        <f>+E600+F490</f>
        <v>0</v>
      </c>
      <c r="G600" s="572">
        <v>10</v>
      </c>
      <c r="H600" s="586">
        <f t="shared" si="109"/>
        <v>0</v>
      </c>
      <c r="I600" s="589">
        <f t="shared" ref="I600" si="111">+G600*F600</f>
        <v>0</v>
      </c>
      <c r="J600" s="371"/>
    </row>
    <row r="601" spans="1:13" ht="35.25" customHeight="1" thickBot="1" x14ac:dyDescent="0.3">
      <c r="A601" s="951"/>
      <c r="B601" s="946" t="s">
        <v>271</v>
      </c>
      <c r="C601" s="947"/>
      <c r="D601" s="831"/>
      <c r="E601" s="324">
        <f>SUM(E594:E600)</f>
        <v>5</v>
      </c>
      <c r="F601" s="324">
        <f>SUM(F594:F600)</f>
        <v>14</v>
      </c>
      <c r="G601" s="324"/>
      <c r="H601" s="580">
        <f>SUM(H594:H600)</f>
        <v>12500</v>
      </c>
      <c r="I601" s="573">
        <f>SUM(I594:I600)</f>
        <v>35000</v>
      </c>
      <c r="J601" s="371"/>
    </row>
    <row r="602" spans="1:13" ht="35.25" customHeight="1" thickBot="1" x14ac:dyDescent="0.3">
      <c r="A602" s="951"/>
      <c r="B602" s="829"/>
      <c r="C602" s="279"/>
      <c r="D602" s="430"/>
      <c r="E602" s="280"/>
      <c r="F602" s="316"/>
      <c r="G602" s="572"/>
      <c r="H602" s="581"/>
      <c r="I602" s="282">
        <f t="shared" ref="I602" si="112">+G602*F602</f>
        <v>0</v>
      </c>
      <c r="J602" s="371"/>
    </row>
    <row r="603" spans="1:13" ht="35.25" customHeight="1" thickBot="1" x14ac:dyDescent="0.3">
      <c r="A603" s="952"/>
      <c r="B603" s="946" t="s">
        <v>268</v>
      </c>
      <c r="C603" s="947"/>
      <c r="D603" s="827"/>
      <c r="E603" s="324">
        <f>+E601+E593+E578</f>
        <v>5</v>
      </c>
      <c r="F603" s="324">
        <f>+F601+F593+F578</f>
        <v>48834</v>
      </c>
      <c r="G603" s="324"/>
      <c r="H603" s="573">
        <f>+H593+H578+H601</f>
        <v>12500</v>
      </c>
      <c r="I603" s="573">
        <f>+I593+I578+I601</f>
        <v>2573492</v>
      </c>
      <c r="J603" s="371"/>
      <c r="K603" s="664"/>
      <c r="M603" s="664"/>
    </row>
    <row r="604" spans="1:13" ht="35.25" customHeight="1" x14ac:dyDescent="0.25">
      <c r="A604" s="950" t="s">
        <v>101</v>
      </c>
      <c r="B604" s="829"/>
      <c r="C604" s="279" t="s">
        <v>280</v>
      </c>
      <c r="D604" s="430" t="s">
        <v>178</v>
      </c>
      <c r="E604" s="280"/>
      <c r="F604" s="431">
        <f>+E604+F494</f>
        <v>0</v>
      </c>
      <c r="G604" s="595">
        <v>13.25</v>
      </c>
      <c r="H604" s="590">
        <f t="shared" ref="H604:H635" si="113">E604*G604</f>
        <v>0</v>
      </c>
      <c r="I604" s="589">
        <f t="shared" ref="I604:I635" si="114">+G604*F604</f>
        <v>0</v>
      </c>
      <c r="J604" s="371"/>
      <c r="K604" s="664"/>
    </row>
    <row r="605" spans="1:13" ht="35.25" customHeight="1" x14ac:dyDescent="0.25">
      <c r="A605" s="951"/>
      <c r="B605" s="829"/>
      <c r="C605" s="279" t="s">
        <v>281</v>
      </c>
      <c r="D605" s="430"/>
      <c r="E605" s="280"/>
      <c r="F605" s="431">
        <f>+E605+F495</f>
        <v>2</v>
      </c>
      <c r="G605" s="596">
        <v>34000</v>
      </c>
      <c r="H605" s="590">
        <f t="shared" si="113"/>
        <v>0</v>
      </c>
      <c r="I605" s="589">
        <f t="shared" si="114"/>
        <v>68000</v>
      </c>
      <c r="J605" s="371"/>
      <c r="K605" s="664"/>
    </row>
    <row r="606" spans="1:13" ht="35.25" customHeight="1" x14ac:dyDescent="0.25">
      <c r="A606" s="951"/>
      <c r="B606" s="829"/>
      <c r="C606" s="279" t="s">
        <v>281</v>
      </c>
      <c r="D606" s="430"/>
      <c r="E606" s="280"/>
      <c r="F606" s="431">
        <f>+E606+F496</f>
        <v>0</v>
      </c>
      <c r="G606" s="596">
        <v>18000</v>
      </c>
      <c r="H606" s="590">
        <f t="shared" si="113"/>
        <v>0</v>
      </c>
      <c r="I606" s="589">
        <f t="shared" si="114"/>
        <v>0</v>
      </c>
      <c r="J606" s="371"/>
    </row>
    <row r="607" spans="1:13" ht="35.25" customHeight="1" x14ac:dyDescent="0.25">
      <c r="A607" s="951"/>
      <c r="B607" s="829"/>
      <c r="C607" s="279" t="s">
        <v>515</v>
      </c>
      <c r="D607" s="430" t="s">
        <v>516</v>
      </c>
      <c r="E607" s="280">
        <v>3978</v>
      </c>
      <c r="F607" s="431">
        <f>+E607+F497</f>
        <v>139230</v>
      </c>
      <c r="G607" s="595">
        <v>25</v>
      </c>
      <c r="H607" s="590">
        <f t="shared" si="113"/>
        <v>99450</v>
      </c>
      <c r="I607" s="589">
        <f t="shared" si="114"/>
        <v>3480750</v>
      </c>
      <c r="J607" s="371"/>
    </row>
    <row r="608" spans="1:13" ht="35.25" customHeight="1" x14ac:dyDescent="0.25">
      <c r="A608" s="951"/>
      <c r="B608" s="829"/>
      <c r="C608" s="279" t="s">
        <v>459</v>
      </c>
      <c r="D608" s="430" t="s">
        <v>516</v>
      </c>
      <c r="E608" s="280">
        <v>123318</v>
      </c>
      <c r="F608" s="431">
        <f>+E608+F498</f>
        <v>560898</v>
      </c>
      <c r="G608" s="595">
        <v>25.43</v>
      </c>
      <c r="H608" s="590">
        <f t="shared" si="113"/>
        <v>3135976.7399999998</v>
      </c>
      <c r="I608" s="589">
        <f t="shared" si="114"/>
        <v>14263636.140000001</v>
      </c>
      <c r="J608" s="371"/>
    </row>
    <row r="609" spans="1:10" ht="35.25" customHeight="1" x14ac:dyDescent="0.25">
      <c r="A609" s="951"/>
      <c r="B609" s="829"/>
      <c r="C609" s="279" t="s">
        <v>459</v>
      </c>
      <c r="D609" s="430" t="s">
        <v>92</v>
      </c>
      <c r="E609" s="280"/>
      <c r="F609" s="431">
        <f>+E609+F499</f>
        <v>0</v>
      </c>
      <c r="G609" s="595">
        <v>24.93</v>
      </c>
      <c r="H609" s="590">
        <f t="shared" si="113"/>
        <v>0</v>
      </c>
      <c r="I609" s="589">
        <f t="shared" si="114"/>
        <v>0</v>
      </c>
      <c r="J609" s="371"/>
    </row>
    <row r="610" spans="1:10" ht="35.25" customHeight="1" x14ac:dyDescent="0.25">
      <c r="A610" s="951"/>
      <c r="B610" s="829"/>
      <c r="C610" s="705" t="s">
        <v>460</v>
      </c>
      <c r="D610" s="706" t="s">
        <v>92</v>
      </c>
      <c r="E610" s="280"/>
      <c r="F610" s="431">
        <f>+E610+F500</f>
        <v>0</v>
      </c>
      <c r="G610" s="595">
        <v>20.8</v>
      </c>
      <c r="H610" s="590">
        <f t="shared" si="113"/>
        <v>0</v>
      </c>
      <c r="I610" s="589">
        <f t="shared" si="114"/>
        <v>0</v>
      </c>
      <c r="J610" s="371"/>
    </row>
    <row r="611" spans="1:10" ht="35.25" customHeight="1" x14ac:dyDescent="0.25">
      <c r="A611" s="951"/>
      <c r="B611" s="829"/>
      <c r="C611" s="705" t="s">
        <v>514</v>
      </c>
      <c r="D611" s="706" t="s">
        <v>462</v>
      </c>
      <c r="E611" s="280"/>
      <c r="F611" s="431">
        <f>+E611+F501</f>
        <v>246636</v>
      </c>
      <c r="G611" s="595">
        <v>26.36</v>
      </c>
      <c r="H611" s="590">
        <f t="shared" si="113"/>
        <v>0</v>
      </c>
      <c r="I611" s="589">
        <f t="shared" si="114"/>
        <v>6501324.96</v>
      </c>
      <c r="J611" s="371"/>
    </row>
    <row r="612" spans="1:10" ht="35.25" customHeight="1" x14ac:dyDescent="0.25">
      <c r="A612" s="951"/>
      <c r="B612" s="829"/>
      <c r="C612" s="705" t="s">
        <v>461</v>
      </c>
      <c r="D612" s="706" t="s">
        <v>462</v>
      </c>
      <c r="E612" s="280"/>
      <c r="F612" s="431">
        <f>+E612+F502</f>
        <v>0</v>
      </c>
      <c r="G612" s="595">
        <v>25.49</v>
      </c>
      <c r="H612" s="590">
        <f t="shared" si="113"/>
        <v>0</v>
      </c>
      <c r="I612" s="589">
        <f t="shared" si="114"/>
        <v>0</v>
      </c>
      <c r="J612" s="371"/>
    </row>
    <row r="613" spans="1:10" s="716" customFormat="1" ht="35.25" customHeight="1" x14ac:dyDescent="0.25">
      <c r="A613" s="951"/>
      <c r="B613" s="707"/>
      <c r="C613" s="708" t="s">
        <v>463</v>
      </c>
      <c r="D613" s="709" t="s">
        <v>308</v>
      </c>
      <c r="E613" s="710"/>
      <c r="F613" s="711">
        <f>+E613+F503</f>
        <v>0</v>
      </c>
      <c r="G613" s="712">
        <v>24.41</v>
      </c>
      <c r="H613" s="713">
        <f t="shared" si="113"/>
        <v>0</v>
      </c>
      <c r="I613" s="714">
        <f t="shared" si="114"/>
        <v>0</v>
      </c>
      <c r="J613" s="715"/>
    </row>
    <row r="614" spans="1:10" ht="35.25" customHeight="1" x14ac:dyDescent="0.25">
      <c r="A614" s="951"/>
      <c r="B614" s="829"/>
      <c r="C614" s="279" t="s">
        <v>439</v>
      </c>
      <c r="D614" s="430" t="s">
        <v>421</v>
      </c>
      <c r="E614" s="280"/>
      <c r="F614" s="431">
        <f>+E614+F504</f>
        <v>0</v>
      </c>
      <c r="G614" s="595">
        <v>20.76</v>
      </c>
      <c r="H614" s="590">
        <f t="shared" si="113"/>
        <v>0</v>
      </c>
      <c r="I614" s="589">
        <f t="shared" si="114"/>
        <v>0</v>
      </c>
      <c r="J614" s="371"/>
    </row>
    <row r="615" spans="1:10" ht="35.25" customHeight="1" x14ac:dyDescent="0.25">
      <c r="A615" s="951"/>
      <c r="B615" s="829"/>
      <c r="C615" s="279" t="s">
        <v>297</v>
      </c>
      <c r="D615" s="430" t="s">
        <v>107</v>
      </c>
      <c r="E615" s="280"/>
      <c r="F615" s="431">
        <f>+E615+F505</f>
        <v>0</v>
      </c>
      <c r="G615" s="595">
        <v>24.93</v>
      </c>
      <c r="H615" s="590">
        <f t="shared" si="113"/>
        <v>0</v>
      </c>
      <c r="I615" s="589">
        <f t="shared" si="114"/>
        <v>0</v>
      </c>
      <c r="J615" s="371"/>
    </row>
    <row r="616" spans="1:10" ht="35.25" customHeight="1" x14ac:dyDescent="0.25">
      <c r="A616" s="951"/>
      <c r="B616" s="829"/>
      <c r="C616" s="279" t="s">
        <v>298</v>
      </c>
      <c r="D616" s="430" t="s">
        <v>279</v>
      </c>
      <c r="E616" s="280"/>
      <c r="F616" s="431">
        <f>+E616+F506</f>
        <v>0</v>
      </c>
      <c r="G616" s="595">
        <v>24.93</v>
      </c>
      <c r="H616" s="590">
        <f t="shared" si="113"/>
        <v>0</v>
      </c>
      <c r="I616" s="589">
        <f t="shared" si="114"/>
        <v>0</v>
      </c>
      <c r="J616" s="371"/>
    </row>
    <row r="617" spans="1:10" ht="35.25" customHeight="1" x14ac:dyDescent="0.25">
      <c r="A617" s="951"/>
      <c r="B617" s="829"/>
      <c r="C617" s="279" t="s">
        <v>423</v>
      </c>
      <c r="D617" s="430" t="s">
        <v>358</v>
      </c>
      <c r="E617" s="280">
        <v>99450</v>
      </c>
      <c r="F617" s="431">
        <f>+E617+F507</f>
        <v>99450</v>
      </c>
      <c r="G617" s="595">
        <v>23.78</v>
      </c>
      <c r="H617" s="590">
        <f t="shared" si="113"/>
        <v>2364921</v>
      </c>
      <c r="I617" s="589">
        <f t="shared" si="114"/>
        <v>2364921</v>
      </c>
      <c r="J617" s="371"/>
    </row>
    <row r="618" spans="1:10" ht="35.25" customHeight="1" x14ac:dyDescent="0.25">
      <c r="A618" s="951"/>
      <c r="B618" s="829"/>
      <c r="C618" s="279" t="s">
        <v>423</v>
      </c>
      <c r="D618" s="430" t="s">
        <v>308</v>
      </c>
      <c r="E618" s="280"/>
      <c r="F618" s="431">
        <f>+E618+F508</f>
        <v>0</v>
      </c>
      <c r="G618" s="595">
        <v>23.78</v>
      </c>
      <c r="H618" s="590">
        <f t="shared" si="113"/>
        <v>0</v>
      </c>
      <c r="I618" s="589">
        <f t="shared" si="114"/>
        <v>0</v>
      </c>
      <c r="J618" s="371"/>
    </row>
    <row r="619" spans="1:10" ht="35.25" customHeight="1" x14ac:dyDescent="0.25">
      <c r="A619" s="951"/>
      <c r="B619" s="829"/>
      <c r="C619" s="279" t="s">
        <v>352</v>
      </c>
      <c r="D619" s="430" t="s">
        <v>308</v>
      </c>
      <c r="E619" s="280"/>
      <c r="F619" s="431">
        <f>+E619+F509</f>
        <v>0</v>
      </c>
      <c r="G619" s="595">
        <v>37.4566666666</v>
      </c>
      <c r="H619" s="590">
        <f t="shared" si="113"/>
        <v>0</v>
      </c>
      <c r="I619" s="589">
        <f t="shared" si="114"/>
        <v>0</v>
      </c>
      <c r="J619" s="371"/>
    </row>
    <row r="620" spans="1:10" ht="35.25" customHeight="1" x14ac:dyDescent="0.25">
      <c r="A620" s="951"/>
      <c r="B620" s="829"/>
      <c r="C620" s="279" t="s">
        <v>353</v>
      </c>
      <c r="D620" s="430" t="s">
        <v>308</v>
      </c>
      <c r="E620" s="280">
        <v>31824</v>
      </c>
      <c r="F620" s="431">
        <f>+E620+F510</f>
        <v>31824</v>
      </c>
      <c r="G620" s="595">
        <v>37.89</v>
      </c>
      <c r="H620" s="590">
        <f t="shared" si="113"/>
        <v>1205811.3600000001</v>
      </c>
      <c r="I620" s="589">
        <f t="shared" si="114"/>
        <v>1205811.3600000001</v>
      </c>
      <c r="J620" s="371"/>
    </row>
    <row r="621" spans="1:10" ht="35.25" customHeight="1" x14ac:dyDescent="0.25">
      <c r="A621" s="951"/>
      <c r="B621" s="829"/>
      <c r="C621" s="279" t="s">
        <v>455</v>
      </c>
      <c r="D621" s="430" t="s">
        <v>92</v>
      </c>
      <c r="E621" s="280"/>
      <c r="F621" s="431">
        <f>+E621+F511</f>
        <v>0</v>
      </c>
      <c r="G621" s="595">
        <v>28.31</v>
      </c>
      <c r="H621" s="590">
        <f t="shared" si="113"/>
        <v>0</v>
      </c>
      <c r="I621" s="589">
        <f t="shared" si="114"/>
        <v>0</v>
      </c>
      <c r="J621" s="371"/>
    </row>
    <row r="622" spans="1:10" ht="35.25" customHeight="1" x14ac:dyDescent="0.25">
      <c r="A622" s="951"/>
      <c r="B622" s="829"/>
      <c r="C622" s="279" t="s">
        <v>455</v>
      </c>
      <c r="D622" s="430" t="s">
        <v>421</v>
      </c>
      <c r="E622" s="280"/>
      <c r="F622" s="431">
        <f>+E622+F512</f>
        <v>0</v>
      </c>
      <c r="G622" s="595">
        <v>28.88</v>
      </c>
      <c r="H622" s="590">
        <f t="shared" si="113"/>
        <v>0</v>
      </c>
      <c r="I622" s="589">
        <f t="shared" si="114"/>
        <v>0</v>
      </c>
      <c r="J622" s="371"/>
    </row>
    <row r="623" spans="1:10" ht="35.25" customHeight="1" x14ac:dyDescent="0.25">
      <c r="A623" s="951"/>
      <c r="B623" s="829"/>
      <c r="C623" s="279" t="s">
        <v>456</v>
      </c>
      <c r="D623" s="430" t="s">
        <v>421</v>
      </c>
      <c r="E623" s="280"/>
      <c r="F623" s="431">
        <f>+E623+F513</f>
        <v>0</v>
      </c>
      <c r="G623" s="595">
        <v>28.21</v>
      </c>
      <c r="H623" s="590">
        <f t="shared" si="113"/>
        <v>0</v>
      </c>
      <c r="I623" s="589">
        <f t="shared" si="114"/>
        <v>0</v>
      </c>
      <c r="J623" s="371"/>
    </row>
    <row r="624" spans="1:10" ht="35.25" customHeight="1" x14ac:dyDescent="0.25">
      <c r="A624" s="951"/>
      <c r="B624" s="829"/>
      <c r="C624" s="279" t="s">
        <v>457</v>
      </c>
      <c r="D624" s="430" t="s">
        <v>336</v>
      </c>
      <c r="E624" s="280"/>
      <c r="F624" s="431">
        <f>+E624+F514</f>
        <v>0</v>
      </c>
      <c r="G624" s="595">
        <v>39</v>
      </c>
      <c r="H624" s="590">
        <f t="shared" si="113"/>
        <v>0</v>
      </c>
      <c r="I624" s="589">
        <f t="shared" si="114"/>
        <v>0</v>
      </c>
      <c r="J624" s="371"/>
    </row>
    <row r="625" spans="1:10" ht="35.25" customHeight="1" x14ac:dyDescent="0.25">
      <c r="A625" s="951"/>
      <c r="B625" s="829"/>
      <c r="C625" s="279" t="s">
        <v>457</v>
      </c>
      <c r="D625" s="430" t="s">
        <v>92</v>
      </c>
      <c r="E625" s="280"/>
      <c r="F625" s="431">
        <f>+E625+F515</f>
        <v>0</v>
      </c>
      <c r="G625" s="595">
        <v>32.65</v>
      </c>
      <c r="H625" s="590">
        <f t="shared" si="113"/>
        <v>0</v>
      </c>
      <c r="I625" s="589">
        <f t="shared" si="114"/>
        <v>0</v>
      </c>
      <c r="J625" s="371"/>
    </row>
    <row r="626" spans="1:10" ht="35.25" customHeight="1" x14ac:dyDescent="0.25">
      <c r="A626" s="951"/>
      <c r="B626" s="829"/>
      <c r="C626" s="279" t="s">
        <v>457</v>
      </c>
      <c r="D626" s="430" t="s">
        <v>421</v>
      </c>
      <c r="E626" s="280"/>
      <c r="F626" s="431">
        <f>+E626+F516</f>
        <v>0</v>
      </c>
      <c r="G626" s="595">
        <v>33.299999999999997</v>
      </c>
      <c r="H626" s="590">
        <f t="shared" si="113"/>
        <v>0</v>
      </c>
      <c r="I626" s="589">
        <f t="shared" si="114"/>
        <v>0</v>
      </c>
      <c r="J626" s="371"/>
    </row>
    <row r="627" spans="1:10" ht="35.25" customHeight="1" x14ac:dyDescent="0.25">
      <c r="A627" s="951"/>
      <c r="B627" s="829"/>
      <c r="C627" s="279" t="s">
        <v>298</v>
      </c>
      <c r="D627" s="430" t="s">
        <v>278</v>
      </c>
      <c r="E627" s="280"/>
      <c r="F627" s="431">
        <f>+E627+F517</f>
        <v>0</v>
      </c>
      <c r="G627" s="595">
        <v>24.93</v>
      </c>
      <c r="H627" s="590">
        <f t="shared" si="113"/>
        <v>0</v>
      </c>
      <c r="I627" s="589">
        <f t="shared" si="114"/>
        <v>0</v>
      </c>
      <c r="J627" s="371"/>
    </row>
    <row r="628" spans="1:10" ht="35.25" customHeight="1" x14ac:dyDescent="0.25">
      <c r="A628" s="951"/>
      <c r="B628" s="829"/>
      <c r="C628" s="279" t="s">
        <v>298</v>
      </c>
      <c r="D628" s="430"/>
      <c r="E628" s="280"/>
      <c r="F628" s="431">
        <f>+E628+F518</f>
        <v>0</v>
      </c>
      <c r="G628" s="595">
        <v>24.93</v>
      </c>
      <c r="H628" s="590">
        <f t="shared" si="113"/>
        <v>0</v>
      </c>
      <c r="I628" s="589">
        <f t="shared" si="114"/>
        <v>0</v>
      </c>
      <c r="J628" s="371"/>
    </row>
    <row r="629" spans="1:10" ht="35.25" customHeight="1" x14ac:dyDescent="0.25">
      <c r="A629" s="951"/>
      <c r="B629" s="829"/>
      <c r="C629" s="279" t="s">
        <v>315</v>
      </c>
      <c r="D629" s="430" t="s">
        <v>288</v>
      </c>
      <c r="E629" s="280"/>
      <c r="F629" s="431">
        <f>+E629+F519</f>
        <v>0</v>
      </c>
      <c r="G629" s="595">
        <v>34.26</v>
      </c>
      <c r="H629" s="590">
        <f t="shared" si="113"/>
        <v>0</v>
      </c>
      <c r="I629" s="589">
        <f t="shared" si="114"/>
        <v>0</v>
      </c>
      <c r="J629" s="371"/>
    </row>
    <row r="630" spans="1:10" ht="35.25" customHeight="1" x14ac:dyDescent="0.25">
      <c r="A630" s="951"/>
      <c r="B630" s="829"/>
      <c r="C630" s="279" t="s">
        <v>326</v>
      </c>
      <c r="D630" s="430" t="s">
        <v>358</v>
      </c>
      <c r="E630" s="280"/>
      <c r="F630" s="431">
        <f>+E630+F520</f>
        <v>0</v>
      </c>
      <c r="G630" s="595">
        <v>37.89</v>
      </c>
      <c r="H630" s="590">
        <f t="shared" si="113"/>
        <v>0</v>
      </c>
      <c r="I630" s="589">
        <f t="shared" si="114"/>
        <v>0</v>
      </c>
      <c r="J630" s="371"/>
    </row>
    <row r="631" spans="1:10" ht="35.25" customHeight="1" x14ac:dyDescent="0.25">
      <c r="A631" s="951"/>
      <c r="B631" s="829"/>
      <c r="C631" s="279" t="s">
        <v>361</v>
      </c>
      <c r="D631" s="430" t="s">
        <v>336</v>
      </c>
      <c r="E631" s="280"/>
      <c r="F631" s="431">
        <f>+E631+F521</f>
        <v>0</v>
      </c>
      <c r="G631" s="595">
        <v>39</v>
      </c>
      <c r="H631" s="590">
        <f t="shared" si="113"/>
        <v>0</v>
      </c>
      <c r="I631" s="589">
        <f t="shared" si="114"/>
        <v>0</v>
      </c>
      <c r="J631" s="371"/>
    </row>
    <row r="632" spans="1:10" ht="35.25" customHeight="1" x14ac:dyDescent="0.25">
      <c r="A632" s="951"/>
      <c r="B632" s="829"/>
      <c r="C632" s="279" t="s">
        <v>298</v>
      </c>
      <c r="D632" s="430" t="s">
        <v>177</v>
      </c>
      <c r="E632" s="280"/>
      <c r="F632" s="431">
        <f>+E632+F522</f>
        <v>0</v>
      </c>
      <c r="G632" s="595">
        <v>21.22</v>
      </c>
      <c r="H632" s="590">
        <f t="shared" si="113"/>
        <v>0</v>
      </c>
      <c r="I632" s="589">
        <f t="shared" si="114"/>
        <v>0</v>
      </c>
      <c r="J632" s="371"/>
    </row>
    <row r="633" spans="1:10" ht="35.25" customHeight="1" x14ac:dyDescent="0.25">
      <c r="A633" s="951"/>
      <c r="B633" s="829"/>
      <c r="C633" s="279" t="s">
        <v>297</v>
      </c>
      <c r="D633" s="430" t="s">
        <v>177</v>
      </c>
      <c r="E633" s="280"/>
      <c r="F633" s="431">
        <f>+E633+F523</f>
        <v>0</v>
      </c>
      <c r="G633" s="595">
        <v>21.22</v>
      </c>
      <c r="H633" s="590">
        <f t="shared" si="113"/>
        <v>0</v>
      </c>
      <c r="I633" s="589">
        <f t="shared" si="114"/>
        <v>0</v>
      </c>
      <c r="J633" s="371"/>
    </row>
    <row r="634" spans="1:10" ht="35.25" customHeight="1" x14ac:dyDescent="0.25">
      <c r="A634" s="951"/>
      <c r="B634" s="829"/>
      <c r="C634" s="279" t="s">
        <v>337</v>
      </c>
      <c r="D634" s="430" t="s">
        <v>303</v>
      </c>
      <c r="E634" s="280"/>
      <c r="F634" s="431">
        <f>+E634+F524</f>
        <v>0</v>
      </c>
      <c r="G634" s="595">
        <v>10000</v>
      </c>
      <c r="H634" s="590">
        <f t="shared" si="113"/>
        <v>0</v>
      </c>
      <c r="I634" s="589">
        <f t="shared" si="114"/>
        <v>0</v>
      </c>
      <c r="J634" s="371"/>
    </row>
    <row r="635" spans="1:10" ht="35.25" customHeight="1" thickBot="1" x14ac:dyDescent="0.3">
      <c r="A635" s="951"/>
      <c r="B635" s="829"/>
      <c r="C635" s="279" t="s">
        <v>302</v>
      </c>
      <c r="D635" s="430" t="s">
        <v>303</v>
      </c>
      <c r="E635" s="280"/>
      <c r="F635" s="431">
        <f>+E635+F525</f>
        <v>0</v>
      </c>
      <c r="G635" s="595">
        <v>360</v>
      </c>
      <c r="H635" s="590">
        <f t="shared" si="113"/>
        <v>0</v>
      </c>
      <c r="I635" s="589">
        <f t="shared" si="114"/>
        <v>0</v>
      </c>
      <c r="J635" s="371"/>
    </row>
    <row r="636" spans="1:10" ht="35.25" customHeight="1" thickBot="1" x14ac:dyDescent="0.3">
      <c r="A636" s="952"/>
      <c r="B636" s="946" t="s">
        <v>267</v>
      </c>
      <c r="C636" s="947"/>
      <c r="D636" s="831"/>
      <c r="E636" s="324">
        <f>SUM(E604:E635)</f>
        <v>258570</v>
      </c>
      <c r="F636" s="324">
        <f>SUM(F604:F635)</f>
        <v>1078040</v>
      </c>
      <c r="G636" s="324"/>
      <c r="H636" s="580">
        <f>SUM(H604:H635)</f>
        <v>6806159.1000000006</v>
      </c>
      <c r="I636" s="573">
        <f>SUM(I604:I635)</f>
        <v>27884443.460000001</v>
      </c>
      <c r="J636" s="371"/>
    </row>
    <row r="637" spans="1:10" ht="35.25" customHeight="1" x14ac:dyDescent="0.25">
      <c r="A637" s="950" t="s">
        <v>102</v>
      </c>
      <c r="B637" s="829"/>
      <c r="C637" s="279" t="s">
        <v>272</v>
      </c>
      <c r="D637" s="430" t="s">
        <v>237</v>
      </c>
      <c r="E637" s="280"/>
      <c r="F637" s="431">
        <f>+E637+F527</f>
        <v>592</v>
      </c>
      <c r="G637" s="595">
        <v>430.02</v>
      </c>
      <c r="H637" s="586">
        <f>E637*G637</f>
        <v>0</v>
      </c>
      <c r="I637" s="589">
        <f t="shared" ref="I637:I658" si="115">+G637*F637</f>
        <v>254571.84</v>
      </c>
      <c r="J637" s="371"/>
    </row>
    <row r="638" spans="1:10" ht="35.25" customHeight="1" x14ac:dyDescent="0.25">
      <c r="A638" s="951"/>
      <c r="B638" s="829"/>
      <c r="C638" s="279" t="s">
        <v>273</v>
      </c>
      <c r="D638" s="430" t="s">
        <v>237</v>
      </c>
      <c r="E638" s="280"/>
      <c r="F638" s="431">
        <f>+E638+F528</f>
        <v>0</v>
      </c>
      <c r="G638" s="595">
        <v>445.38</v>
      </c>
      <c r="H638" s="586">
        <f t="shared" ref="H638:H658" si="116">E638*G638</f>
        <v>0</v>
      </c>
      <c r="I638" s="589">
        <f t="shared" si="115"/>
        <v>0</v>
      </c>
      <c r="J638" s="371"/>
    </row>
    <row r="639" spans="1:10" ht="35.25" customHeight="1" x14ac:dyDescent="0.25">
      <c r="A639" s="951"/>
      <c r="B639" s="829"/>
      <c r="C639" s="279" t="s">
        <v>388</v>
      </c>
      <c r="D639" s="430" t="s">
        <v>237</v>
      </c>
      <c r="E639" s="280"/>
      <c r="F639" s="431">
        <f>+E639+F529</f>
        <v>0</v>
      </c>
      <c r="G639" s="595">
        <v>445.38</v>
      </c>
      <c r="H639" s="586">
        <f t="shared" si="116"/>
        <v>0</v>
      </c>
      <c r="I639" s="589">
        <f t="shared" si="115"/>
        <v>0</v>
      </c>
      <c r="J639" s="371"/>
    </row>
    <row r="640" spans="1:10" ht="35.25" customHeight="1" x14ac:dyDescent="0.25">
      <c r="A640" s="951"/>
      <c r="B640" s="829"/>
      <c r="C640" s="279" t="s">
        <v>300</v>
      </c>
      <c r="D640" s="430" t="s">
        <v>237</v>
      </c>
      <c r="E640" s="280"/>
      <c r="F640" s="431">
        <f>+E640+F530</f>
        <v>0</v>
      </c>
      <c r="G640" s="595">
        <v>63.55</v>
      </c>
      <c r="H640" s="586">
        <f t="shared" si="116"/>
        <v>0</v>
      </c>
      <c r="I640" s="589">
        <f t="shared" si="115"/>
        <v>0</v>
      </c>
      <c r="J640" s="371"/>
    </row>
    <row r="641" spans="1:10" ht="35.25" customHeight="1" x14ac:dyDescent="0.25">
      <c r="A641" s="951"/>
      <c r="B641" s="829"/>
      <c r="C641" s="279" t="s">
        <v>274</v>
      </c>
      <c r="D641" s="430" t="s">
        <v>237</v>
      </c>
      <c r="E641" s="836">
        <f>7200+42000</f>
        <v>49200</v>
      </c>
      <c r="F641" s="837">
        <f>+E641+F531</f>
        <v>113100</v>
      </c>
      <c r="G641" s="838">
        <v>71.44</v>
      </c>
      <c r="H641" s="586">
        <f t="shared" si="116"/>
        <v>3514848</v>
      </c>
      <c r="I641" s="589">
        <f t="shared" si="115"/>
        <v>8079864</v>
      </c>
      <c r="J641" s="371"/>
    </row>
    <row r="642" spans="1:10" ht="35.25" customHeight="1" x14ac:dyDescent="0.25">
      <c r="A642" s="951"/>
      <c r="B642" s="829"/>
      <c r="C642" s="279" t="s">
        <v>275</v>
      </c>
      <c r="D642" s="430" t="s">
        <v>237</v>
      </c>
      <c r="E642" s="280"/>
      <c r="F642" s="431">
        <f>+E642+F532</f>
        <v>0</v>
      </c>
      <c r="G642" s="595">
        <v>36.5</v>
      </c>
      <c r="H642" s="586">
        <f t="shared" si="116"/>
        <v>0</v>
      </c>
      <c r="I642" s="589">
        <f t="shared" si="115"/>
        <v>0</v>
      </c>
      <c r="J642" s="371"/>
    </row>
    <row r="643" spans="1:10" ht="35.25" customHeight="1" x14ac:dyDescent="0.25">
      <c r="A643" s="951"/>
      <c r="B643" s="829"/>
      <c r="C643" s="279" t="s">
        <v>424</v>
      </c>
      <c r="D643" s="430" t="s">
        <v>237</v>
      </c>
      <c r="E643" s="280"/>
      <c r="F643" s="431">
        <f>+E643+F533</f>
        <v>0</v>
      </c>
      <c r="G643" s="595">
        <v>320.35000000000002</v>
      </c>
      <c r="H643" s="586">
        <f t="shared" si="116"/>
        <v>0</v>
      </c>
      <c r="I643" s="589">
        <f t="shared" si="115"/>
        <v>0</v>
      </c>
      <c r="J643" s="371"/>
    </row>
    <row r="644" spans="1:10" ht="35.25" customHeight="1" x14ac:dyDescent="0.25">
      <c r="A644" s="951"/>
      <c r="B644" s="829"/>
      <c r="C644" s="279" t="s">
        <v>284</v>
      </c>
      <c r="D644" s="430" t="s">
        <v>237</v>
      </c>
      <c r="E644" s="280"/>
      <c r="F644" s="431">
        <f>+E644+F534</f>
        <v>0</v>
      </c>
      <c r="G644" s="595">
        <v>320.35000000000002</v>
      </c>
      <c r="H644" s="586">
        <f t="shared" si="116"/>
        <v>0</v>
      </c>
      <c r="I644" s="589">
        <f t="shared" si="115"/>
        <v>0</v>
      </c>
      <c r="J644" s="371"/>
    </row>
    <row r="645" spans="1:10" ht="35.25" customHeight="1" x14ac:dyDescent="0.25">
      <c r="A645" s="951"/>
      <c r="B645" s="829"/>
      <c r="C645" s="279" t="s">
        <v>295</v>
      </c>
      <c r="D645" s="430" t="s">
        <v>237</v>
      </c>
      <c r="E645" s="280"/>
      <c r="F645" s="431">
        <f>+E645+F535</f>
        <v>0</v>
      </c>
      <c r="G645" s="595">
        <v>434.41</v>
      </c>
      <c r="H645" s="586">
        <f t="shared" si="116"/>
        <v>0</v>
      </c>
      <c r="I645" s="589">
        <f t="shared" si="115"/>
        <v>0</v>
      </c>
      <c r="J645" s="371"/>
    </row>
    <row r="646" spans="1:10" ht="35.25" customHeight="1" x14ac:dyDescent="0.25">
      <c r="A646" s="951"/>
      <c r="B646" s="829"/>
      <c r="C646" s="279" t="s">
        <v>281</v>
      </c>
      <c r="D646" s="430" t="s">
        <v>237</v>
      </c>
      <c r="E646" s="280"/>
      <c r="F646" s="431">
        <f>+E646+F536</f>
        <v>0</v>
      </c>
      <c r="G646" s="595">
        <v>29690</v>
      </c>
      <c r="H646" s="586">
        <f t="shared" si="116"/>
        <v>0</v>
      </c>
      <c r="I646" s="589">
        <f t="shared" si="115"/>
        <v>0</v>
      </c>
      <c r="J646" s="371"/>
    </row>
    <row r="647" spans="1:10" ht="35.25" customHeight="1" x14ac:dyDescent="0.25">
      <c r="A647" s="951"/>
      <c r="B647" s="829"/>
      <c r="C647" s="279" t="s">
        <v>281</v>
      </c>
      <c r="D647" s="430" t="s">
        <v>237</v>
      </c>
      <c r="E647" s="280"/>
      <c r="F647" s="431">
        <f>+E647+F537</f>
        <v>0</v>
      </c>
      <c r="G647" s="595">
        <v>26445</v>
      </c>
      <c r="H647" s="586">
        <f t="shared" si="116"/>
        <v>0</v>
      </c>
      <c r="I647" s="589">
        <f t="shared" si="115"/>
        <v>0</v>
      </c>
      <c r="J647" s="371"/>
    </row>
    <row r="648" spans="1:10" ht="35.25" customHeight="1" x14ac:dyDescent="0.25">
      <c r="A648" s="951"/>
      <c r="B648" s="829"/>
      <c r="C648" s="279" t="s">
        <v>281</v>
      </c>
      <c r="D648" s="430"/>
      <c r="E648" s="280"/>
      <c r="F648" s="431">
        <f>+E648+F538</f>
        <v>4</v>
      </c>
      <c r="G648" s="595">
        <v>29690</v>
      </c>
      <c r="H648" s="586">
        <f t="shared" si="116"/>
        <v>0</v>
      </c>
      <c r="I648" s="589">
        <f t="shared" si="115"/>
        <v>118760</v>
      </c>
      <c r="J648" s="371"/>
    </row>
    <row r="649" spans="1:10" ht="35.25" customHeight="1" x14ac:dyDescent="0.25">
      <c r="A649" s="951"/>
      <c r="B649" s="829"/>
      <c r="C649" s="279" t="s">
        <v>310</v>
      </c>
      <c r="D649" s="430" t="s">
        <v>335</v>
      </c>
      <c r="E649" s="280"/>
      <c r="F649" s="431">
        <f>+E649+F539</f>
        <v>0</v>
      </c>
      <c r="G649" s="595">
        <v>50</v>
      </c>
      <c r="H649" s="586">
        <f t="shared" si="116"/>
        <v>0</v>
      </c>
      <c r="I649" s="589">
        <f t="shared" si="115"/>
        <v>0</v>
      </c>
      <c r="J649" s="371"/>
    </row>
    <row r="650" spans="1:10" ht="35.25" customHeight="1" x14ac:dyDescent="0.25">
      <c r="A650" s="951"/>
      <c r="B650" s="829"/>
      <c r="C650" s="279" t="s">
        <v>310</v>
      </c>
      <c r="D650" s="430"/>
      <c r="E650" s="280"/>
      <c r="F650" s="431">
        <f>+E650+F540</f>
        <v>0</v>
      </c>
      <c r="G650" s="595">
        <v>10</v>
      </c>
      <c r="H650" s="586">
        <f t="shared" si="116"/>
        <v>0</v>
      </c>
      <c r="I650" s="589">
        <f t="shared" si="115"/>
        <v>0</v>
      </c>
      <c r="J650" s="371"/>
    </row>
    <row r="651" spans="1:10" ht="35.25" customHeight="1" x14ac:dyDescent="0.25">
      <c r="A651" s="951"/>
      <c r="B651" s="829"/>
      <c r="C651" s="279" t="s">
        <v>509</v>
      </c>
      <c r="D651" s="430" t="s">
        <v>237</v>
      </c>
      <c r="E651" s="280"/>
      <c r="F651" s="431">
        <f>+E651+F541</f>
        <v>6000</v>
      </c>
      <c r="G651" s="595">
        <v>65.459999999999994</v>
      </c>
      <c r="H651" s="586">
        <f t="shared" si="116"/>
        <v>0</v>
      </c>
      <c r="I651" s="589">
        <f t="shared" si="115"/>
        <v>392759.99999999994</v>
      </c>
      <c r="J651" s="371"/>
    </row>
    <row r="652" spans="1:10" ht="35.25" customHeight="1" x14ac:dyDescent="0.25">
      <c r="A652" s="951"/>
      <c r="B652" s="829"/>
      <c r="C652" s="279" t="s">
        <v>327</v>
      </c>
      <c r="D652" s="430" t="s">
        <v>438</v>
      </c>
      <c r="E652" s="280">
        <v>240</v>
      </c>
      <c r="F652" s="431">
        <f>+E652+F542</f>
        <v>240</v>
      </c>
      <c r="G652" s="595">
        <v>57.64</v>
      </c>
      <c r="H652" s="586">
        <f t="shared" si="116"/>
        <v>13833.6</v>
      </c>
      <c r="I652" s="589">
        <f t="shared" si="115"/>
        <v>13833.6</v>
      </c>
      <c r="J652" s="371"/>
    </row>
    <row r="653" spans="1:10" ht="35.25" customHeight="1" x14ac:dyDescent="0.25">
      <c r="A653" s="951"/>
      <c r="B653" s="829"/>
      <c r="C653" s="279" t="s">
        <v>328</v>
      </c>
      <c r="D653" s="430" t="s">
        <v>329</v>
      </c>
      <c r="E653" s="280"/>
      <c r="F653" s="431">
        <f>+E653+F543</f>
        <v>0</v>
      </c>
      <c r="G653" s="595">
        <v>434.41</v>
      </c>
      <c r="H653" s="586">
        <f t="shared" si="116"/>
        <v>0</v>
      </c>
      <c r="I653" s="589">
        <f t="shared" si="115"/>
        <v>0</v>
      </c>
      <c r="J653" s="371"/>
    </row>
    <row r="654" spans="1:10" ht="35.25" customHeight="1" x14ac:dyDescent="0.25">
      <c r="A654" s="951"/>
      <c r="B654" s="829"/>
      <c r="C654" s="279" t="s">
        <v>341</v>
      </c>
      <c r="D654" s="430" t="s">
        <v>237</v>
      </c>
      <c r="E654" s="280"/>
      <c r="F654" s="431">
        <f>+E654+F544</f>
        <v>0</v>
      </c>
      <c r="G654" s="595">
        <v>624.26</v>
      </c>
      <c r="H654" s="586">
        <f t="shared" si="116"/>
        <v>0</v>
      </c>
      <c r="I654" s="589">
        <f t="shared" si="115"/>
        <v>0</v>
      </c>
      <c r="J654" s="371"/>
    </row>
    <row r="655" spans="1:10" ht="35.25" customHeight="1" x14ac:dyDescent="0.25">
      <c r="A655" s="951"/>
      <c r="B655" s="829"/>
      <c r="C655" s="279" t="s">
        <v>330</v>
      </c>
      <c r="D655" s="430" t="s">
        <v>329</v>
      </c>
      <c r="E655" s="280"/>
      <c r="F655" s="431">
        <f>+E655+F545</f>
        <v>0</v>
      </c>
      <c r="G655" s="595">
        <v>63.55</v>
      </c>
      <c r="H655" s="586">
        <f t="shared" si="116"/>
        <v>0</v>
      </c>
      <c r="I655" s="589">
        <f t="shared" si="115"/>
        <v>0</v>
      </c>
      <c r="J655" s="371"/>
    </row>
    <row r="656" spans="1:10" ht="35.25" customHeight="1" x14ac:dyDescent="0.25">
      <c r="A656" s="951"/>
      <c r="B656" s="829"/>
      <c r="C656" s="279" t="s">
        <v>369</v>
      </c>
      <c r="D656" s="430" t="s">
        <v>237</v>
      </c>
      <c r="E656" s="280"/>
      <c r="F656" s="431">
        <f>+E656+F546</f>
        <v>0</v>
      </c>
      <c r="G656" s="595">
        <v>59.96</v>
      </c>
      <c r="H656" s="586">
        <f t="shared" si="116"/>
        <v>0</v>
      </c>
      <c r="I656" s="589">
        <f t="shared" si="115"/>
        <v>0</v>
      </c>
      <c r="J656" s="371"/>
    </row>
    <row r="657" spans="1:10" ht="35.25" customHeight="1" x14ac:dyDescent="0.25">
      <c r="A657" s="951"/>
      <c r="B657" s="829"/>
      <c r="C657" s="279" t="s">
        <v>417</v>
      </c>
      <c r="D657" s="430" t="s">
        <v>329</v>
      </c>
      <c r="E657" s="280"/>
      <c r="F657" s="431">
        <f>+E657+F547</f>
        <v>0</v>
      </c>
      <c r="G657" s="595">
        <v>53.86</v>
      </c>
      <c r="H657" s="586">
        <f t="shared" si="116"/>
        <v>0</v>
      </c>
      <c r="I657" s="589">
        <f t="shared" si="115"/>
        <v>0</v>
      </c>
      <c r="J657" s="371"/>
    </row>
    <row r="658" spans="1:10" ht="35.25" customHeight="1" x14ac:dyDescent="0.25">
      <c r="A658" s="951"/>
      <c r="B658" s="829"/>
      <c r="C658" s="279" t="s">
        <v>377</v>
      </c>
      <c r="D658" s="430"/>
      <c r="E658" s="280"/>
      <c r="F658" s="431">
        <f>+E658+F548</f>
        <v>0</v>
      </c>
      <c r="G658" s="595">
        <v>360</v>
      </c>
      <c r="H658" s="586">
        <f t="shared" si="116"/>
        <v>0</v>
      </c>
      <c r="I658" s="589">
        <f t="shared" si="115"/>
        <v>0</v>
      </c>
      <c r="J658" s="371"/>
    </row>
    <row r="659" spans="1:10" ht="35.25" customHeight="1" x14ac:dyDescent="0.25">
      <c r="A659" s="951"/>
      <c r="B659" s="829"/>
      <c r="C659" s="279" t="s">
        <v>465</v>
      </c>
      <c r="D659" s="430"/>
      <c r="E659" s="280"/>
      <c r="F659" s="431">
        <f>+E659+F549</f>
        <v>0</v>
      </c>
      <c r="G659" s="595"/>
      <c r="H659" s="586">
        <f>+E659</f>
        <v>0</v>
      </c>
      <c r="I659" s="589">
        <f>+H659</f>
        <v>0</v>
      </c>
      <c r="J659" s="371"/>
    </row>
    <row r="660" spans="1:10" ht="35.25" customHeight="1" x14ac:dyDescent="0.25">
      <c r="A660" s="951"/>
      <c r="B660" s="829"/>
      <c r="C660" s="279" t="s">
        <v>281</v>
      </c>
      <c r="D660" s="430"/>
      <c r="E660" s="280"/>
      <c r="F660" s="431">
        <f>+E660+F550</f>
        <v>0</v>
      </c>
      <c r="G660" s="595">
        <v>39450</v>
      </c>
      <c r="H660" s="586">
        <f t="shared" ref="H660:H661" si="117">E660*G660</f>
        <v>0</v>
      </c>
      <c r="I660" s="589">
        <f t="shared" ref="I660:I661" si="118">+G660*F660</f>
        <v>0</v>
      </c>
      <c r="J660" s="371"/>
    </row>
    <row r="661" spans="1:10" ht="35.25" customHeight="1" thickBot="1" x14ac:dyDescent="0.3">
      <c r="A661" s="951"/>
      <c r="B661" s="829"/>
      <c r="C661" s="279" t="s">
        <v>327</v>
      </c>
      <c r="D661" s="430" t="s">
        <v>438</v>
      </c>
      <c r="E661" s="280"/>
      <c r="F661" s="431">
        <f>+E661+F551</f>
        <v>0</v>
      </c>
      <c r="G661" s="595">
        <v>57.64</v>
      </c>
      <c r="H661" s="586">
        <f t="shared" si="117"/>
        <v>0</v>
      </c>
      <c r="I661" s="589">
        <f t="shared" si="118"/>
        <v>0</v>
      </c>
      <c r="J661" s="371"/>
    </row>
    <row r="662" spans="1:10" ht="35.25" customHeight="1" thickBot="1" x14ac:dyDescent="0.3">
      <c r="A662" s="952"/>
      <c r="B662" s="946" t="s">
        <v>269</v>
      </c>
      <c r="C662" s="947"/>
      <c r="D662" s="831"/>
      <c r="E662" s="324">
        <f>SUM(E637:E661)</f>
        <v>49440</v>
      </c>
      <c r="F662" s="324">
        <f>SUM(F637:F661)</f>
        <v>119936</v>
      </c>
      <c r="G662" s="324"/>
      <c r="H662" s="583">
        <f>SUM(H637:H661)</f>
        <v>3528681.6</v>
      </c>
      <c r="I662" s="573">
        <f>SUM(I637:I661)</f>
        <v>8859789.4399999995</v>
      </c>
      <c r="J662" s="370"/>
    </row>
    <row r="663" spans="1:10" ht="35.25" customHeight="1" thickBot="1" x14ac:dyDescent="0.3">
      <c r="A663" s="835"/>
      <c r="B663" s="433"/>
      <c r="C663" s="279" t="s">
        <v>377</v>
      </c>
      <c r="D663" s="430"/>
      <c r="E663" s="280"/>
      <c r="F663" s="281">
        <f>+E663</f>
        <v>0</v>
      </c>
      <c r="G663" s="332"/>
      <c r="H663" s="582">
        <f t="shared" ref="H663" si="119">E663*G663</f>
        <v>0</v>
      </c>
      <c r="I663" s="282">
        <f t="shared" ref="I663" si="120">+G663*F663</f>
        <v>0</v>
      </c>
      <c r="J663" s="371"/>
    </row>
    <row r="664" spans="1:10" ht="35.25" customHeight="1" thickBot="1" x14ac:dyDescent="0.3">
      <c r="A664" s="835"/>
      <c r="B664" s="946" t="s">
        <v>223</v>
      </c>
      <c r="C664" s="947"/>
      <c r="D664" s="827"/>
      <c r="E664" s="324"/>
      <c r="F664" s="325"/>
      <c r="G664" s="324"/>
      <c r="H664" s="580"/>
      <c r="I664" s="322">
        <f>SUM(I663)</f>
        <v>0</v>
      </c>
      <c r="J664" s="347"/>
    </row>
    <row r="665" spans="1:10" ht="35.25" customHeight="1" thickBot="1" x14ac:dyDescent="0.3">
      <c r="A665" s="318"/>
      <c r="B665" s="948" t="s">
        <v>174</v>
      </c>
      <c r="C665" s="949"/>
      <c r="D665" s="828"/>
      <c r="E665" s="372">
        <f>+E662+E636+E603+E601</f>
        <v>308020</v>
      </c>
      <c r="F665" s="372">
        <f>+F662+F636+F603+F601</f>
        <v>1246824</v>
      </c>
      <c r="G665" s="372"/>
      <c r="H665" s="372"/>
      <c r="I665" s="372">
        <f>+I662+I636+I603+I664</f>
        <v>39317724.899999999</v>
      </c>
      <c r="J665" s="373"/>
    </row>
    <row r="667" spans="1:10" x14ac:dyDescent="0.25">
      <c r="G667" s="222"/>
      <c r="H667" s="222"/>
    </row>
  </sheetData>
  <mergeCells count="145">
    <mergeCell ref="B664:C664"/>
    <mergeCell ref="B665:C665"/>
    <mergeCell ref="A561:A603"/>
    <mergeCell ref="B578:C578"/>
    <mergeCell ref="B593:C593"/>
    <mergeCell ref="B601:C601"/>
    <mergeCell ref="B603:C603"/>
    <mergeCell ref="A604:A636"/>
    <mergeCell ref="B636:C636"/>
    <mergeCell ref="A637:A662"/>
    <mergeCell ref="B662:C662"/>
    <mergeCell ref="A557:A560"/>
    <mergeCell ref="B557:B560"/>
    <mergeCell ref="C557:C560"/>
    <mergeCell ref="D557:D560"/>
    <mergeCell ref="E557:J557"/>
    <mergeCell ref="E558:F558"/>
    <mergeCell ref="G558:J558"/>
    <mergeCell ref="E559:E560"/>
    <mergeCell ref="F559:F560"/>
    <mergeCell ref="G559:G560"/>
    <mergeCell ref="H559:H560"/>
    <mergeCell ref="I559:I560"/>
    <mergeCell ref="J559:J560"/>
    <mergeCell ref="B555:C555"/>
    <mergeCell ref="A494:A526"/>
    <mergeCell ref="B526:C526"/>
    <mergeCell ref="A527:A552"/>
    <mergeCell ref="B552:C552"/>
    <mergeCell ref="B554:C554"/>
    <mergeCell ref="A451:A493"/>
    <mergeCell ref="B468:C468"/>
    <mergeCell ref="B483:C483"/>
    <mergeCell ref="B491:C491"/>
    <mergeCell ref="B493:C493"/>
    <mergeCell ref="A447:A450"/>
    <mergeCell ref="B447:B450"/>
    <mergeCell ref="C447:C450"/>
    <mergeCell ref="D447:D450"/>
    <mergeCell ref="E447:J447"/>
    <mergeCell ref="E448:F448"/>
    <mergeCell ref="G448:J448"/>
    <mergeCell ref="E449:E450"/>
    <mergeCell ref="F449:F450"/>
    <mergeCell ref="G449:G450"/>
    <mergeCell ref="H449:H450"/>
    <mergeCell ref="I449:I450"/>
    <mergeCell ref="J449:J450"/>
    <mergeCell ref="B445:C445"/>
    <mergeCell ref="A384:A416"/>
    <mergeCell ref="B416:C416"/>
    <mergeCell ref="A417:A442"/>
    <mergeCell ref="B442:C442"/>
    <mergeCell ref="B444:C444"/>
    <mergeCell ref="A342:A383"/>
    <mergeCell ref="B358:C358"/>
    <mergeCell ref="B373:C373"/>
    <mergeCell ref="B381:C381"/>
    <mergeCell ref="B383:C383"/>
    <mergeCell ref="A338:A341"/>
    <mergeCell ref="B338:B341"/>
    <mergeCell ref="C338:C341"/>
    <mergeCell ref="D338:D341"/>
    <mergeCell ref="E338:J338"/>
    <mergeCell ref="E339:F339"/>
    <mergeCell ref="G339:J339"/>
    <mergeCell ref="E340:E341"/>
    <mergeCell ref="F340:F341"/>
    <mergeCell ref="G340:G341"/>
    <mergeCell ref="H340:H341"/>
    <mergeCell ref="I340:I341"/>
    <mergeCell ref="J340:J341"/>
    <mergeCell ref="B336:C336"/>
    <mergeCell ref="A275:A307"/>
    <mergeCell ref="B307:C307"/>
    <mergeCell ref="A308:A333"/>
    <mergeCell ref="B333:C333"/>
    <mergeCell ref="B335:C335"/>
    <mergeCell ref="A233:A274"/>
    <mergeCell ref="B249:C249"/>
    <mergeCell ref="B264:C264"/>
    <mergeCell ref="B272:C272"/>
    <mergeCell ref="B274:C274"/>
    <mergeCell ref="A229:A232"/>
    <mergeCell ref="B229:B232"/>
    <mergeCell ref="C229:C232"/>
    <mergeCell ref="D229:D232"/>
    <mergeCell ref="E229:J229"/>
    <mergeCell ref="E230:F230"/>
    <mergeCell ref="G230:J230"/>
    <mergeCell ref="E231:E232"/>
    <mergeCell ref="F231:F232"/>
    <mergeCell ref="G231:G232"/>
    <mergeCell ref="H231:H232"/>
    <mergeCell ref="I231:I232"/>
    <mergeCell ref="J231:J232"/>
    <mergeCell ref="B227:C227"/>
    <mergeCell ref="A166:A198"/>
    <mergeCell ref="B198:C198"/>
    <mergeCell ref="A199:A224"/>
    <mergeCell ref="B224:C224"/>
    <mergeCell ref="B226:C226"/>
    <mergeCell ref="A124:A165"/>
    <mergeCell ref="B140:C140"/>
    <mergeCell ref="B155:C155"/>
    <mergeCell ref="B163:C163"/>
    <mergeCell ref="B165:C165"/>
    <mergeCell ref="A120:A123"/>
    <mergeCell ref="B120:B123"/>
    <mergeCell ref="C120:C123"/>
    <mergeCell ref="D120:D123"/>
    <mergeCell ref="E120:J120"/>
    <mergeCell ref="E121:F121"/>
    <mergeCell ref="G121:J121"/>
    <mergeCell ref="E122:E123"/>
    <mergeCell ref="F122:F123"/>
    <mergeCell ref="G122:G123"/>
    <mergeCell ref="H122:H123"/>
    <mergeCell ref="I122:I123"/>
    <mergeCell ref="J122:J123"/>
    <mergeCell ref="A9:J9"/>
    <mergeCell ref="A11:A14"/>
    <mergeCell ref="B11:B14"/>
    <mergeCell ref="C11:C14"/>
    <mergeCell ref="D11:D14"/>
    <mergeCell ref="E11:J11"/>
    <mergeCell ref="E12:F12"/>
    <mergeCell ref="G12:J12"/>
    <mergeCell ref="E13:E14"/>
    <mergeCell ref="F13:F14"/>
    <mergeCell ref="G13:G14"/>
    <mergeCell ref="H13:H14"/>
    <mergeCell ref="I13:I14"/>
    <mergeCell ref="J13:J14"/>
    <mergeCell ref="B117:C117"/>
    <mergeCell ref="B118:C118"/>
    <mergeCell ref="A15:A56"/>
    <mergeCell ref="B31:C31"/>
    <mergeCell ref="B46:C46"/>
    <mergeCell ref="B54:C54"/>
    <mergeCell ref="B56:C56"/>
    <mergeCell ref="A57:A89"/>
    <mergeCell ref="B89:C89"/>
    <mergeCell ref="A90:A115"/>
    <mergeCell ref="B115:C115"/>
  </mergeCells>
  <pageMargins left="0.19685039370078741" right="0.19685039370078741" top="0.19685039370078741" bottom="0.19685039370078741" header="0.19685039370078741" footer="0.19685039370078741"/>
  <pageSetup paperSize="9" scale="20" orientation="portrait" verticalDpi="300" r:id="rId1"/>
  <rowBreaks count="5" manualBreakCount="5">
    <brk id="118" max="8" man="1"/>
    <brk id="227" max="8" man="1"/>
    <brk id="336" max="8" man="1"/>
    <brk id="445" max="8" man="1"/>
    <brk id="555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A1:O108"/>
  <sheetViews>
    <sheetView tabSelected="1" view="pageBreakPreview" topLeftCell="A89" zoomScale="50" zoomScaleNormal="70" zoomScaleSheetLayoutView="50" workbookViewId="0">
      <selection activeCell="F97" sqref="F97"/>
    </sheetView>
  </sheetViews>
  <sheetFormatPr baseColWidth="10" defaultColWidth="9.140625" defaultRowHeight="16.5" x14ac:dyDescent="0.25"/>
  <cols>
    <col min="1" max="1" width="11.28515625" style="229" customWidth="1"/>
    <col min="2" max="2" width="51.140625" style="266" customWidth="1"/>
    <col min="3" max="3" width="38.140625" style="229" customWidth="1"/>
    <col min="4" max="4" width="38" style="222" customWidth="1"/>
    <col min="5" max="5" width="26.5703125" style="222" customWidth="1"/>
    <col min="6" max="6" width="39.140625" style="223" customWidth="1"/>
    <col min="7" max="7" width="33.42578125" style="222" customWidth="1"/>
    <col min="8" max="8" width="39" style="222" customWidth="1"/>
    <col min="9" max="9" width="41.42578125" style="222" customWidth="1"/>
    <col min="10" max="10" width="40.42578125" style="224" customWidth="1"/>
    <col min="11" max="11" width="9.140625" style="229"/>
    <col min="12" max="12" width="8.42578125" style="229" customWidth="1"/>
    <col min="13" max="14" width="9.140625" style="229" hidden="1" customWidth="1"/>
    <col min="15" max="15" width="13" style="229" bestFit="1" customWidth="1"/>
    <col min="16" max="16384" width="9.140625" style="229"/>
  </cols>
  <sheetData>
    <row r="1" spans="1:15" x14ac:dyDescent="0.25">
      <c r="A1" s="229" t="s">
        <v>304</v>
      </c>
    </row>
    <row r="7" spans="1:15" ht="67.150000000000006" customHeight="1" x14ac:dyDescent="0.25">
      <c r="A7" s="220" t="s">
        <v>0</v>
      </c>
    </row>
    <row r="9" spans="1:15" ht="81" customHeight="1" x14ac:dyDescent="0.25">
      <c r="A9" s="879" t="s">
        <v>490</v>
      </c>
      <c r="B9" s="880"/>
      <c r="C9" s="880"/>
      <c r="D9" s="880"/>
      <c r="E9" s="880"/>
      <c r="F9" s="880"/>
      <c r="G9" s="880"/>
      <c r="H9" s="880"/>
      <c r="I9" s="880"/>
      <c r="J9" s="880"/>
    </row>
    <row r="10" spans="1:15" ht="24.6" customHeight="1" thickBot="1" x14ac:dyDescent="0.3">
      <c r="A10" s="230"/>
      <c r="B10" s="230"/>
      <c r="C10" s="230"/>
      <c r="D10" s="232"/>
      <c r="E10" s="232"/>
      <c r="F10" s="232"/>
      <c r="G10" s="232"/>
      <c r="H10" s="232"/>
      <c r="I10" s="232"/>
      <c r="J10" s="234"/>
    </row>
    <row r="11" spans="1:15" ht="41.45" customHeight="1" x14ac:dyDescent="0.25">
      <c r="A11" s="881" t="s">
        <v>1</v>
      </c>
      <c r="B11" s="887" t="s">
        <v>394</v>
      </c>
      <c r="C11" s="887" t="s">
        <v>225</v>
      </c>
      <c r="D11" s="971" t="s">
        <v>489</v>
      </c>
      <c r="E11" s="972"/>
      <c r="F11" s="972"/>
      <c r="G11" s="972"/>
      <c r="H11" s="973"/>
      <c r="I11" s="974" t="s">
        <v>415</v>
      </c>
      <c r="J11" s="974" t="s">
        <v>416</v>
      </c>
      <c r="K11" s="229" t="s">
        <v>418</v>
      </c>
    </row>
    <row r="12" spans="1:15" ht="41.45" customHeight="1" x14ac:dyDescent="0.25">
      <c r="A12" s="953"/>
      <c r="B12" s="970"/>
      <c r="C12" s="970"/>
      <c r="D12" s="977" t="s">
        <v>228</v>
      </c>
      <c r="E12" s="978"/>
      <c r="F12" s="979"/>
      <c r="G12" s="977" t="s">
        <v>226</v>
      </c>
      <c r="H12" s="979"/>
      <c r="I12" s="975"/>
      <c r="J12" s="975"/>
    </row>
    <row r="13" spans="1:15" ht="25.9" customHeight="1" x14ac:dyDescent="0.25">
      <c r="A13" s="882"/>
      <c r="B13" s="888"/>
      <c r="C13" s="888"/>
      <c r="D13" s="980" t="s">
        <v>413</v>
      </c>
      <c r="E13" s="982" t="s">
        <v>9</v>
      </c>
      <c r="F13" s="984" t="s">
        <v>414</v>
      </c>
      <c r="G13" s="986" t="s">
        <v>227</v>
      </c>
      <c r="H13" s="988" t="s">
        <v>414</v>
      </c>
      <c r="I13" s="975"/>
      <c r="J13" s="975"/>
    </row>
    <row r="14" spans="1:15" ht="25.9" customHeight="1" thickBot="1" x14ac:dyDescent="0.3">
      <c r="A14" s="883"/>
      <c r="B14" s="889"/>
      <c r="C14" s="889"/>
      <c r="D14" s="981"/>
      <c r="E14" s="983"/>
      <c r="F14" s="985"/>
      <c r="G14" s="987"/>
      <c r="H14" s="989"/>
      <c r="I14" s="976"/>
      <c r="J14" s="976"/>
    </row>
    <row r="15" spans="1:15" ht="60.6" customHeight="1" x14ac:dyDescent="0.25">
      <c r="A15" s="268" t="s">
        <v>103</v>
      </c>
      <c r="B15" s="565" t="s">
        <v>219</v>
      </c>
      <c r="C15" s="543">
        <f>+'01 Prod Physique Boites'!E46</f>
        <v>0</v>
      </c>
      <c r="D15" s="544">
        <f>+'01 Prod Physique Boites'!K46</f>
        <v>110340</v>
      </c>
      <c r="E15" s="545" t="str">
        <f>IFERROR(D15/C15,"-")</f>
        <v>-</v>
      </c>
      <c r="F15" s="546">
        <f>+'02 Prod Valorisée Boites'!G48</f>
        <v>1963214.21</v>
      </c>
      <c r="G15" s="544">
        <f>+'03 Prod Accessoires'!K19</f>
        <v>0</v>
      </c>
      <c r="H15" s="547">
        <f>+'03 Prod Accessoires'!Q19</f>
        <v>0</v>
      </c>
      <c r="I15" s="547">
        <f>+'02 Prod Valorisée Boites'!J48</f>
        <v>1363751.44</v>
      </c>
      <c r="J15" s="548">
        <f>+'04 Ventes'!I31</f>
        <v>0</v>
      </c>
      <c r="K15" s="672"/>
      <c r="L15" s="672"/>
      <c r="O15" s="664"/>
    </row>
    <row r="16" spans="1:15" ht="60.6" customHeight="1" x14ac:dyDescent="0.25">
      <c r="A16" s="703" t="s">
        <v>103</v>
      </c>
      <c r="B16" s="566" t="s">
        <v>220</v>
      </c>
      <c r="C16" s="549">
        <f>+'01 Prod Physique Boites'!E62</f>
        <v>0</v>
      </c>
      <c r="D16" s="550">
        <f>+'01 Prod Physique Boites'!K62</f>
        <v>2040</v>
      </c>
      <c r="E16" s="551" t="str">
        <f t="shared" ref="E16:E24" si="0">IFERROR(D16/C16,"-")</f>
        <v>-</v>
      </c>
      <c r="F16" s="552">
        <f>+'02 Prod Valorisée Boites'!G64</f>
        <v>44032.229999999996</v>
      </c>
      <c r="G16" s="550">
        <f>+'03 Prod Accessoires'!K27</f>
        <v>0</v>
      </c>
      <c r="H16" s="553">
        <f>+'03 Prod Accessoires'!Q27</f>
        <v>0</v>
      </c>
      <c r="I16" s="553">
        <f>+'02 Prod Valorisée Boites'!J64</f>
        <v>53460</v>
      </c>
      <c r="J16" s="554">
        <f>+'04 Ventes'!I46</f>
        <v>0</v>
      </c>
      <c r="K16" s="672"/>
      <c r="L16" s="672"/>
      <c r="O16" s="664"/>
    </row>
    <row r="17" spans="1:15" ht="60.6" customHeight="1" thickBot="1" x14ac:dyDescent="0.3">
      <c r="A17" s="274" t="s">
        <v>103</v>
      </c>
      <c r="B17" s="275" t="s">
        <v>221</v>
      </c>
      <c r="C17" s="549"/>
      <c r="D17" s="550"/>
      <c r="E17" s="551" t="str">
        <f t="shared" si="0"/>
        <v>-</v>
      </c>
      <c r="F17" s="552"/>
      <c r="G17" s="550"/>
      <c r="H17" s="553"/>
      <c r="I17" s="553"/>
      <c r="J17" s="554">
        <f>+'04 Ventes'!I54</f>
        <v>0</v>
      </c>
    </row>
    <row r="18" spans="1:15" s="293" customFormat="1" ht="60.6" customHeight="1" thickBot="1" x14ac:dyDescent="0.3">
      <c r="A18" s="317" t="s">
        <v>103</v>
      </c>
      <c r="B18" s="429" t="s">
        <v>222</v>
      </c>
      <c r="C18" s="555">
        <f>SUM(C15:C17)</f>
        <v>0</v>
      </c>
      <c r="D18" s="556">
        <f t="shared" ref="D18" si="1">SUM(D15:D17)</f>
        <v>112380</v>
      </c>
      <c r="E18" s="557" t="str">
        <f t="shared" si="0"/>
        <v>-</v>
      </c>
      <c r="F18" s="558">
        <f>SUM(F15:F17)</f>
        <v>2007246.44</v>
      </c>
      <c r="G18" s="556">
        <f t="shared" ref="G18:H18" si="2">SUM(G15:G17)</f>
        <v>0</v>
      </c>
      <c r="H18" s="558">
        <f t="shared" si="2"/>
        <v>0</v>
      </c>
      <c r="I18" s="558">
        <f>SUM(I15:I17)</f>
        <v>1417211.44</v>
      </c>
      <c r="J18" s="717">
        <f t="shared" ref="J18" si="3">SUM(J15:J17)</f>
        <v>0</v>
      </c>
    </row>
    <row r="19" spans="1:15" ht="60.6" customHeight="1" x14ac:dyDescent="0.25">
      <c r="A19" s="268" t="s">
        <v>101</v>
      </c>
      <c r="B19" s="565" t="s">
        <v>219</v>
      </c>
      <c r="C19" s="543">
        <f>+'01 Prod Physique Boites'!E98</f>
        <v>0</v>
      </c>
      <c r="D19" s="544">
        <f>+'01 Prod Physique Boites'!K98</f>
        <v>49863</v>
      </c>
      <c r="E19" s="545" t="str">
        <f t="shared" si="0"/>
        <v>-</v>
      </c>
      <c r="F19" s="546">
        <f>+'02 Prod Valorisée Boites'!G100</f>
        <v>828431.69759999996</v>
      </c>
      <c r="G19" s="544">
        <f>+'03 Prod Accessoires'!K37</f>
        <v>100000</v>
      </c>
      <c r="H19" s="547">
        <f>+'03 Prod Accessoires'!Q36</f>
        <v>221410.00000000003</v>
      </c>
      <c r="I19" s="543">
        <f>+'02 Prod Valorisée Boites'!J100</f>
        <v>1235810.1600000001</v>
      </c>
      <c r="J19" s="559">
        <f>+'04 Ventes'!I89</f>
        <v>0</v>
      </c>
      <c r="L19" s="672"/>
      <c r="O19" s="664"/>
    </row>
    <row r="20" spans="1:15" ht="60.6" customHeight="1" thickBot="1" x14ac:dyDescent="0.3">
      <c r="A20" s="703" t="s">
        <v>101</v>
      </c>
      <c r="B20" s="294" t="s">
        <v>221</v>
      </c>
      <c r="C20" s="560"/>
      <c r="D20" s="550"/>
      <c r="E20" s="551" t="str">
        <f t="shared" si="0"/>
        <v>-</v>
      </c>
      <c r="F20" s="552"/>
      <c r="G20" s="550"/>
      <c r="H20" s="553"/>
      <c r="I20" s="553"/>
      <c r="J20" s="561"/>
    </row>
    <row r="21" spans="1:15" s="293" customFormat="1" ht="60.6" customHeight="1" thickBot="1" x14ac:dyDescent="0.3">
      <c r="A21" s="317" t="s">
        <v>101</v>
      </c>
      <c r="B21" s="429" t="s">
        <v>223</v>
      </c>
      <c r="C21" s="555">
        <f>SUM(C19:C20)</f>
        <v>0</v>
      </c>
      <c r="D21" s="556">
        <f t="shared" ref="D21" si="4">SUM(D19:D20)</f>
        <v>49863</v>
      </c>
      <c r="E21" s="557" t="str">
        <f t="shared" si="0"/>
        <v>-</v>
      </c>
      <c r="F21" s="558">
        <f t="shared" ref="F21:J21" si="5">SUM(F19:F20)</f>
        <v>828431.69759999996</v>
      </c>
      <c r="G21" s="556">
        <f t="shared" si="5"/>
        <v>100000</v>
      </c>
      <c r="H21" s="558">
        <f t="shared" si="5"/>
        <v>221410.00000000003</v>
      </c>
      <c r="I21" s="558">
        <f t="shared" si="5"/>
        <v>1235810.1600000001</v>
      </c>
      <c r="J21" s="717">
        <f t="shared" si="5"/>
        <v>0</v>
      </c>
    </row>
    <row r="22" spans="1:15" ht="60.6" customHeight="1" x14ac:dyDescent="0.25">
      <c r="A22" s="268" t="s">
        <v>102</v>
      </c>
      <c r="B22" s="567" t="s">
        <v>220</v>
      </c>
      <c r="C22" s="547">
        <f>+'01 Prod Physique Boites'!E125</f>
        <v>0</v>
      </c>
      <c r="D22" s="544">
        <f>+'01 Prod Physique Boites'!K125</f>
        <v>38170</v>
      </c>
      <c r="E22" s="545" t="str">
        <f t="shared" si="0"/>
        <v>-</v>
      </c>
      <c r="F22" s="546">
        <f>+'02 Prod Valorisée Boites'!G126</f>
        <v>1399435.1555999999</v>
      </c>
      <c r="G22" s="544">
        <f>+'03 Prod Accessoires'!K73</f>
        <v>129480</v>
      </c>
      <c r="H22" s="547">
        <f>+'03 Prod Accessoires'!Q73</f>
        <v>612802.61999999988</v>
      </c>
      <c r="I22" s="547">
        <f>+'02 Prod Valorisée Boites'!J126</f>
        <v>2275638.7199999997</v>
      </c>
      <c r="J22" s="559">
        <f>+'04 Ventes'!I115</f>
        <v>118760</v>
      </c>
      <c r="K22" s="672"/>
      <c r="L22" s="672"/>
      <c r="O22" s="664"/>
    </row>
    <row r="23" spans="1:15" ht="60.6" customHeight="1" thickBot="1" x14ac:dyDescent="0.3">
      <c r="A23" s="703" t="s">
        <v>102</v>
      </c>
      <c r="B23" s="302" t="s">
        <v>221</v>
      </c>
      <c r="C23" s="553"/>
      <c r="D23" s="562"/>
      <c r="E23" s="563" t="str">
        <f t="shared" si="0"/>
        <v>-</v>
      </c>
      <c r="F23" s="564"/>
      <c r="G23" s="550"/>
      <c r="H23" s="553"/>
      <c r="I23" s="553"/>
      <c r="J23" s="561"/>
    </row>
    <row r="24" spans="1:15" s="293" customFormat="1" ht="60.6" customHeight="1" thickBot="1" x14ac:dyDescent="0.3">
      <c r="A24" s="317" t="s">
        <v>102</v>
      </c>
      <c r="B24" s="429" t="s">
        <v>224</v>
      </c>
      <c r="C24" s="555">
        <f>SUM(C22:C23)</f>
        <v>0</v>
      </c>
      <c r="D24" s="556">
        <f t="shared" ref="D24" si="6">SUM(D22:D23)</f>
        <v>38170</v>
      </c>
      <c r="E24" s="557" t="str">
        <f t="shared" si="0"/>
        <v>-</v>
      </c>
      <c r="F24" s="558">
        <f t="shared" ref="F24:J24" si="7">SUM(F22:F23)</f>
        <v>1399435.1555999999</v>
      </c>
      <c r="G24" s="556">
        <f t="shared" si="7"/>
        <v>129480</v>
      </c>
      <c r="H24" s="558">
        <f t="shared" si="7"/>
        <v>612802.61999999988</v>
      </c>
      <c r="I24" s="558">
        <f t="shared" si="7"/>
        <v>2275638.7199999997</v>
      </c>
      <c r="J24" s="717">
        <f t="shared" si="7"/>
        <v>118760</v>
      </c>
    </row>
    <row r="25" spans="1:15" ht="57.6" customHeight="1" thickBot="1" x14ac:dyDescent="0.3">
      <c r="A25" s="619"/>
      <c r="B25" s="541" t="s">
        <v>174</v>
      </c>
      <c r="C25" s="542">
        <f>+C18+C21+C24</f>
        <v>0</v>
      </c>
      <c r="D25" s="568">
        <f t="shared" ref="D25" si="8">+D18+D21+D24</f>
        <v>200413</v>
      </c>
      <c r="E25" s="569" t="str">
        <f>IFERROR(D25/C25,"-")</f>
        <v>-</v>
      </c>
      <c r="F25" s="568">
        <f>+F18+F21+F24</f>
        <v>4235113.2932000002</v>
      </c>
      <c r="G25" s="568">
        <f t="shared" ref="G25:H25" si="9">+G18+G21+G24</f>
        <v>229480</v>
      </c>
      <c r="H25" s="568">
        <f t="shared" si="9"/>
        <v>834212.61999999988</v>
      </c>
      <c r="I25" s="568">
        <f>+I18+I21+I24</f>
        <v>4928660.32</v>
      </c>
      <c r="J25" s="620">
        <f t="shared" ref="J25" si="10">+J18+J21+J24</f>
        <v>118760</v>
      </c>
    </row>
    <row r="26" spans="1:15" ht="24.6" customHeight="1" thickBot="1" x14ac:dyDescent="0.3">
      <c r="A26" s="230"/>
      <c r="B26" s="230"/>
      <c r="C26" s="230"/>
      <c r="D26" s="232"/>
      <c r="E26" s="232"/>
      <c r="F26" s="232"/>
      <c r="G26" s="232"/>
      <c r="H26" s="232"/>
      <c r="I26" s="232"/>
      <c r="J26" s="234"/>
    </row>
    <row r="27" spans="1:15" ht="41.45" customHeight="1" x14ac:dyDescent="0.25">
      <c r="A27" s="881" t="s">
        <v>1</v>
      </c>
      <c r="B27" s="887" t="s">
        <v>394</v>
      </c>
      <c r="C27" s="887" t="s">
        <v>225</v>
      </c>
      <c r="D27" s="971" t="s">
        <v>506</v>
      </c>
      <c r="E27" s="972"/>
      <c r="F27" s="972"/>
      <c r="G27" s="972"/>
      <c r="H27" s="973"/>
      <c r="I27" s="974" t="s">
        <v>415</v>
      </c>
      <c r="J27" s="974" t="s">
        <v>416</v>
      </c>
      <c r="K27" s="229" t="s">
        <v>418</v>
      </c>
    </row>
    <row r="28" spans="1:15" ht="41.45" customHeight="1" x14ac:dyDescent="0.25">
      <c r="A28" s="953"/>
      <c r="B28" s="970"/>
      <c r="C28" s="970"/>
      <c r="D28" s="977" t="s">
        <v>228</v>
      </c>
      <c r="E28" s="978"/>
      <c r="F28" s="979"/>
      <c r="G28" s="977" t="s">
        <v>226</v>
      </c>
      <c r="H28" s="979"/>
      <c r="I28" s="975"/>
      <c r="J28" s="975"/>
    </row>
    <row r="29" spans="1:15" ht="25.9" customHeight="1" x14ac:dyDescent="0.25">
      <c r="A29" s="882"/>
      <c r="B29" s="888"/>
      <c r="C29" s="888"/>
      <c r="D29" s="980" t="s">
        <v>413</v>
      </c>
      <c r="E29" s="982" t="s">
        <v>9</v>
      </c>
      <c r="F29" s="984" t="s">
        <v>414</v>
      </c>
      <c r="G29" s="986" t="s">
        <v>227</v>
      </c>
      <c r="H29" s="988" t="s">
        <v>414</v>
      </c>
      <c r="I29" s="975"/>
      <c r="J29" s="975"/>
    </row>
    <row r="30" spans="1:15" ht="25.9" customHeight="1" thickBot="1" x14ac:dyDescent="0.3">
      <c r="A30" s="883"/>
      <c r="B30" s="889"/>
      <c r="C30" s="889"/>
      <c r="D30" s="981"/>
      <c r="E30" s="983"/>
      <c r="F30" s="985"/>
      <c r="G30" s="987"/>
      <c r="H30" s="989"/>
      <c r="I30" s="976"/>
      <c r="J30" s="976"/>
    </row>
    <row r="31" spans="1:15" ht="60.6" customHeight="1" x14ac:dyDescent="0.25">
      <c r="A31" s="268" t="s">
        <v>103</v>
      </c>
      <c r="B31" s="565" t="s">
        <v>219</v>
      </c>
      <c r="C31" s="543">
        <f>+'01 Prod Physique Boites'!E164</f>
        <v>0</v>
      </c>
      <c r="D31" s="544">
        <f>+'01 Prod Physique Boites'!K164</f>
        <v>164963</v>
      </c>
      <c r="E31" s="545" t="str">
        <f>IFERROR(D31/C31,"-")</f>
        <v>-</v>
      </c>
      <c r="F31" s="546">
        <f>+'02 Prod Valorisée Boites'!G166</f>
        <v>2652327.8223999999</v>
      </c>
      <c r="G31" s="544">
        <f>+'03 Prod Accessoires'!K84</f>
        <v>262480</v>
      </c>
      <c r="H31" s="547">
        <f>+'03 Prod Accessoires'!Q84</f>
        <v>842806.51199999999</v>
      </c>
      <c r="I31" s="547">
        <f>+'02 Prod Valorisée Boites'!J166</f>
        <v>2379113.2800000003</v>
      </c>
      <c r="J31" s="548">
        <f>+'04 Ventes'!I140</f>
        <v>0</v>
      </c>
      <c r="K31" s="672"/>
      <c r="L31" s="672"/>
      <c r="O31" s="664"/>
    </row>
    <row r="32" spans="1:15" ht="60.6" customHeight="1" x14ac:dyDescent="0.25">
      <c r="A32" s="790" t="s">
        <v>103</v>
      </c>
      <c r="B32" s="566" t="s">
        <v>220</v>
      </c>
      <c r="C32" s="549">
        <f>+'01 Prod Physique Boites'!E180</f>
        <v>0</v>
      </c>
      <c r="D32" s="550">
        <f>+'01 Prod Physique Boites'!K180</f>
        <v>10517</v>
      </c>
      <c r="E32" s="551" t="str">
        <f t="shared" ref="E32:E40" si="11">IFERROR(D32/C32,"-")</f>
        <v>-</v>
      </c>
      <c r="F32" s="552">
        <f>+'02 Prod Valorisée Boites'!G182</f>
        <v>576130.75249999994</v>
      </c>
      <c r="G32" s="550">
        <f>+'03 Prod Accessoires'!K92</f>
        <v>4320</v>
      </c>
      <c r="H32" s="553">
        <f>+'03 Prod Accessoires'!Q92</f>
        <v>78760.512000000002</v>
      </c>
      <c r="I32" s="553">
        <f>+'02 Prod Valorisée Boites'!J182</f>
        <v>862348.75</v>
      </c>
      <c r="J32" s="554">
        <f>+'04 Ventes'!I155</f>
        <v>1015740</v>
      </c>
      <c r="K32" s="672"/>
      <c r="L32" s="672"/>
      <c r="O32" s="664"/>
    </row>
    <row r="33" spans="1:15" ht="60.6" customHeight="1" thickBot="1" x14ac:dyDescent="0.3">
      <c r="A33" s="274" t="s">
        <v>103</v>
      </c>
      <c r="B33" s="275" t="s">
        <v>221</v>
      </c>
      <c r="C33" s="549"/>
      <c r="D33" s="550"/>
      <c r="E33" s="551" t="str">
        <f t="shared" si="11"/>
        <v>-</v>
      </c>
      <c r="F33" s="552"/>
      <c r="G33" s="550"/>
      <c r="H33" s="553"/>
      <c r="I33" s="553"/>
      <c r="J33" s="554">
        <f>+'04 Ventes'!I163</f>
        <v>12500</v>
      </c>
    </row>
    <row r="34" spans="1:15" s="293" customFormat="1" ht="60.6" customHeight="1" thickBot="1" x14ac:dyDescent="0.3">
      <c r="A34" s="317" t="s">
        <v>103</v>
      </c>
      <c r="B34" s="429" t="s">
        <v>222</v>
      </c>
      <c r="C34" s="555">
        <f>SUM(C31:C33)</f>
        <v>0</v>
      </c>
      <c r="D34" s="556">
        <f t="shared" ref="D34" si="12">SUM(D31:D33)</f>
        <v>175480</v>
      </c>
      <c r="E34" s="557" t="str">
        <f t="shared" si="11"/>
        <v>-</v>
      </c>
      <c r="F34" s="558">
        <f>SUM(F31:F33)</f>
        <v>3228458.5748999999</v>
      </c>
      <c r="G34" s="556">
        <f t="shared" ref="G34:H34" si="13">SUM(G31:G33)</f>
        <v>266800</v>
      </c>
      <c r="H34" s="558">
        <f t="shared" si="13"/>
        <v>921567.02399999998</v>
      </c>
      <c r="I34" s="558">
        <f>SUM(I31:I33)</f>
        <v>3241462.0300000003</v>
      </c>
      <c r="J34" s="717">
        <f t="shared" ref="J34" si="14">SUM(J31:J33)</f>
        <v>1028240</v>
      </c>
    </row>
    <row r="35" spans="1:15" ht="60.6" customHeight="1" x14ac:dyDescent="0.25">
      <c r="A35" s="268" t="s">
        <v>101</v>
      </c>
      <c r="B35" s="565" t="s">
        <v>219</v>
      </c>
      <c r="C35" s="543">
        <f>+'01 Prod Physique Boites'!E216</f>
        <v>0</v>
      </c>
      <c r="D35" s="544">
        <f>+'01 Prod Physique Boites'!K216</f>
        <v>143714</v>
      </c>
      <c r="E35" s="545" t="str">
        <f t="shared" si="11"/>
        <v>-</v>
      </c>
      <c r="F35" s="546">
        <f>+'02 Prod Valorisée Boites'!G218</f>
        <v>2359016.5248000002</v>
      </c>
      <c r="G35" s="544">
        <f>+'03 Prod Accessoires'!K101</f>
        <v>200000</v>
      </c>
      <c r="H35" s="547">
        <f>+'03 Prod Accessoires'!Q102</f>
        <v>442820.00000000006</v>
      </c>
      <c r="I35" s="543">
        <f>+'02 Prod Valorisée Boites'!J218</f>
        <v>3556296.9</v>
      </c>
      <c r="J35" s="559">
        <f>+'04 Ventes'!I198</f>
        <v>0</v>
      </c>
      <c r="L35" s="672"/>
      <c r="O35" s="664"/>
    </row>
    <row r="36" spans="1:15" ht="60.6" customHeight="1" thickBot="1" x14ac:dyDescent="0.3">
      <c r="A36" s="790" t="s">
        <v>101</v>
      </c>
      <c r="B36" s="294" t="s">
        <v>221</v>
      </c>
      <c r="C36" s="560"/>
      <c r="D36" s="550"/>
      <c r="E36" s="551" t="str">
        <f t="shared" si="11"/>
        <v>-</v>
      </c>
      <c r="F36" s="552"/>
      <c r="G36" s="550"/>
      <c r="H36" s="553"/>
      <c r="I36" s="553"/>
      <c r="J36" s="561"/>
    </row>
    <row r="37" spans="1:15" s="293" customFormat="1" ht="60.6" customHeight="1" thickBot="1" x14ac:dyDescent="0.3">
      <c r="A37" s="317" t="s">
        <v>101</v>
      </c>
      <c r="B37" s="429" t="s">
        <v>223</v>
      </c>
      <c r="C37" s="555">
        <f>SUM(C35:C36)</f>
        <v>0</v>
      </c>
      <c r="D37" s="556">
        <f t="shared" ref="D37" si="15">SUM(D35:D36)</f>
        <v>143714</v>
      </c>
      <c r="E37" s="557" t="str">
        <f t="shared" si="11"/>
        <v>-</v>
      </c>
      <c r="F37" s="558">
        <f t="shared" ref="F37:J37" si="16">SUM(F35:F36)</f>
        <v>2359016.5248000002</v>
      </c>
      <c r="G37" s="556">
        <f t="shared" si="16"/>
        <v>200000</v>
      </c>
      <c r="H37" s="558">
        <f t="shared" si="16"/>
        <v>442820.00000000006</v>
      </c>
      <c r="I37" s="558">
        <f t="shared" si="16"/>
        <v>3556296.9</v>
      </c>
      <c r="J37" s="717">
        <f t="shared" si="16"/>
        <v>0</v>
      </c>
    </row>
    <row r="38" spans="1:15" ht="60.6" customHeight="1" x14ac:dyDescent="0.25">
      <c r="A38" s="268" t="s">
        <v>102</v>
      </c>
      <c r="B38" s="567" t="s">
        <v>220</v>
      </c>
      <c r="C38" s="547">
        <f>+'01 Prod Physique Boites'!E243</f>
        <v>0</v>
      </c>
      <c r="D38" s="544">
        <f>+'01 Prod Physique Boites'!K243</f>
        <v>65969</v>
      </c>
      <c r="E38" s="545" t="str">
        <f t="shared" si="11"/>
        <v>-</v>
      </c>
      <c r="F38" s="546">
        <f>+'02 Prod Valorisée Boites'!G244</f>
        <v>2408678.2871999997</v>
      </c>
      <c r="G38" s="544">
        <f>+'03 Prod Accessoires'!K138</f>
        <v>282670</v>
      </c>
      <c r="H38" s="547">
        <f>+'03 Prod Accessoires'!Q138</f>
        <v>1593556.67</v>
      </c>
      <c r="I38" s="547">
        <f>+'02 Prod Valorisée Boites'!J244</f>
        <v>4111463.0399999996</v>
      </c>
      <c r="J38" s="559">
        <f>+'04 Ventes'!I224</f>
        <v>1661864</v>
      </c>
      <c r="K38" s="672"/>
      <c r="L38" s="672"/>
      <c r="O38" s="664"/>
    </row>
    <row r="39" spans="1:15" ht="60.6" customHeight="1" thickBot="1" x14ac:dyDescent="0.3">
      <c r="A39" s="790" t="s">
        <v>102</v>
      </c>
      <c r="B39" s="302" t="s">
        <v>221</v>
      </c>
      <c r="C39" s="553"/>
      <c r="D39" s="562"/>
      <c r="E39" s="563" t="str">
        <f t="shared" si="11"/>
        <v>-</v>
      </c>
      <c r="F39" s="564"/>
      <c r="G39" s="550"/>
      <c r="H39" s="553"/>
      <c r="I39" s="553"/>
      <c r="J39" s="561"/>
    </row>
    <row r="40" spans="1:15" s="293" customFormat="1" ht="60.6" customHeight="1" thickBot="1" x14ac:dyDescent="0.3">
      <c r="A40" s="317" t="s">
        <v>102</v>
      </c>
      <c r="B40" s="429" t="s">
        <v>224</v>
      </c>
      <c r="C40" s="555">
        <f>SUM(C38:C39)</f>
        <v>0</v>
      </c>
      <c r="D40" s="556">
        <f t="shared" ref="D40" si="17">SUM(D38:D39)</f>
        <v>65969</v>
      </c>
      <c r="E40" s="557" t="str">
        <f t="shared" si="11"/>
        <v>-</v>
      </c>
      <c r="F40" s="558">
        <f t="shared" ref="F40:J40" si="18">SUM(F38:F39)</f>
        <v>2408678.2871999997</v>
      </c>
      <c r="G40" s="556">
        <f t="shared" si="18"/>
        <v>282670</v>
      </c>
      <c r="H40" s="558">
        <f t="shared" si="18"/>
        <v>1593556.67</v>
      </c>
      <c r="I40" s="558">
        <f t="shared" si="18"/>
        <v>4111463.0399999996</v>
      </c>
      <c r="J40" s="717">
        <f t="shared" si="18"/>
        <v>1661864</v>
      </c>
    </row>
    <row r="41" spans="1:15" ht="57.6" customHeight="1" thickBot="1" x14ac:dyDescent="0.3">
      <c r="A41" s="619"/>
      <c r="B41" s="541" t="s">
        <v>174</v>
      </c>
      <c r="C41" s="542">
        <f>+C34+C37+C40</f>
        <v>0</v>
      </c>
      <c r="D41" s="568">
        <f t="shared" ref="D41" si="19">+D34+D37+D40</f>
        <v>385163</v>
      </c>
      <c r="E41" s="569" t="str">
        <f>IFERROR(D41/C41,"-")</f>
        <v>-</v>
      </c>
      <c r="F41" s="568">
        <f>+F34+F37+F40</f>
        <v>7996153.3869000003</v>
      </c>
      <c r="G41" s="568">
        <f t="shared" ref="G41:H41" si="20">+G34+G37+G40</f>
        <v>749470</v>
      </c>
      <c r="H41" s="568">
        <f t="shared" si="20"/>
        <v>2957943.6940000001</v>
      </c>
      <c r="I41" s="568">
        <f>+I34+I37+I40</f>
        <v>10909221.969999999</v>
      </c>
      <c r="J41" s="620">
        <f t="shared" ref="J41" si="21">+J34+J37+J40</f>
        <v>2690104</v>
      </c>
    </row>
    <row r="42" spans="1:15" ht="24.6" customHeight="1" thickBot="1" x14ac:dyDescent="0.3">
      <c r="A42" s="230"/>
      <c r="B42" s="230"/>
      <c r="C42" s="230"/>
      <c r="D42" s="232"/>
      <c r="E42" s="232"/>
      <c r="F42" s="232"/>
      <c r="G42" s="232"/>
      <c r="H42" s="232"/>
      <c r="I42" s="232"/>
      <c r="J42" s="234"/>
    </row>
    <row r="43" spans="1:15" ht="41.45" customHeight="1" x14ac:dyDescent="0.25">
      <c r="A43" s="881" t="s">
        <v>1</v>
      </c>
      <c r="B43" s="887" t="s">
        <v>394</v>
      </c>
      <c r="C43" s="887" t="s">
        <v>225</v>
      </c>
      <c r="D43" s="971" t="s">
        <v>512</v>
      </c>
      <c r="E43" s="972"/>
      <c r="F43" s="972"/>
      <c r="G43" s="972"/>
      <c r="H43" s="973"/>
      <c r="I43" s="974" t="s">
        <v>415</v>
      </c>
      <c r="J43" s="974" t="s">
        <v>416</v>
      </c>
      <c r="K43" s="229" t="s">
        <v>418</v>
      </c>
    </row>
    <row r="44" spans="1:15" ht="41.45" customHeight="1" x14ac:dyDescent="0.25">
      <c r="A44" s="953"/>
      <c r="B44" s="970"/>
      <c r="C44" s="970"/>
      <c r="D44" s="977" t="s">
        <v>228</v>
      </c>
      <c r="E44" s="978"/>
      <c r="F44" s="979"/>
      <c r="G44" s="977" t="s">
        <v>226</v>
      </c>
      <c r="H44" s="979"/>
      <c r="I44" s="975"/>
      <c r="J44" s="975"/>
    </row>
    <row r="45" spans="1:15" ht="25.9" customHeight="1" x14ac:dyDescent="0.25">
      <c r="A45" s="882"/>
      <c r="B45" s="888"/>
      <c r="C45" s="888"/>
      <c r="D45" s="980" t="s">
        <v>413</v>
      </c>
      <c r="E45" s="982" t="s">
        <v>9</v>
      </c>
      <c r="F45" s="984" t="s">
        <v>414</v>
      </c>
      <c r="G45" s="986" t="s">
        <v>227</v>
      </c>
      <c r="H45" s="988" t="s">
        <v>414</v>
      </c>
      <c r="I45" s="975"/>
      <c r="J45" s="975"/>
    </row>
    <row r="46" spans="1:15" ht="25.9" customHeight="1" thickBot="1" x14ac:dyDescent="0.3">
      <c r="A46" s="883"/>
      <c r="B46" s="889"/>
      <c r="C46" s="889"/>
      <c r="D46" s="981"/>
      <c r="E46" s="983"/>
      <c r="F46" s="985"/>
      <c r="G46" s="987"/>
      <c r="H46" s="989"/>
      <c r="I46" s="976"/>
      <c r="J46" s="976"/>
    </row>
    <row r="47" spans="1:15" ht="60.6" customHeight="1" x14ac:dyDescent="0.25">
      <c r="A47" s="268" t="s">
        <v>103</v>
      </c>
      <c r="B47" s="565" t="s">
        <v>219</v>
      </c>
      <c r="C47" s="543">
        <f>+'01 Prod Physique Boites'!E282</f>
        <v>0</v>
      </c>
      <c r="D47" s="544">
        <f>+'01 Prod Physique Boites'!K282</f>
        <v>186540</v>
      </c>
      <c r="E47" s="545" t="str">
        <f>IFERROR(D47/C47,"-")</f>
        <v>-</v>
      </c>
      <c r="F47" s="546">
        <f>+'02 Prod Valorisée Boites'!G284</f>
        <v>2913906.1216000002</v>
      </c>
      <c r="G47" s="544">
        <f>+'03 Prod Accessoires'!K150</f>
        <v>427790</v>
      </c>
      <c r="H47" s="547">
        <f>+'03 Prod Accessoires'!Q150</f>
        <v>1550042.7510000002</v>
      </c>
      <c r="I47" s="547">
        <f>+'02 Prod Valorisée Boites'!J284</f>
        <v>2768664.96</v>
      </c>
      <c r="J47" s="548">
        <f>+'04 Ventes'!I249</f>
        <v>174028.80000000002</v>
      </c>
      <c r="K47" s="672"/>
      <c r="L47" s="672"/>
      <c r="O47" s="664"/>
    </row>
    <row r="48" spans="1:15" ht="60.6" customHeight="1" x14ac:dyDescent="0.25">
      <c r="A48" s="805" t="s">
        <v>103</v>
      </c>
      <c r="B48" s="566" t="s">
        <v>220</v>
      </c>
      <c r="C48" s="549">
        <f>+'01 Prod Physique Boites'!E298</f>
        <v>0</v>
      </c>
      <c r="D48" s="550">
        <f>+'01 Prod Physique Boites'!K298</f>
        <v>27767</v>
      </c>
      <c r="E48" s="551" t="str">
        <f t="shared" ref="E48:E56" si="22">IFERROR(D48/C48,"-")</f>
        <v>-</v>
      </c>
      <c r="F48" s="552">
        <f>+'02 Prod Valorisée Boites'!G300</f>
        <v>1996297.4</v>
      </c>
      <c r="G48" s="550">
        <f>+'03 Prod Accessoires'!K158</f>
        <v>12960</v>
      </c>
      <c r="H48" s="553">
        <f>+'03 Prod Accessoires'!Q158</f>
        <v>236281.53599999999</v>
      </c>
      <c r="I48" s="553">
        <f>+'02 Prod Valorisée Boites'!J300</f>
        <v>3075175</v>
      </c>
      <c r="J48" s="554">
        <f>+'04 Ventes'!I264</f>
        <v>1015740</v>
      </c>
      <c r="K48" s="672"/>
      <c r="L48" s="672"/>
      <c r="O48" s="664"/>
    </row>
    <row r="49" spans="1:15" ht="60.6" customHeight="1" thickBot="1" x14ac:dyDescent="0.3">
      <c r="A49" s="274" t="s">
        <v>103</v>
      </c>
      <c r="B49" s="275" t="s">
        <v>221</v>
      </c>
      <c r="C49" s="549"/>
      <c r="D49" s="550"/>
      <c r="E49" s="551" t="str">
        <f t="shared" si="22"/>
        <v>-</v>
      </c>
      <c r="F49" s="552"/>
      <c r="G49" s="550"/>
      <c r="H49" s="553"/>
      <c r="I49" s="553"/>
      <c r="J49" s="554">
        <f>+'04 Ventes'!I272</f>
        <v>22500</v>
      </c>
    </row>
    <row r="50" spans="1:15" s="293" customFormat="1" ht="60.6" customHeight="1" thickBot="1" x14ac:dyDescent="0.3">
      <c r="A50" s="317" t="s">
        <v>103</v>
      </c>
      <c r="B50" s="429" t="s">
        <v>222</v>
      </c>
      <c r="C50" s="555">
        <f>SUM(C47:C49)</f>
        <v>0</v>
      </c>
      <c r="D50" s="556">
        <f t="shared" ref="D50" si="23">SUM(D47:D49)</f>
        <v>214307</v>
      </c>
      <c r="E50" s="557" t="str">
        <f t="shared" si="22"/>
        <v>-</v>
      </c>
      <c r="F50" s="558">
        <f>SUM(F47:F49)</f>
        <v>4910203.5216000006</v>
      </c>
      <c r="G50" s="556">
        <f t="shared" ref="G50:H50" si="24">SUM(G47:G49)</f>
        <v>440750</v>
      </c>
      <c r="H50" s="558">
        <f t="shared" si="24"/>
        <v>1786324.2870000002</v>
      </c>
      <c r="I50" s="558">
        <f>SUM(I47:I49)</f>
        <v>5843839.96</v>
      </c>
      <c r="J50" s="717">
        <f t="shared" ref="J50" si="25">SUM(J47:J49)</f>
        <v>1212268.8</v>
      </c>
    </row>
    <row r="51" spans="1:15" ht="60.6" customHeight="1" x14ac:dyDescent="0.25">
      <c r="A51" s="268" t="s">
        <v>101</v>
      </c>
      <c r="B51" s="565" t="s">
        <v>219</v>
      </c>
      <c r="C51" s="543">
        <f>+'01 Prod Physique Boites'!E334</f>
        <v>0</v>
      </c>
      <c r="D51" s="544">
        <f>+'01 Prod Physique Boites'!K334</f>
        <v>498607</v>
      </c>
      <c r="E51" s="545" t="str">
        <f t="shared" si="22"/>
        <v>-</v>
      </c>
      <c r="F51" s="546">
        <f>+'02 Prod Valorisée Boites'!G336</f>
        <v>8423563.4495999999</v>
      </c>
      <c r="G51" s="544">
        <f>+'03 Prod Accessoires'!K168</f>
        <v>381750</v>
      </c>
      <c r="H51" s="547">
        <f>+'03 Prod Accessoires'!Q168</f>
        <v>845232.67500000005</v>
      </c>
      <c r="I51" s="543">
        <f>+'02 Prod Valorisée Boites'!J336</f>
        <v>12444580.98</v>
      </c>
      <c r="J51" s="559">
        <f>+'04 Ventes'!I307</f>
        <v>11521668.4</v>
      </c>
      <c r="L51" s="672"/>
      <c r="O51" s="664"/>
    </row>
    <row r="52" spans="1:15" ht="60.6" customHeight="1" thickBot="1" x14ac:dyDescent="0.3">
      <c r="A52" s="805" t="s">
        <v>101</v>
      </c>
      <c r="B52" s="294" t="s">
        <v>221</v>
      </c>
      <c r="C52" s="560"/>
      <c r="D52" s="550"/>
      <c r="E52" s="551" t="str">
        <f t="shared" si="22"/>
        <v>-</v>
      </c>
      <c r="F52" s="552"/>
      <c r="G52" s="550"/>
      <c r="H52" s="553"/>
      <c r="I52" s="553"/>
      <c r="J52" s="561"/>
    </row>
    <row r="53" spans="1:15" s="293" customFormat="1" ht="60.6" customHeight="1" thickBot="1" x14ac:dyDescent="0.3">
      <c r="A53" s="317" t="s">
        <v>101</v>
      </c>
      <c r="B53" s="429" t="s">
        <v>223</v>
      </c>
      <c r="C53" s="555">
        <f>SUM(C51:C52)</f>
        <v>0</v>
      </c>
      <c r="D53" s="556">
        <f t="shared" ref="D53" si="26">SUM(D51:D52)</f>
        <v>498607</v>
      </c>
      <c r="E53" s="557" t="str">
        <f t="shared" si="22"/>
        <v>-</v>
      </c>
      <c r="F53" s="558">
        <f t="shared" ref="F53:J53" si="27">SUM(F51:F52)</f>
        <v>8423563.4495999999</v>
      </c>
      <c r="G53" s="556">
        <f t="shared" si="27"/>
        <v>381750</v>
      </c>
      <c r="H53" s="558">
        <f t="shared" si="27"/>
        <v>845232.67500000005</v>
      </c>
      <c r="I53" s="558">
        <f t="shared" si="27"/>
        <v>12444580.98</v>
      </c>
      <c r="J53" s="717">
        <f t="shared" si="27"/>
        <v>11521668.4</v>
      </c>
    </row>
    <row r="54" spans="1:15" ht="60.6" customHeight="1" x14ac:dyDescent="0.25">
      <c r="A54" s="268" t="s">
        <v>102</v>
      </c>
      <c r="B54" s="567" t="s">
        <v>220</v>
      </c>
      <c r="C54" s="547">
        <f>+'01 Prod Physique Boites'!E361</f>
        <v>0</v>
      </c>
      <c r="D54" s="544">
        <f>+'01 Prod Physique Boites'!K361</f>
        <v>177471</v>
      </c>
      <c r="E54" s="545" t="str">
        <f t="shared" si="22"/>
        <v>-</v>
      </c>
      <c r="F54" s="546">
        <f>+'02 Prod Valorisée Boites'!G362</f>
        <v>6504843.3287999993</v>
      </c>
      <c r="G54" s="544">
        <f>+'03 Prod Accessoires'!K204</f>
        <v>474652</v>
      </c>
      <c r="H54" s="547">
        <f>+'03 Prod Accessoires'!Q204</f>
        <v>2654346.2935999995</v>
      </c>
      <c r="I54" s="547">
        <f>+'02 Prod Valorisée Boites'!J362</f>
        <v>11967576.959999999</v>
      </c>
      <c r="J54" s="559">
        <f>+'04 Ventes'!I333</f>
        <v>3170762.2399999998</v>
      </c>
      <c r="K54" s="672"/>
      <c r="L54" s="672"/>
      <c r="O54" s="664"/>
    </row>
    <row r="55" spans="1:15" ht="60.6" customHeight="1" thickBot="1" x14ac:dyDescent="0.3">
      <c r="A55" s="805" t="s">
        <v>102</v>
      </c>
      <c r="B55" s="302" t="s">
        <v>221</v>
      </c>
      <c r="C55" s="553"/>
      <c r="D55" s="562"/>
      <c r="E55" s="563" t="str">
        <f t="shared" si="22"/>
        <v>-</v>
      </c>
      <c r="F55" s="564"/>
      <c r="G55" s="550"/>
      <c r="H55" s="553"/>
      <c r="I55" s="553"/>
      <c r="J55" s="561"/>
    </row>
    <row r="56" spans="1:15" s="293" customFormat="1" ht="60.6" customHeight="1" thickBot="1" x14ac:dyDescent="0.3">
      <c r="A56" s="317" t="s">
        <v>102</v>
      </c>
      <c r="B56" s="429" t="s">
        <v>224</v>
      </c>
      <c r="C56" s="555">
        <f>SUM(C54:C55)</f>
        <v>0</v>
      </c>
      <c r="D56" s="556">
        <f t="shared" ref="D56" si="28">SUM(D54:D55)</f>
        <v>177471</v>
      </c>
      <c r="E56" s="557" t="str">
        <f t="shared" si="22"/>
        <v>-</v>
      </c>
      <c r="F56" s="558">
        <f t="shared" ref="F56:J56" si="29">SUM(F54:F55)</f>
        <v>6504843.3287999993</v>
      </c>
      <c r="G56" s="556">
        <f t="shared" si="29"/>
        <v>474652</v>
      </c>
      <c r="H56" s="558">
        <f t="shared" si="29"/>
        <v>2654346.2935999995</v>
      </c>
      <c r="I56" s="558">
        <f t="shared" si="29"/>
        <v>11967576.959999999</v>
      </c>
      <c r="J56" s="717">
        <f t="shared" si="29"/>
        <v>3170762.2399999998</v>
      </c>
    </row>
    <row r="57" spans="1:15" ht="57.6" customHeight="1" thickBot="1" x14ac:dyDescent="0.3">
      <c r="A57" s="619"/>
      <c r="B57" s="541" t="s">
        <v>174</v>
      </c>
      <c r="C57" s="542">
        <f>+C50+C53+C56</f>
        <v>0</v>
      </c>
      <c r="D57" s="568">
        <f t="shared" ref="D57" si="30">+D50+D53+D56</f>
        <v>890385</v>
      </c>
      <c r="E57" s="569" t="str">
        <f>IFERROR(D57/C57,"-")</f>
        <v>-</v>
      </c>
      <c r="F57" s="568">
        <f>+F50+F53+F56</f>
        <v>19838610.300000001</v>
      </c>
      <c r="G57" s="568">
        <f t="shared" ref="G57:H57" si="31">+G50+G53+G56</f>
        <v>1297152</v>
      </c>
      <c r="H57" s="568">
        <f t="shared" si="31"/>
        <v>5285903.2555999998</v>
      </c>
      <c r="I57" s="568">
        <f>+I50+I53+I56</f>
        <v>30255997.899999999</v>
      </c>
      <c r="J57" s="620">
        <f t="shared" ref="J57" si="32">+J50+J53+J56</f>
        <v>15904699.440000001</v>
      </c>
    </row>
    <row r="58" spans="1:15" ht="24.6" customHeight="1" thickBot="1" x14ac:dyDescent="0.3">
      <c r="A58" s="230"/>
      <c r="B58" s="230"/>
      <c r="C58" s="230"/>
      <c r="D58" s="232"/>
      <c r="E58" s="232"/>
      <c r="F58" s="232"/>
      <c r="G58" s="232"/>
      <c r="H58" s="232"/>
      <c r="I58" s="232"/>
      <c r="J58" s="234"/>
    </row>
    <row r="59" spans="1:15" ht="41.45" customHeight="1" x14ac:dyDescent="0.25">
      <c r="A59" s="881" t="s">
        <v>1</v>
      </c>
      <c r="B59" s="887" t="s">
        <v>394</v>
      </c>
      <c r="C59" s="887" t="s">
        <v>225</v>
      </c>
      <c r="D59" s="971" t="s">
        <v>522</v>
      </c>
      <c r="E59" s="972"/>
      <c r="F59" s="972"/>
      <c r="G59" s="972"/>
      <c r="H59" s="973"/>
      <c r="I59" s="974" t="s">
        <v>415</v>
      </c>
      <c r="J59" s="974" t="s">
        <v>416</v>
      </c>
      <c r="K59" s="229" t="s">
        <v>418</v>
      </c>
    </row>
    <row r="60" spans="1:15" ht="41.45" customHeight="1" x14ac:dyDescent="0.25">
      <c r="A60" s="953"/>
      <c r="B60" s="970"/>
      <c r="C60" s="970"/>
      <c r="D60" s="977" t="s">
        <v>228</v>
      </c>
      <c r="E60" s="978"/>
      <c r="F60" s="979"/>
      <c r="G60" s="977" t="s">
        <v>226</v>
      </c>
      <c r="H60" s="979"/>
      <c r="I60" s="975"/>
      <c r="J60" s="975"/>
    </row>
    <row r="61" spans="1:15" ht="25.9" customHeight="1" x14ac:dyDescent="0.25">
      <c r="A61" s="882"/>
      <c r="B61" s="888"/>
      <c r="C61" s="888"/>
      <c r="D61" s="980" t="s">
        <v>413</v>
      </c>
      <c r="E61" s="982" t="s">
        <v>9</v>
      </c>
      <c r="F61" s="984" t="s">
        <v>414</v>
      </c>
      <c r="G61" s="986" t="s">
        <v>227</v>
      </c>
      <c r="H61" s="988" t="s">
        <v>414</v>
      </c>
      <c r="I61" s="975"/>
      <c r="J61" s="975"/>
    </row>
    <row r="62" spans="1:15" ht="25.9" customHeight="1" thickBot="1" x14ac:dyDescent="0.3">
      <c r="A62" s="883"/>
      <c r="B62" s="889"/>
      <c r="C62" s="889"/>
      <c r="D62" s="981"/>
      <c r="E62" s="983"/>
      <c r="F62" s="985"/>
      <c r="G62" s="987"/>
      <c r="H62" s="989"/>
      <c r="I62" s="976"/>
      <c r="J62" s="976"/>
    </row>
    <row r="63" spans="1:15" ht="60.6" customHeight="1" x14ac:dyDescent="0.25">
      <c r="A63" s="268" t="s">
        <v>103</v>
      </c>
      <c r="B63" s="565" t="s">
        <v>219</v>
      </c>
      <c r="C63" s="543">
        <f>+'01 Prod Physique Boites'!E400</f>
        <v>3150000</v>
      </c>
      <c r="D63" s="544">
        <f>+'01 Prod Physique Boites'!K400</f>
        <v>221056</v>
      </c>
      <c r="E63" s="545">
        <f>IFERROR(D63/C63,"-")</f>
        <v>7.017650793650794E-2</v>
      </c>
      <c r="F63" s="546">
        <f>+'02 Prod Valorisée Boites'!G402</f>
        <v>3797742.0248000002</v>
      </c>
      <c r="G63" s="544">
        <f>+'03 Prod Accessoires'!K216</f>
        <v>640830</v>
      </c>
      <c r="H63" s="547">
        <f>+'03 Prod Accessoires'!Q216</f>
        <v>2598180.327</v>
      </c>
      <c r="I63" s="547">
        <f>+'02 Prod Valorisée Boites'!J402</f>
        <v>3283676.6400000006</v>
      </c>
      <c r="J63" s="548">
        <f>+'04 Ventes'!I358</f>
        <v>174028.80000000002</v>
      </c>
      <c r="K63" s="672"/>
      <c r="L63" s="672"/>
      <c r="O63" s="664"/>
    </row>
    <row r="64" spans="1:15" ht="60.6" customHeight="1" x14ac:dyDescent="0.25">
      <c r="A64" s="816" t="s">
        <v>103</v>
      </c>
      <c r="B64" s="566" t="s">
        <v>220</v>
      </c>
      <c r="C64" s="549">
        <f>+'01 Prod Physique Boites'!E416</f>
        <v>195500</v>
      </c>
      <c r="D64" s="550">
        <f>+'01 Prod Physique Boites'!K416</f>
        <v>38942</v>
      </c>
      <c r="E64" s="551">
        <f t="shared" ref="E64:E72" si="33">IFERROR(D64/C64,"-")</f>
        <v>0.1991918158567775</v>
      </c>
      <c r="F64" s="552">
        <f>+'02 Prod Valorisée Boites'!G418</f>
        <v>2928397.7549999999</v>
      </c>
      <c r="G64" s="550">
        <f>+'03 Prod Accessoires'!K224</f>
        <v>35280</v>
      </c>
      <c r="H64" s="553">
        <f>+'03 Prod Accessoires'!Q224</f>
        <v>531573.04799999995</v>
      </c>
      <c r="I64" s="553">
        <f>+'02 Prod Valorisée Boites'!J418</f>
        <v>4532572.5</v>
      </c>
      <c r="J64" s="554">
        <f>+'04 Ventes'!I373</f>
        <v>1015740</v>
      </c>
      <c r="K64" s="672"/>
      <c r="L64" s="672"/>
      <c r="O64" s="664"/>
    </row>
    <row r="65" spans="1:15" ht="60.6" customHeight="1" thickBot="1" x14ac:dyDescent="0.3">
      <c r="A65" s="274" t="s">
        <v>103</v>
      </c>
      <c r="B65" s="275" t="s">
        <v>221</v>
      </c>
      <c r="C65" s="549"/>
      <c r="D65" s="550"/>
      <c r="E65" s="551" t="str">
        <f t="shared" si="33"/>
        <v>-</v>
      </c>
      <c r="F65" s="552"/>
      <c r="G65" s="550"/>
      <c r="H65" s="553"/>
      <c r="I65" s="553"/>
      <c r="J65" s="554">
        <f>+'04 Ventes'!I381</f>
        <v>22500</v>
      </c>
    </row>
    <row r="66" spans="1:15" s="293" customFormat="1" ht="60.6" customHeight="1" thickBot="1" x14ac:dyDescent="0.3">
      <c r="A66" s="317" t="s">
        <v>103</v>
      </c>
      <c r="B66" s="429" t="s">
        <v>222</v>
      </c>
      <c r="C66" s="555">
        <f>SUM(C63:C65)</f>
        <v>3345500</v>
      </c>
      <c r="D66" s="556">
        <f t="shared" ref="D66" si="34">SUM(D63:D65)</f>
        <v>259998</v>
      </c>
      <c r="E66" s="557">
        <f t="shared" si="33"/>
        <v>7.7715737557913611E-2</v>
      </c>
      <c r="F66" s="558">
        <f>SUM(F63:F65)</f>
        <v>6726139.7797999997</v>
      </c>
      <c r="G66" s="556">
        <f t="shared" ref="G66:H66" si="35">SUM(G63:G65)</f>
        <v>676110</v>
      </c>
      <c r="H66" s="558">
        <f t="shared" si="35"/>
        <v>3129753.375</v>
      </c>
      <c r="I66" s="558">
        <f>SUM(I63:I65)</f>
        <v>7816249.1400000006</v>
      </c>
      <c r="J66" s="717">
        <f t="shared" ref="J66" si="36">SUM(J63:J65)</f>
        <v>1212268.8</v>
      </c>
    </row>
    <row r="67" spans="1:15" ht="60.6" customHeight="1" x14ac:dyDescent="0.25">
      <c r="A67" s="268" t="s">
        <v>101</v>
      </c>
      <c r="B67" s="565" t="s">
        <v>219</v>
      </c>
      <c r="C67" s="543">
        <f>+'01 Prod Physique Boites'!E452</f>
        <v>3167672</v>
      </c>
      <c r="D67" s="544">
        <f>+'01 Prod Physique Boites'!K452</f>
        <v>691534</v>
      </c>
      <c r="E67" s="545">
        <f t="shared" si="33"/>
        <v>0.21830985026227462</v>
      </c>
      <c r="F67" s="546">
        <f>+'02 Prod Valorisée Boites'!G453</f>
        <v>11826223.7184</v>
      </c>
      <c r="G67" s="544">
        <f>+'03 Prod Accessoires'!K234</f>
        <v>423500</v>
      </c>
      <c r="H67" s="547">
        <f>+'03 Prod Accessoires'!Q234</f>
        <v>937671.35000000009</v>
      </c>
      <c r="I67" s="543">
        <f>+'02 Prod Valorisée Boites'!J453</f>
        <v>17300286.899999999</v>
      </c>
      <c r="J67" s="559">
        <f>+'04 Ventes'!I416</f>
        <v>14657645.140000001</v>
      </c>
      <c r="L67" s="672"/>
      <c r="O67" s="664"/>
    </row>
    <row r="68" spans="1:15" ht="60.6" customHeight="1" thickBot="1" x14ac:dyDescent="0.3">
      <c r="A68" s="816" t="s">
        <v>101</v>
      </c>
      <c r="B68" s="294" t="s">
        <v>221</v>
      </c>
      <c r="C68" s="560"/>
      <c r="D68" s="550"/>
      <c r="E68" s="551" t="str">
        <f t="shared" si="33"/>
        <v>-</v>
      </c>
      <c r="F68" s="552"/>
      <c r="G68" s="550"/>
      <c r="H68" s="553"/>
      <c r="I68" s="553"/>
      <c r="J68" s="561"/>
    </row>
    <row r="69" spans="1:15" s="293" customFormat="1" ht="60.6" customHeight="1" thickBot="1" x14ac:dyDescent="0.3">
      <c r="A69" s="317" t="s">
        <v>101</v>
      </c>
      <c r="B69" s="429" t="s">
        <v>223</v>
      </c>
      <c r="C69" s="555">
        <f>SUM(C67:C68)</f>
        <v>3167672</v>
      </c>
      <c r="D69" s="556">
        <f t="shared" ref="D69" si="37">SUM(D67:D68)</f>
        <v>691534</v>
      </c>
      <c r="E69" s="557">
        <f t="shared" si="33"/>
        <v>0.21830985026227462</v>
      </c>
      <c r="F69" s="558">
        <f t="shared" ref="F69:J69" si="38">SUM(F67:F68)</f>
        <v>11826223.7184</v>
      </c>
      <c r="G69" s="556">
        <f t="shared" si="38"/>
        <v>423500</v>
      </c>
      <c r="H69" s="558">
        <f t="shared" si="38"/>
        <v>937671.35000000009</v>
      </c>
      <c r="I69" s="558">
        <f t="shared" si="38"/>
        <v>17300286.899999999</v>
      </c>
      <c r="J69" s="717">
        <f t="shared" si="38"/>
        <v>14657645.140000001</v>
      </c>
    </row>
    <row r="70" spans="1:15" ht="60.6" customHeight="1" x14ac:dyDescent="0.25">
      <c r="A70" s="268" t="s">
        <v>102</v>
      </c>
      <c r="B70" s="567" t="s">
        <v>220</v>
      </c>
      <c r="C70" s="547">
        <f>+'01 Prod Physique Boites'!E479</f>
        <v>1272400</v>
      </c>
      <c r="D70" s="544">
        <f>+'01 Prod Physique Boites'!K479</f>
        <v>241245</v>
      </c>
      <c r="E70" s="545">
        <f t="shared" si="33"/>
        <v>0.18959839673058787</v>
      </c>
      <c r="F70" s="546">
        <f>+'02 Prod Valorisée Boites'!G480</f>
        <v>8856428.2572000008</v>
      </c>
      <c r="G70" s="544">
        <f>+'03 Prod Accessoires'!K270</f>
        <v>625992</v>
      </c>
      <c r="H70" s="547">
        <f>+'03 Prod Accessoires'!Q270</f>
        <v>3557240.7036000001</v>
      </c>
      <c r="I70" s="547">
        <f>+'02 Prod Valorisée Boites'!J480</f>
        <v>16477727.039999999</v>
      </c>
      <c r="J70" s="559">
        <f>+'04 Ventes'!I442</f>
        <v>3170762.2399999998</v>
      </c>
      <c r="K70" s="672"/>
      <c r="L70" s="672"/>
      <c r="O70" s="664"/>
    </row>
    <row r="71" spans="1:15" ht="60.6" customHeight="1" thickBot="1" x14ac:dyDescent="0.3">
      <c r="A71" s="816" t="s">
        <v>102</v>
      </c>
      <c r="B71" s="302" t="s">
        <v>221</v>
      </c>
      <c r="C71" s="553"/>
      <c r="D71" s="562"/>
      <c r="E71" s="563" t="str">
        <f t="shared" si="33"/>
        <v>-</v>
      </c>
      <c r="F71" s="564"/>
      <c r="G71" s="550"/>
      <c r="H71" s="553"/>
      <c r="I71" s="553"/>
      <c r="J71" s="561"/>
    </row>
    <row r="72" spans="1:15" s="293" customFormat="1" ht="60.6" customHeight="1" thickBot="1" x14ac:dyDescent="0.3">
      <c r="A72" s="317" t="s">
        <v>102</v>
      </c>
      <c r="B72" s="429" t="s">
        <v>224</v>
      </c>
      <c r="C72" s="555">
        <f>SUM(C70:C71)</f>
        <v>1272400</v>
      </c>
      <c r="D72" s="556">
        <f t="shared" ref="D72" si="39">SUM(D70:D71)</f>
        <v>241245</v>
      </c>
      <c r="E72" s="557">
        <f t="shared" si="33"/>
        <v>0.18959839673058787</v>
      </c>
      <c r="F72" s="558">
        <f t="shared" ref="F72:J72" si="40">SUM(F70:F71)</f>
        <v>8856428.2572000008</v>
      </c>
      <c r="G72" s="556">
        <f t="shared" si="40"/>
        <v>625992</v>
      </c>
      <c r="H72" s="558">
        <f t="shared" si="40"/>
        <v>3557240.7036000001</v>
      </c>
      <c r="I72" s="558">
        <f t="shared" si="40"/>
        <v>16477727.039999999</v>
      </c>
      <c r="J72" s="717">
        <f t="shared" si="40"/>
        <v>3170762.2399999998</v>
      </c>
    </row>
    <row r="73" spans="1:15" ht="57.6" customHeight="1" thickBot="1" x14ac:dyDescent="0.3">
      <c r="A73" s="619"/>
      <c r="B73" s="541" t="s">
        <v>174</v>
      </c>
      <c r="C73" s="542">
        <f>+C66+C69+C72</f>
        <v>7785572</v>
      </c>
      <c r="D73" s="568">
        <f t="shared" ref="D73" si="41">+D66+D69+D72</f>
        <v>1192777</v>
      </c>
      <c r="E73" s="569">
        <f>IFERROR(D73/C73,"-")</f>
        <v>0.15320351542571309</v>
      </c>
      <c r="F73" s="568">
        <f>+F66+F69+F72</f>
        <v>27408791.755400002</v>
      </c>
      <c r="G73" s="568">
        <f t="shared" ref="G73:H73" si="42">+G66+G69+G72</f>
        <v>1725602</v>
      </c>
      <c r="H73" s="568">
        <f t="shared" si="42"/>
        <v>7624665.4286000002</v>
      </c>
      <c r="I73" s="568">
        <f>+I66+I69+I72</f>
        <v>41594263.079999998</v>
      </c>
      <c r="J73" s="620">
        <f t="shared" ref="J73" si="43">+J66+J69+J72</f>
        <v>19040676.18</v>
      </c>
    </row>
    <row r="74" spans="1:15" ht="24.6" customHeight="1" thickBot="1" x14ac:dyDescent="0.3">
      <c r="A74" s="230"/>
      <c r="B74" s="230"/>
      <c r="C74" s="230"/>
      <c r="D74" s="232"/>
      <c r="E74" s="232"/>
      <c r="F74" s="232"/>
      <c r="G74" s="232"/>
      <c r="H74" s="232"/>
      <c r="I74" s="232"/>
      <c r="J74" s="234"/>
    </row>
    <row r="75" spans="1:15" ht="41.45" customHeight="1" x14ac:dyDescent="0.25">
      <c r="A75" s="881" t="s">
        <v>1</v>
      </c>
      <c r="B75" s="887" t="s">
        <v>394</v>
      </c>
      <c r="C75" s="887" t="s">
        <v>225</v>
      </c>
      <c r="D75" s="971" t="s">
        <v>525</v>
      </c>
      <c r="E75" s="972"/>
      <c r="F75" s="972"/>
      <c r="G75" s="972"/>
      <c r="H75" s="973"/>
      <c r="I75" s="974" t="s">
        <v>415</v>
      </c>
      <c r="J75" s="974" t="s">
        <v>416</v>
      </c>
      <c r="K75" s="229" t="s">
        <v>418</v>
      </c>
    </row>
    <row r="76" spans="1:15" ht="41.45" customHeight="1" x14ac:dyDescent="0.25">
      <c r="A76" s="953"/>
      <c r="B76" s="970"/>
      <c r="C76" s="970"/>
      <c r="D76" s="977" t="s">
        <v>228</v>
      </c>
      <c r="E76" s="978"/>
      <c r="F76" s="979"/>
      <c r="G76" s="977" t="s">
        <v>226</v>
      </c>
      <c r="H76" s="979"/>
      <c r="I76" s="975"/>
      <c r="J76" s="975"/>
    </row>
    <row r="77" spans="1:15" ht="25.9" customHeight="1" x14ac:dyDescent="0.25">
      <c r="A77" s="882"/>
      <c r="B77" s="888"/>
      <c r="C77" s="888"/>
      <c r="D77" s="980" t="s">
        <v>413</v>
      </c>
      <c r="E77" s="982" t="s">
        <v>9</v>
      </c>
      <c r="F77" s="984" t="s">
        <v>414</v>
      </c>
      <c r="G77" s="986" t="s">
        <v>227</v>
      </c>
      <c r="H77" s="988" t="s">
        <v>414</v>
      </c>
      <c r="I77" s="975"/>
      <c r="J77" s="975"/>
    </row>
    <row r="78" spans="1:15" ht="25.9" customHeight="1" thickBot="1" x14ac:dyDescent="0.3">
      <c r="A78" s="883"/>
      <c r="B78" s="889"/>
      <c r="C78" s="889"/>
      <c r="D78" s="981"/>
      <c r="E78" s="983"/>
      <c r="F78" s="985"/>
      <c r="G78" s="987"/>
      <c r="H78" s="989"/>
      <c r="I78" s="976"/>
      <c r="J78" s="976"/>
    </row>
    <row r="79" spans="1:15" ht="60.6" customHeight="1" x14ac:dyDescent="0.25">
      <c r="A79" s="268" t="s">
        <v>103</v>
      </c>
      <c r="B79" s="565" t="s">
        <v>219</v>
      </c>
      <c r="C79" s="543">
        <f>+'01 Prod Physique Boites'!E518</f>
        <v>3150000</v>
      </c>
      <c r="D79" s="544">
        <f>+'01 Prod Physique Boites'!K518</f>
        <v>252045</v>
      </c>
      <c r="E79" s="545">
        <f>IFERROR(D79/C79,"-")</f>
        <v>8.0014285714285718E-2</v>
      </c>
      <c r="F79" s="546">
        <f>+'02 Prod Valorisée Boites'!G520</f>
        <v>5066851.3751999997</v>
      </c>
      <c r="G79" s="544">
        <f>+'03 Prod Accessoires'!K282</f>
        <v>923750</v>
      </c>
      <c r="H79" s="547">
        <f>+'03 Prod Accessoires'!Q282</f>
        <v>3473014.2749999999</v>
      </c>
      <c r="I79" s="547">
        <f>+'02 Prod Valorisée Boites'!J520</f>
        <v>3560940</v>
      </c>
      <c r="J79" s="548">
        <f>+'04 Ventes'!I468</f>
        <v>1522752.0000000002</v>
      </c>
      <c r="K79" s="672"/>
      <c r="L79" s="672"/>
      <c r="O79" s="664"/>
    </row>
    <row r="80" spans="1:15" ht="60.6" customHeight="1" x14ac:dyDescent="0.25">
      <c r="A80" s="826" t="s">
        <v>103</v>
      </c>
      <c r="B80" s="566" t="s">
        <v>220</v>
      </c>
      <c r="C80" s="549">
        <f>+'01 Prod Physique Boites'!E534</f>
        <v>195500</v>
      </c>
      <c r="D80" s="550">
        <f>+'01 Prod Physique Boites'!K534</f>
        <v>57046</v>
      </c>
      <c r="E80" s="551">
        <f t="shared" ref="E80:E88" si="44">IFERROR(D80/C80,"-")</f>
        <v>0.29179539641943736</v>
      </c>
      <c r="F80" s="552">
        <f>+'02 Prod Valorisée Boites'!G536</f>
        <v>4361555.5705000004</v>
      </c>
      <c r="G80" s="550">
        <f>+'03 Prod Accessoires'!K290</f>
        <v>43920</v>
      </c>
      <c r="H80" s="553">
        <f>+'03 Prod Accessoires'!Q290</f>
        <v>689094.07199999993</v>
      </c>
      <c r="I80" s="553">
        <f>+'02 Prod Valorisée Boites'!J536</f>
        <v>6765936.3499999996</v>
      </c>
      <c r="J80" s="554">
        <f>+'04 Ventes'!I483</f>
        <v>1015740</v>
      </c>
      <c r="K80" s="672"/>
      <c r="L80" s="672"/>
      <c r="O80" s="664"/>
    </row>
    <row r="81" spans="1:15" ht="60.6" customHeight="1" thickBot="1" x14ac:dyDescent="0.3">
      <c r="A81" s="274" t="s">
        <v>103</v>
      </c>
      <c r="B81" s="275" t="s">
        <v>221</v>
      </c>
      <c r="C81" s="549"/>
      <c r="D81" s="550"/>
      <c r="E81" s="551" t="str">
        <f t="shared" si="44"/>
        <v>-</v>
      </c>
      <c r="F81" s="552"/>
      <c r="G81" s="550"/>
      <c r="H81" s="553"/>
      <c r="I81" s="553"/>
      <c r="J81" s="554">
        <f>+'04 Ventes'!I491</f>
        <v>22500</v>
      </c>
    </row>
    <row r="82" spans="1:15" s="293" customFormat="1" ht="60.6" customHeight="1" thickBot="1" x14ac:dyDescent="0.3">
      <c r="A82" s="317" t="s">
        <v>103</v>
      </c>
      <c r="B82" s="429" t="s">
        <v>222</v>
      </c>
      <c r="C82" s="555">
        <f>SUM(C79:C81)</f>
        <v>3345500</v>
      </c>
      <c r="D82" s="556">
        <f t="shared" ref="D82" si="45">SUM(D79:D81)</f>
        <v>309091</v>
      </c>
      <c r="E82" s="557">
        <f t="shared" si="44"/>
        <v>9.2390076221790463E-2</v>
      </c>
      <c r="F82" s="558">
        <f>SUM(F79:F81)</f>
        <v>9428406.945700001</v>
      </c>
      <c r="G82" s="556">
        <f t="shared" ref="G82:H82" si="46">SUM(G79:G81)</f>
        <v>967670</v>
      </c>
      <c r="H82" s="558">
        <f t="shared" si="46"/>
        <v>4162108.3470000001</v>
      </c>
      <c r="I82" s="558">
        <f>SUM(I79:I81)</f>
        <v>10326876.35</v>
      </c>
      <c r="J82" s="717">
        <f t="shared" ref="J82" si="47">SUM(J79:J81)</f>
        <v>2560992</v>
      </c>
    </row>
    <row r="83" spans="1:15" ht="60.6" customHeight="1" x14ac:dyDescent="0.25">
      <c r="A83" s="268" t="s">
        <v>101</v>
      </c>
      <c r="B83" s="565" t="s">
        <v>219</v>
      </c>
      <c r="C83" s="543">
        <f>+'01 Prod Physique Boites'!E570</f>
        <v>3167672</v>
      </c>
      <c r="D83" s="544">
        <f>+'01 Prod Physique Boites'!K570</f>
        <v>912811</v>
      </c>
      <c r="E83" s="545">
        <f t="shared" si="44"/>
        <v>0.2881646205794034</v>
      </c>
      <c r="F83" s="546">
        <f>+'02 Prod Valorisée Boites'!G571</f>
        <v>15638273.4924</v>
      </c>
      <c r="G83" s="544">
        <f>+'03 Prod Accessoires'!K300</f>
        <v>475750</v>
      </c>
      <c r="H83" s="547">
        <f>+'03 Prod Accessoires'!Q300</f>
        <v>1053358.0750000002</v>
      </c>
      <c r="I83" s="543">
        <f>+'02 Prod Valorisée Boites'!J571</f>
        <v>22868890.199999999</v>
      </c>
      <c r="J83" s="559">
        <f>+'04 Ventes'!I526</f>
        <v>21078284.359999999</v>
      </c>
      <c r="L83" s="672"/>
      <c r="O83" s="664"/>
    </row>
    <row r="84" spans="1:15" ht="60.6" customHeight="1" thickBot="1" x14ac:dyDescent="0.3">
      <c r="A84" s="826" t="s">
        <v>101</v>
      </c>
      <c r="B84" s="294" t="s">
        <v>221</v>
      </c>
      <c r="C84" s="560"/>
      <c r="D84" s="550"/>
      <c r="E84" s="551" t="str">
        <f t="shared" si="44"/>
        <v>-</v>
      </c>
      <c r="F84" s="552"/>
      <c r="G84" s="550"/>
      <c r="H84" s="553"/>
      <c r="I84" s="553"/>
      <c r="J84" s="561"/>
    </row>
    <row r="85" spans="1:15" s="293" customFormat="1" ht="60.6" customHeight="1" thickBot="1" x14ac:dyDescent="0.3">
      <c r="A85" s="317" t="s">
        <v>101</v>
      </c>
      <c r="B85" s="429" t="s">
        <v>223</v>
      </c>
      <c r="C85" s="555">
        <f>SUM(C83:C84)</f>
        <v>3167672</v>
      </c>
      <c r="D85" s="556">
        <f t="shared" ref="D85" si="48">SUM(D83:D84)</f>
        <v>912811</v>
      </c>
      <c r="E85" s="557">
        <f t="shared" si="44"/>
        <v>0.2881646205794034</v>
      </c>
      <c r="F85" s="558">
        <f t="shared" ref="F85:J85" si="49">SUM(F83:F84)</f>
        <v>15638273.4924</v>
      </c>
      <c r="G85" s="556">
        <f t="shared" si="49"/>
        <v>475750</v>
      </c>
      <c r="H85" s="558">
        <f t="shared" si="49"/>
        <v>1053358.0750000002</v>
      </c>
      <c r="I85" s="558">
        <f t="shared" si="49"/>
        <v>22868890.199999999</v>
      </c>
      <c r="J85" s="717">
        <f t="shared" si="49"/>
        <v>21078284.359999999</v>
      </c>
    </row>
    <row r="86" spans="1:15" ht="60.6" customHeight="1" x14ac:dyDescent="0.25">
      <c r="A86" s="268" t="s">
        <v>102</v>
      </c>
      <c r="B86" s="567" t="s">
        <v>220</v>
      </c>
      <c r="C86" s="547">
        <f>+'01 Prod Physique Boites'!E597</f>
        <v>1272400</v>
      </c>
      <c r="D86" s="544">
        <f>+'01 Prod Physique Boites'!K597</f>
        <v>295597</v>
      </c>
      <c r="E86" s="545">
        <f t="shared" si="44"/>
        <v>0.23231452373467462</v>
      </c>
      <c r="F86" s="546">
        <f>+'02 Prod Valorisée Boites'!G598</f>
        <v>10858918.369199999</v>
      </c>
      <c r="G86" s="544">
        <f>+'03 Prod Accessoires'!K336</f>
        <v>713722</v>
      </c>
      <c r="H86" s="547">
        <f>+'03 Prod Accessoires'!Q336</f>
        <v>4184171.8796000001</v>
      </c>
      <c r="I86" s="547">
        <f>+'02 Prod Valorisée Boites'!J598</f>
        <v>20318341.439999998</v>
      </c>
      <c r="J86" s="559">
        <f>+'04 Ventes'!I552</f>
        <v>5331107.8399999999</v>
      </c>
      <c r="K86" s="672"/>
      <c r="L86" s="672"/>
      <c r="O86" s="664"/>
    </row>
    <row r="87" spans="1:15" ht="60.6" customHeight="1" thickBot="1" x14ac:dyDescent="0.3">
      <c r="A87" s="826" t="s">
        <v>102</v>
      </c>
      <c r="B87" s="302" t="s">
        <v>221</v>
      </c>
      <c r="C87" s="553"/>
      <c r="D87" s="562"/>
      <c r="E87" s="563" t="str">
        <f t="shared" si="44"/>
        <v>-</v>
      </c>
      <c r="F87" s="564"/>
      <c r="G87" s="550"/>
      <c r="H87" s="553"/>
      <c r="I87" s="553"/>
      <c r="J87" s="561"/>
    </row>
    <row r="88" spans="1:15" s="293" customFormat="1" ht="60.6" customHeight="1" thickBot="1" x14ac:dyDescent="0.3">
      <c r="A88" s="317" t="s">
        <v>102</v>
      </c>
      <c r="B88" s="429" t="s">
        <v>224</v>
      </c>
      <c r="C88" s="555">
        <f>SUM(C86:C87)</f>
        <v>1272400</v>
      </c>
      <c r="D88" s="556">
        <f t="shared" ref="D88" si="50">SUM(D86:D87)</f>
        <v>295597</v>
      </c>
      <c r="E88" s="557">
        <f t="shared" si="44"/>
        <v>0.23231452373467462</v>
      </c>
      <c r="F88" s="558">
        <f t="shared" ref="F88:J88" si="51">SUM(F86:F87)</f>
        <v>10858918.369199999</v>
      </c>
      <c r="G88" s="556">
        <f t="shared" si="51"/>
        <v>713722</v>
      </c>
      <c r="H88" s="558">
        <f t="shared" si="51"/>
        <v>4184171.8796000001</v>
      </c>
      <c r="I88" s="558">
        <f t="shared" si="51"/>
        <v>20318341.439999998</v>
      </c>
      <c r="J88" s="717">
        <f t="shared" si="51"/>
        <v>5331107.8399999999</v>
      </c>
    </row>
    <row r="89" spans="1:15" ht="57.6" customHeight="1" thickBot="1" x14ac:dyDescent="0.3">
      <c r="A89" s="619"/>
      <c r="B89" s="541" t="s">
        <v>174</v>
      </c>
      <c r="C89" s="542">
        <f>+C82+C85+C88</f>
        <v>7785572</v>
      </c>
      <c r="D89" s="568">
        <f t="shared" ref="D89" si="52">+D82+D85+D88</f>
        <v>1517499</v>
      </c>
      <c r="E89" s="569">
        <f>IFERROR(D89/C89,"-")</f>
        <v>0.19491169049621532</v>
      </c>
      <c r="F89" s="568">
        <f>+F82+F85+F88</f>
        <v>35925598.807300001</v>
      </c>
      <c r="G89" s="568">
        <f t="shared" ref="G89:H89" si="53">+G82+G85+G88</f>
        <v>2157142</v>
      </c>
      <c r="H89" s="568">
        <f t="shared" si="53"/>
        <v>9399638.3015999999</v>
      </c>
      <c r="I89" s="568">
        <f>+I82+I85+I88</f>
        <v>53514107.989999995</v>
      </c>
      <c r="J89" s="620">
        <f t="shared" ref="J89" si="54">+J82+J85+J88</f>
        <v>28970384.199999999</v>
      </c>
    </row>
    <row r="90" spans="1:15" ht="17.25" thickBot="1" x14ac:dyDescent="0.3"/>
    <row r="91" spans="1:15" ht="41.45" customHeight="1" x14ac:dyDescent="0.25">
      <c r="A91" s="881" t="s">
        <v>1</v>
      </c>
      <c r="B91" s="887" t="s">
        <v>394</v>
      </c>
      <c r="C91" s="887" t="s">
        <v>225</v>
      </c>
      <c r="D91" s="971" t="s">
        <v>531</v>
      </c>
      <c r="E91" s="972"/>
      <c r="F91" s="972"/>
      <c r="G91" s="972"/>
      <c r="H91" s="973"/>
      <c r="I91" s="974" t="s">
        <v>415</v>
      </c>
      <c r="J91" s="974" t="s">
        <v>416</v>
      </c>
      <c r="K91" s="229" t="s">
        <v>418</v>
      </c>
    </row>
    <row r="92" spans="1:15" ht="41.45" customHeight="1" x14ac:dyDescent="0.25">
      <c r="A92" s="953"/>
      <c r="B92" s="970"/>
      <c r="C92" s="970"/>
      <c r="D92" s="977" t="s">
        <v>228</v>
      </c>
      <c r="E92" s="978"/>
      <c r="F92" s="979"/>
      <c r="G92" s="977" t="s">
        <v>226</v>
      </c>
      <c r="H92" s="979"/>
      <c r="I92" s="975"/>
      <c r="J92" s="975"/>
    </row>
    <row r="93" spans="1:15" ht="25.9" customHeight="1" x14ac:dyDescent="0.25">
      <c r="A93" s="882"/>
      <c r="B93" s="888"/>
      <c r="C93" s="888"/>
      <c r="D93" s="980" t="s">
        <v>413</v>
      </c>
      <c r="E93" s="982" t="s">
        <v>9</v>
      </c>
      <c r="F93" s="984" t="s">
        <v>414</v>
      </c>
      <c r="G93" s="986" t="s">
        <v>227</v>
      </c>
      <c r="H93" s="988" t="s">
        <v>414</v>
      </c>
      <c r="I93" s="975"/>
      <c r="J93" s="975"/>
    </row>
    <row r="94" spans="1:15" ht="25.9" customHeight="1" thickBot="1" x14ac:dyDescent="0.3">
      <c r="A94" s="883"/>
      <c r="B94" s="889"/>
      <c r="C94" s="889"/>
      <c r="D94" s="981"/>
      <c r="E94" s="983"/>
      <c r="F94" s="985"/>
      <c r="G94" s="987"/>
      <c r="H94" s="989"/>
      <c r="I94" s="976"/>
      <c r="J94" s="976"/>
    </row>
    <row r="95" spans="1:15" ht="60.6" customHeight="1" x14ac:dyDescent="0.25">
      <c r="A95" s="268" t="s">
        <v>103</v>
      </c>
      <c r="B95" s="565" t="s">
        <v>219</v>
      </c>
      <c r="C95" s="543">
        <f>+'01 Prod Physique Boites'!E636</f>
        <v>3150000</v>
      </c>
      <c r="D95" s="544">
        <f>+'01 Prod Physique Boites'!K636</f>
        <v>325137</v>
      </c>
      <c r="E95" s="545">
        <f>IFERROR(D95/C95,"-")</f>
        <v>0.10321809523809523</v>
      </c>
      <c r="F95" s="546">
        <f>+'02 Prod Valorisée Boites'!G638</f>
        <v>6859817.6862000003</v>
      </c>
      <c r="G95" s="544">
        <f>+'03 Prod Accessoires'!K348</f>
        <v>1164890</v>
      </c>
      <c r="H95" s="547">
        <f>+'03 Prod Accessoires'!Q348</f>
        <v>4683322.9409999996</v>
      </c>
      <c r="I95" s="547">
        <f>+'02 Prod Valorisée Boites'!J638</f>
        <v>6308796.9000000004</v>
      </c>
      <c r="J95" s="548">
        <f>+'04 Ventes'!I578</f>
        <v>1522752.0000000002</v>
      </c>
      <c r="K95" s="672"/>
      <c r="L95" s="672"/>
      <c r="O95" s="664"/>
    </row>
    <row r="96" spans="1:15" ht="60.6" customHeight="1" x14ac:dyDescent="0.25">
      <c r="A96" s="835" t="s">
        <v>103</v>
      </c>
      <c r="B96" s="566" t="s">
        <v>220</v>
      </c>
      <c r="C96" s="549">
        <f>+'01 Prod Physique Boites'!E652</f>
        <v>195500</v>
      </c>
      <c r="D96" s="550">
        <f>+'01 Prod Physique Boites'!K652</f>
        <v>76010</v>
      </c>
      <c r="E96" s="551">
        <f t="shared" ref="E96:E104" si="55">IFERROR(D96/C96,"-")</f>
        <v>0.38879795396419436</v>
      </c>
      <c r="F96" s="552">
        <f>+'02 Prod Valorisée Boites'!G654</f>
        <v>5919306.5429999996</v>
      </c>
      <c r="G96" s="550">
        <f>+'03 Prod Accessoires'!K356</f>
        <v>116880</v>
      </c>
      <c r="H96" s="553">
        <f>+'03 Prod Accessoires'!Q356</f>
        <v>1002319.608</v>
      </c>
      <c r="I96" s="553">
        <f>+'02 Prod Valorisée Boites'!J654</f>
        <v>9210950.0999999996</v>
      </c>
      <c r="J96" s="554">
        <f>+'04 Ventes'!I593</f>
        <v>1015740</v>
      </c>
      <c r="K96" s="672"/>
      <c r="L96" s="672"/>
      <c r="O96" s="664"/>
    </row>
    <row r="97" spans="1:15" ht="60.6" customHeight="1" thickBot="1" x14ac:dyDescent="0.3">
      <c r="A97" s="274" t="s">
        <v>103</v>
      </c>
      <c r="B97" s="275" t="s">
        <v>221</v>
      </c>
      <c r="C97" s="549"/>
      <c r="D97" s="550"/>
      <c r="E97" s="551" t="str">
        <f t="shared" si="55"/>
        <v>-</v>
      </c>
      <c r="F97" s="552"/>
      <c r="G97" s="550"/>
      <c r="H97" s="553"/>
      <c r="I97" s="553"/>
      <c r="J97" s="554">
        <f>+'04 Ventes'!I601</f>
        <v>35000</v>
      </c>
    </row>
    <row r="98" spans="1:15" s="293" customFormat="1" ht="60.6" customHeight="1" thickBot="1" x14ac:dyDescent="0.3">
      <c r="A98" s="317" t="s">
        <v>103</v>
      </c>
      <c r="B98" s="429" t="s">
        <v>222</v>
      </c>
      <c r="C98" s="555">
        <f>SUM(C95:C97)</f>
        <v>3345500</v>
      </c>
      <c r="D98" s="556">
        <f t="shared" ref="D98" si="56">SUM(D95:D97)</f>
        <v>401147</v>
      </c>
      <c r="E98" s="557">
        <f t="shared" si="55"/>
        <v>0.11990644148856673</v>
      </c>
      <c r="F98" s="558">
        <f>SUM(F95:F97)</f>
        <v>12779124.2292</v>
      </c>
      <c r="G98" s="556">
        <f t="shared" ref="G98:H98" si="57">SUM(G95:G97)</f>
        <v>1281770</v>
      </c>
      <c r="H98" s="558">
        <f t="shared" si="57"/>
        <v>5685642.5489999996</v>
      </c>
      <c r="I98" s="558">
        <f>SUM(I95:I97)</f>
        <v>15519747</v>
      </c>
      <c r="J98" s="717">
        <f t="shared" ref="J98" si="58">SUM(J95:J97)</f>
        <v>2573492</v>
      </c>
    </row>
    <row r="99" spans="1:15" ht="60.6" customHeight="1" x14ac:dyDescent="0.25">
      <c r="A99" s="268" t="s">
        <v>101</v>
      </c>
      <c r="B99" s="565" t="s">
        <v>219</v>
      </c>
      <c r="C99" s="543">
        <f>+'01 Prod Physique Boites'!E688</f>
        <v>3167672</v>
      </c>
      <c r="D99" s="544">
        <f>+'01 Prod Physique Boites'!K688</f>
        <v>1097845</v>
      </c>
      <c r="E99" s="545">
        <f t="shared" si="55"/>
        <v>0.34657786538505247</v>
      </c>
      <c r="F99" s="546">
        <f>+'02 Prod Valorisée Boites'!G690</f>
        <v>18899156.249999996</v>
      </c>
      <c r="G99" s="544">
        <f>+'03 Prod Accessoires'!K366</f>
        <v>475750</v>
      </c>
      <c r="H99" s="547">
        <f>+'03 Prod Accessoires'!Q366</f>
        <v>1053358.0750000002</v>
      </c>
      <c r="I99" s="543">
        <f>+'02 Prod Valorisée Boites'!J690</f>
        <v>27522275.039999999</v>
      </c>
      <c r="J99" s="559">
        <f>+'04 Ventes'!I636</f>
        <v>27884443.460000001</v>
      </c>
      <c r="L99" s="672"/>
      <c r="O99" s="664"/>
    </row>
    <row r="100" spans="1:15" ht="60.6" customHeight="1" thickBot="1" x14ac:dyDescent="0.3">
      <c r="A100" s="835" t="s">
        <v>101</v>
      </c>
      <c r="B100" s="294" t="s">
        <v>221</v>
      </c>
      <c r="C100" s="560"/>
      <c r="D100" s="550"/>
      <c r="E100" s="551" t="str">
        <f t="shared" si="55"/>
        <v>-</v>
      </c>
      <c r="F100" s="552"/>
      <c r="G100" s="550"/>
      <c r="H100" s="553"/>
      <c r="I100" s="553"/>
      <c r="J100" s="561"/>
    </row>
    <row r="101" spans="1:15" s="293" customFormat="1" ht="60.6" customHeight="1" thickBot="1" x14ac:dyDescent="0.3">
      <c r="A101" s="317" t="s">
        <v>101</v>
      </c>
      <c r="B101" s="429" t="s">
        <v>223</v>
      </c>
      <c r="C101" s="555">
        <f>SUM(C99:C100)</f>
        <v>3167672</v>
      </c>
      <c r="D101" s="556">
        <f t="shared" ref="D101" si="59">SUM(D99:D100)</f>
        <v>1097845</v>
      </c>
      <c r="E101" s="557">
        <f t="shared" si="55"/>
        <v>0.34657786538505247</v>
      </c>
      <c r="F101" s="558">
        <f t="shared" ref="F101:J101" si="60">SUM(F99:F100)</f>
        <v>18899156.249999996</v>
      </c>
      <c r="G101" s="556">
        <f t="shared" si="60"/>
        <v>475750</v>
      </c>
      <c r="H101" s="558">
        <f t="shared" si="60"/>
        <v>1053358.0750000002</v>
      </c>
      <c r="I101" s="558">
        <f t="shared" si="60"/>
        <v>27522275.039999999</v>
      </c>
      <c r="J101" s="717">
        <f t="shared" si="60"/>
        <v>27884443.460000001</v>
      </c>
    </row>
    <row r="102" spans="1:15" ht="60.6" customHeight="1" x14ac:dyDescent="0.25">
      <c r="A102" s="268" t="s">
        <v>102</v>
      </c>
      <c r="B102" s="567" t="s">
        <v>220</v>
      </c>
      <c r="C102" s="547">
        <f>+'01 Prod Physique Boites'!E715</f>
        <v>1272400</v>
      </c>
      <c r="D102" s="544">
        <f>+'01 Prod Physique Boites'!K715</f>
        <v>368455</v>
      </c>
      <c r="E102" s="545">
        <f t="shared" si="55"/>
        <v>0.28957481923923295</v>
      </c>
      <c r="F102" s="546">
        <f>+'02 Prod Valorisée Boites'!G716</f>
        <v>13549764.4572</v>
      </c>
      <c r="G102" s="544">
        <f>+'03 Prod Accessoires'!K402</f>
        <v>852672</v>
      </c>
      <c r="H102" s="547">
        <f>+'03 Prod Accessoires'!Q402</f>
        <v>4866593.3496000003</v>
      </c>
      <c r="I102" s="547">
        <f>+'02 Prod Valorisée Boites'!J716</f>
        <v>25479167.039999999</v>
      </c>
      <c r="J102" s="559">
        <f>+'04 Ventes'!I662</f>
        <v>8859789.4399999995</v>
      </c>
      <c r="K102" s="672"/>
      <c r="L102" s="672"/>
      <c r="O102" s="664"/>
    </row>
    <row r="103" spans="1:15" ht="60.6" customHeight="1" thickBot="1" x14ac:dyDescent="0.3">
      <c r="A103" s="835" t="s">
        <v>102</v>
      </c>
      <c r="B103" s="302" t="s">
        <v>221</v>
      </c>
      <c r="C103" s="553"/>
      <c r="D103" s="562"/>
      <c r="E103" s="563" t="str">
        <f t="shared" si="55"/>
        <v>-</v>
      </c>
      <c r="F103" s="564"/>
      <c r="G103" s="550"/>
      <c r="H103" s="553"/>
      <c r="I103" s="553"/>
      <c r="J103" s="561"/>
    </row>
    <row r="104" spans="1:15" s="293" customFormat="1" ht="60.6" customHeight="1" thickBot="1" x14ac:dyDescent="0.3">
      <c r="A104" s="317" t="s">
        <v>102</v>
      </c>
      <c r="B104" s="429" t="s">
        <v>224</v>
      </c>
      <c r="C104" s="555">
        <f>SUM(C102:C103)</f>
        <v>1272400</v>
      </c>
      <c r="D104" s="556">
        <f t="shared" ref="D104" si="61">SUM(D102:D103)</f>
        <v>368455</v>
      </c>
      <c r="E104" s="557">
        <f t="shared" si="55"/>
        <v>0.28957481923923295</v>
      </c>
      <c r="F104" s="558">
        <f t="shared" ref="F104:J104" si="62">SUM(F102:F103)</f>
        <v>13549764.4572</v>
      </c>
      <c r="G104" s="556">
        <f t="shared" si="62"/>
        <v>852672</v>
      </c>
      <c r="H104" s="558">
        <f t="shared" si="62"/>
        <v>4866593.3496000003</v>
      </c>
      <c r="I104" s="558">
        <f t="shared" si="62"/>
        <v>25479167.039999999</v>
      </c>
      <c r="J104" s="717">
        <f t="shared" si="62"/>
        <v>8859789.4399999995</v>
      </c>
    </row>
    <row r="105" spans="1:15" ht="57.6" customHeight="1" thickBot="1" x14ac:dyDescent="0.3">
      <c r="A105" s="619"/>
      <c r="B105" s="541" t="s">
        <v>174</v>
      </c>
      <c r="C105" s="542">
        <f>+C98+C101+C104</f>
        <v>7785572</v>
      </c>
      <c r="D105" s="568">
        <f t="shared" ref="D105" si="63">+D98+D101+D104</f>
        <v>1867447</v>
      </c>
      <c r="E105" s="569">
        <f>IFERROR(D105/C105,"-")</f>
        <v>0.23985996147746114</v>
      </c>
      <c r="F105" s="568">
        <f>+F98+F101+F104</f>
        <v>45228044.936399996</v>
      </c>
      <c r="G105" s="568">
        <f t="shared" ref="G105:H105" si="64">+G98+G101+G104</f>
        <v>2610192</v>
      </c>
      <c r="H105" s="568">
        <f t="shared" si="64"/>
        <v>11605593.9736</v>
      </c>
      <c r="I105" s="568">
        <f>+I98+I101+I104</f>
        <v>68521189.079999998</v>
      </c>
      <c r="J105" s="620">
        <f t="shared" ref="J105" si="65">+J98+J101+J104</f>
        <v>39317724.899999999</v>
      </c>
    </row>
    <row r="108" spans="1:15" x14ac:dyDescent="0.25">
      <c r="C108" s="664"/>
      <c r="D108" s="664"/>
      <c r="E108" s="664"/>
      <c r="F108" s="664"/>
      <c r="G108" s="664"/>
      <c r="H108" s="664"/>
      <c r="I108" s="664"/>
      <c r="J108" s="664"/>
    </row>
  </sheetData>
  <mergeCells count="79">
    <mergeCell ref="D91:H91"/>
    <mergeCell ref="I91:I94"/>
    <mergeCell ref="J91:J94"/>
    <mergeCell ref="D92:F92"/>
    <mergeCell ref="G92:H92"/>
    <mergeCell ref="D93:D94"/>
    <mergeCell ref="E93:E94"/>
    <mergeCell ref="F93:F94"/>
    <mergeCell ref="A91:A94"/>
    <mergeCell ref="B91:B94"/>
    <mergeCell ref="C91:C94"/>
    <mergeCell ref="G93:G94"/>
    <mergeCell ref="H93:H94"/>
    <mergeCell ref="J75:J78"/>
    <mergeCell ref="D76:F76"/>
    <mergeCell ref="G76:H76"/>
    <mergeCell ref="D77:D78"/>
    <mergeCell ref="E77:E78"/>
    <mergeCell ref="F77:F78"/>
    <mergeCell ref="G77:G78"/>
    <mergeCell ref="H77:H78"/>
    <mergeCell ref="A75:A78"/>
    <mergeCell ref="B75:B78"/>
    <mergeCell ref="C75:C78"/>
    <mergeCell ref="D75:H75"/>
    <mergeCell ref="I75:I78"/>
    <mergeCell ref="J59:J62"/>
    <mergeCell ref="D60:F60"/>
    <mergeCell ref="G60:H60"/>
    <mergeCell ref="D61:D62"/>
    <mergeCell ref="E61:E62"/>
    <mergeCell ref="F61:F62"/>
    <mergeCell ref="G61:G62"/>
    <mergeCell ref="H61:H62"/>
    <mergeCell ref="A59:A62"/>
    <mergeCell ref="B59:B62"/>
    <mergeCell ref="C59:C62"/>
    <mergeCell ref="D59:H59"/>
    <mergeCell ref="I59:I62"/>
    <mergeCell ref="J43:J46"/>
    <mergeCell ref="D44:F44"/>
    <mergeCell ref="G44:H44"/>
    <mergeCell ref="D45:D46"/>
    <mergeCell ref="E45:E46"/>
    <mergeCell ref="F45:F46"/>
    <mergeCell ref="G45:G46"/>
    <mergeCell ref="H45:H46"/>
    <mergeCell ref="A43:A46"/>
    <mergeCell ref="B43:B46"/>
    <mergeCell ref="C43:C46"/>
    <mergeCell ref="D43:H43"/>
    <mergeCell ref="I43:I46"/>
    <mergeCell ref="J27:J30"/>
    <mergeCell ref="D28:F28"/>
    <mergeCell ref="G28:H28"/>
    <mergeCell ref="D29:D30"/>
    <mergeCell ref="E29:E30"/>
    <mergeCell ref="F29:F30"/>
    <mergeCell ref="G29:G30"/>
    <mergeCell ref="H29:H30"/>
    <mergeCell ref="A27:A30"/>
    <mergeCell ref="B27:B30"/>
    <mergeCell ref="C27:C30"/>
    <mergeCell ref="D27:H27"/>
    <mergeCell ref="I27:I30"/>
    <mergeCell ref="A9:J9"/>
    <mergeCell ref="A11:A14"/>
    <mergeCell ref="B11:B14"/>
    <mergeCell ref="C11:C14"/>
    <mergeCell ref="D11:H11"/>
    <mergeCell ref="I11:I14"/>
    <mergeCell ref="J11:J14"/>
    <mergeCell ref="D12:F12"/>
    <mergeCell ref="G12:H12"/>
    <mergeCell ref="D13:D14"/>
    <mergeCell ref="E13:E14"/>
    <mergeCell ref="F13:F14"/>
    <mergeCell ref="G13:G14"/>
    <mergeCell ref="H13:H14"/>
  </mergeCells>
  <pageMargins left="0.19685039370078741" right="0.19685039370078741" top="0.19685039370078741" bottom="0.19685039370078741" header="0.19685039370078741" footer="0.19685039370078741"/>
  <pageSetup paperSize="9" scale="10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7:T152"/>
  <sheetViews>
    <sheetView view="pageBreakPreview" topLeftCell="A10" zoomScale="50" zoomScaleNormal="70" zoomScaleSheetLayoutView="50" workbookViewId="0">
      <selection activeCell="C21" sqref="C21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3" width="32.28515625" style="222" customWidth="1"/>
    <col min="4" max="4" width="33.140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7.140625" style="262" customWidth="1"/>
    <col min="14" max="15" width="15.7109375" style="222" customWidth="1"/>
    <col min="16" max="16" width="20.7109375" style="262" customWidth="1"/>
    <col min="17" max="18" width="15.7109375" style="222" customWidth="1"/>
    <col min="19" max="19" width="16.14062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79.5" customHeight="1" x14ac:dyDescent="0.25">
      <c r="A9" s="879" t="s">
        <v>495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4.6" customHeight="1" thickBot="1" x14ac:dyDescent="0.3">
      <c r="A11" s="230"/>
      <c r="B11" s="231"/>
      <c r="C11" s="232"/>
      <c r="D11" s="232"/>
      <c r="E11" s="232"/>
      <c r="F11" s="232"/>
      <c r="G11" s="233"/>
      <c r="H11" s="234"/>
      <c r="I11" s="232"/>
      <c r="J11" s="232"/>
      <c r="K11" s="232"/>
      <c r="L11" s="232"/>
      <c r="M11" s="234"/>
      <c r="N11" s="232"/>
      <c r="O11" s="232"/>
      <c r="P11" s="234"/>
      <c r="Q11" s="232"/>
      <c r="R11" s="232"/>
      <c r="S11" s="234"/>
      <c r="T11" s="234"/>
    </row>
    <row r="12" spans="1:20" ht="28.5" customHeight="1" x14ac:dyDescent="0.25">
      <c r="A12" s="935" t="s">
        <v>1</v>
      </c>
      <c r="B12" s="935" t="s">
        <v>2</v>
      </c>
      <c r="C12" s="890" t="s">
        <v>206</v>
      </c>
      <c r="D12" s="891"/>
      <c r="E12" s="892"/>
      <c r="F12" s="890" t="s">
        <v>532</v>
      </c>
      <c r="G12" s="891"/>
      <c r="H12" s="891"/>
      <c r="I12" s="892"/>
      <c r="J12" s="935" t="s">
        <v>203</v>
      </c>
      <c r="K12" s="890" t="s">
        <v>191</v>
      </c>
      <c r="L12" s="891"/>
      <c r="M12" s="892"/>
      <c r="N12" s="890" t="s">
        <v>192</v>
      </c>
      <c r="O12" s="891"/>
      <c r="P12" s="892"/>
      <c r="Q12" s="890" t="s">
        <v>193</v>
      </c>
      <c r="R12" s="891"/>
      <c r="S12" s="892"/>
      <c r="T12" s="990" t="s">
        <v>190</v>
      </c>
    </row>
    <row r="13" spans="1:20" ht="91.5" customHeight="1" thickBot="1" x14ac:dyDescent="0.3">
      <c r="A13" s="937"/>
      <c r="B13" s="937"/>
      <c r="C13" s="235" t="s">
        <v>207</v>
      </c>
      <c r="D13" s="236" t="s">
        <v>204</v>
      </c>
      <c r="E13" s="237" t="s">
        <v>205</v>
      </c>
      <c r="F13" s="238" t="s">
        <v>324</v>
      </c>
      <c r="G13" s="236" t="s">
        <v>200</v>
      </c>
      <c r="H13" s="239" t="s">
        <v>201</v>
      </c>
      <c r="I13" s="240" t="s">
        <v>202</v>
      </c>
      <c r="J13" s="937"/>
      <c r="K13" s="235" t="s">
        <v>194</v>
      </c>
      <c r="L13" s="239" t="s">
        <v>195</v>
      </c>
      <c r="M13" s="241" t="s">
        <v>208</v>
      </c>
      <c r="N13" s="242" t="s">
        <v>196</v>
      </c>
      <c r="O13" s="239" t="s">
        <v>197</v>
      </c>
      <c r="P13" s="241" t="s">
        <v>209</v>
      </c>
      <c r="Q13" s="235" t="s">
        <v>198</v>
      </c>
      <c r="R13" s="239" t="s">
        <v>199</v>
      </c>
      <c r="S13" s="243" t="s">
        <v>210</v>
      </c>
      <c r="T13" s="991"/>
    </row>
    <row r="14" spans="1:20" ht="24.6" customHeight="1" x14ac:dyDescent="0.25">
      <c r="A14" s="244" t="s">
        <v>103</v>
      </c>
      <c r="B14" s="245" t="s">
        <v>16</v>
      </c>
      <c r="C14" s="459">
        <f>+D14+E14</f>
        <v>30</v>
      </c>
      <c r="D14" s="246">
        <v>30</v>
      </c>
      <c r="E14" s="247"/>
      <c r="F14" s="593">
        <v>15000</v>
      </c>
      <c r="G14" s="460">
        <f>+H14+I14</f>
        <v>13029</v>
      </c>
      <c r="H14" s="597">
        <v>12800</v>
      </c>
      <c r="I14" s="754">
        <v>229</v>
      </c>
      <c r="J14" s="753">
        <v>480</v>
      </c>
      <c r="K14" s="459">
        <f>+L14-E14</f>
        <v>450</v>
      </c>
      <c r="L14" s="460">
        <f>+J14-D14</f>
        <v>450</v>
      </c>
      <c r="M14" s="461">
        <f>IFERROR(K14/L14,"-")</f>
        <v>1</v>
      </c>
      <c r="N14" s="462">
        <f>+O14-C14</f>
        <v>420</v>
      </c>
      <c r="O14" s="460">
        <f>+K14</f>
        <v>450</v>
      </c>
      <c r="P14" s="463">
        <f>IFERROR(N14/O14,"-")</f>
        <v>0.93333333333333335</v>
      </c>
      <c r="Q14" s="460">
        <f>IFERROR(N14-(J14-(J14*H14/G14)),"-")</f>
        <v>411.56343541330875</v>
      </c>
      <c r="R14" s="460">
        <f>+N14</f>
        <v>420</v>
      </c>
      <c r="S14" s="464">
        <f>IFERROR(Q14/R14,"-")</f>
        <v>0.97991294146025898</v>
      </c>
      <c r="T14" s="465">
        <f>IFERROR(M14*P14*S14,"-")</f>
        <v>0.91458541202957511</v>
      </c>
    </row>
    <row r="15" spans="1:20" ht="24.6" customHeight="1" x14ac:dyDescent="0.25">
      <c r="A15" s="248" t="s">
        <v>103</v>
      </c>
      <c r="B15" s="249" t="s">
        <v>214</v>
      </c>
      <c r="C15" s="466">
        <f t="shared" ref="C15:C16" si="0">+D15+E15</f>
        <v>0</v>
      </c>
      <c r="D15" s="250"/>
      <c r="E15" s="251"/>
      <c r="F15" s="594">
        <v>100000</v>
      </c>
      <c r="G15" s="468">
        <f t="shared" ref="G15:G20" si="1">+H15+I15</f>
        <v>0</v>
      </c>
      <c r="H15" s="254"/>
      <c r="I15" s="755"/>
      <c r="J15" s="747"/>
      <c r="K15" s="466">
        <f t="shared" ref="K15:K18" si="2">+L15-E15</f>
        <v>0</v>
      </c>
      <c r="L15" s="468">
        <f t="shared" ref="L15:L30" si="3">+J15-D15</f>
        <v>0</v>
      </c>
      <c r="M15" s="469" t="str">
        <f t="shared" ref="M15:M18" si="4">IFERROR(K15/L15,"-")</f>
        <v>-</v>
      </c>
      <c r="N15" s="470">
        <f>+O15-C15</f>
        <v>0</v>
      </c>
      <c r="O15" s="468">
        <f t="shared" ref="O15:O30" si="5">+K15</f>
        <v>0</v>
      </c>
      <c r="P15" s="471" t="str">
        <f>IFERROR(N15/O15,"-")</f>
        <v>-</v>
      </c>
      <c r="Q15" s="468" t="str">
        <f t="shared" ref="Q15:Q29" si="6">IFERROR(N15-(J15-(J15*H15/G15)),"-")</f>
        <v>-</v>
      </c>
      <c r="R15" s="468">
        <f t="shared" ref="R15:R29" si="7">+N15</f>
        <v>0</v>
      </c>
      <c r="S15" s="472" t="str">
        <f t="shared" ref="S15:S29" si="8">IFERROR(Q15/R15,"-")</f>
        <v>-</v>
      </c>
      <c r="T15" s="473" t="str">
        <f t="shared" ref="T15:T29" si="9">IFERROR(M15*P15*S15,"-")</f>
        <v>-</v>
      </c>
    </row>
    <row r="16" spans="1:20" ht="24.6" customHeight="1" x14ac:dyDescent="0.25">
      <c r="A16" s="248" t="s">
        <v>103</v>
      </c>
      <c r="B16" s="249" t="s">
        <v>213</v>
      </c>
      <c r="C16" s="466">
        <f t="shared" si="0"/>
        <v>390</v>
      </c>
      <c r="D16" s="250">
        <v>30</v>
      </c>
      <c r="E16" s="251">
        <v>360</v>
      </c>
      <c r="F16" s="594">
        <v>80000</v>
      </c>
      <c r="G16" s="468">
        <f t="shared" si="1"/>
        <v>4058</v>
      </c>
      <c r="H16" s="254">
        <v>3978</v>
      </c>
      <c r="I16" s="755">
        <v>80</v>
      </c>
      <c r="J16" s="747">
        <v>480</v>
      </c>
      <c r="K16" s="466">
        <f t="shared" si="2"/>
        <v>90</v>
      </c>
      <c r="L16" s="468">
        <f t="shared" si="3"/>
        <v>450</v>
      </c>
      <c r="M16" s="469">
        <f t="shared" si="4"/>
        <v>0.2</v>
      </c>
      <c r="N16" s="470">
        <f t="shared" ref="N16:N29" si="10">+O16-C16</f>
        <v>-300</v>
      </c>
      <c r="O16" s="468">
        <f t="shared" si="5"/>
        <v>90</v>
      </c>
      <c r="P16" s="471">
        <f t="shared" ref="P16:P29" si="11">IFERROR(N16/O16,"-")</f>
        <v>-3.3333333333333335</v>
      </c>
      <c r="Q16" s="468">
        <f t="shared" si="6"/>
        <v>-309.46278955150319</v>
      </c>
      <c r="R16" s="468">
        <f t="shared" si="7"/>
        <v>-300</v>
      </c>
      <c r="S16" s="472">
        <f t="shared" si="8"/>
        <v>1.031542631838344</v>
      </c>
      <c r="T16" s="473">
        <f t="shared" si="9"/>
        <v>-0.68769508789222944</v>
      </c>
    </row>
    <row r="17" spans="1:20" ht="24.6" customHeight="1" x14ac:dyDescent="0.25">
      <c r="A17" s="252" t="s">
        <v>103</v>
      </c>
      <c r="B17" s="249" t="s">
        <v>216</v>
      </c>
      <c r="C17" s="466">
        <v>30</v>
      </c>
      <c r="D17" s="250">
        <v>30</v>
      </c>
      <c r="E17" s="251"/>
      <c r="F17" s="594">
        <v>220000</v>
      </c>
      <c r="G17" s="468">
        <f t="shared" si="1"/>
        <v>56005</v>
      </c>
      <c r="H17" s="254">
        <v>55690</v>
      </c>
      <c r="I17" s="755">
        <v>315</v>
      </c>
      <c r="J17" s="747">
        <v>480</v>
      </c>
      <c r="K17" s="466">
        <f t="shared" si="2"/>
        <v>450</v>
      </c>
      <c r="L17" s="468">
        <f t="shared" si="3"/>
        <v>450</v>
      </c>
      <c r="M17" s="469">
        <f t="shared" si="4"/>
        <v>1</v>
      </c>
      <c r="N17" s="470">
        <f t="shared" si="10"/>
        <v>420</v>
      </c>
      <c r="O17" s="468">
        <f t="shared" si="5"/>
        <v>450</v>
      </c>
      <c r="P17" s="471">
        <f t="shared" si="11"/>
        <v>0.93333333333333335</v>
      </c>
      <c r="Q17" s="468">
        <f t="shared" si="6"/>
        <v>417.30024104990628</v>
      </c>
      <c r="R17" s="468">
        <f t="shared" si="7"/>
        <v>420</v>
      </c>
      <c r="S17" s="472">
        <f t="shared" si="8"/>
        <v>0.99357200249977684</v>
      </c>
      <c r="T17" s="473">
        <f t="shared" si="9"/>
        <v>0.92733386899979175</v>
      </c>
    </row>
    <row r="18" spans="1:20" ht="24.6" customHeight="1" x14ac:dyDescent="0.25">
      <c r="A18" s="248" t="s">
        <v>103</v>
      </c>
      <c r="B18" s="249" t="s">
        <v>215</v>
      </c>
      <c r="C18" s="466">
        <f t="shared" ref="C18:C29" si="12">+D18+E18</f>
        <v>480</v>
      </c>
      <c r="D18" s="250"/>
      <c r="E18" s="251">
        <v>480</v>
      </c>
      <c r="F18" s="594">
        <v>50000</v>
      </c>
      <c r="G18" s="468">
        <f t="shared" si="1"/>
        <v>0</v>
      </c>
      <c r="H18" s="254">
        <v>0</v>
      </c>
      <c r="I18" s="755">
        <v>0</v>
      </c>
      <c r="J18" s="747">
        <v>480</v>
      </c>
      <c r="K18" s="466">
        <f t="shared" si="2"/>
        <v>0</v>
      </c>
      <c r="L18" s="468">
        <f t="shared" si="3"/>
        <v>480</v>
      </c>
      <c r="M18" s="469">
        <f t="shared" si="4"/>
        <v>0</v>
      </c>
      <c r="N18" s="470">
        <f t="shared" si="10"/>
        <v>-480</v>
      </c>
      <c r="O18" s="468">
        <f t="shared" si="5"/>
        <v>0</v>
      </c>
      <c r="P18" s="471" t="str">
        <f t="shared" si="11"/>
        <v>-</v>
      </c>
      <c r="Q18" s="468" t="str">
        <f t="shared" si="6"/>
        <v>-</v>
      </c>
      <c r="R18" s="468">
        <f t="shared" si="7"/>
        <v>-480</v>
      </c>
      <c r="S18" s="472" t="str">
        <f t="shared" si="8"/>
        <v>-</v>
      </c>
      <c r="T18" s="473" t="str">
        <f t="shared" si="9"/>
        <v>-</v>
      </c>
    </row>
    <row r="19" spans="1:20" ht="24.6" customHeight="1" x14ac:dyDescent="0.25">
      <c r="A19" s="248">
        <v>5</v>
      </c>
      <c r="B19" s="249" t="s">
        <v>22</v>
      </c>
      <c r="C19" s="466">
        <f t="shared" si="12"/>
        <v>0</v>
      </c>
      <c r="D19" s="250"/>
      <c r="E19" s="251"/>
      <c r="F19" s="594">
        <v>80000</v>
      </c>
      <c r="G19" s="468">
        <f t="shared" si="1"/>
        <v>0</v>
      </c>
      <c r="H19" s="467"/>
      <c r="I19" s="756"/>
      <c r="J19" s="747"/>
      <c r="K19" s="466">
        <f>+L19-E19</f>
        <v>0</v>
      </c>
      <c r="L19" s="468">
        <f t="shared" si="3"/>
        <v>0</v>
      </c>
      <c r="M19" s="469" t="str">
        <f>IFERROR(K19/L19,"-")</f>
        <v>-</v>
      </c>
      <c r="N19" s="470">
        <f t="shared" si="10"/>
        <v>0</v>
      </c>
      <c r="O19" s="468">
        <f t="shared" si="5"/>
        <v>0</v>
      </c>
      <c r="P19" s="471" t="str">
        <f t="shared" si="11"/>
        <v>-</v>
      </c>
      <c r="Q19" s="468" t="str">
        <f t="shared" si="6"/>
        <v>-</v>
      </c>
      <c r="R19" s="468">
        <f t="shared" si="7"/>
        <v>0</v>
      </c>
      <c r="S19" s="472" t="str">
        <f t="shared" si="8"/>
        <v>-</v>
      </c>
      <c r="T19" s="473" t="str">
        <f t="shared" si="9"/>
        <v>-</v>
      </c>
    </row>
    <row r="20" spans="1:20" ht="24.6" customHeight="1" x14ac:dyDescent="0.25">
      <c r="A20" s="248" t="s">
        <v>103</v>
      </c>
      <c r="B20" s="249" t="s">
        <v>23</v>
      </c>
      <c r="C20" s="466">
        <f t="shared" si="12"/>
        <v>30</v>
      </c>
      <c r="D20" s="250">
        <v>30</v>
      </c>
      <c r="E20" s="251"/>
      <c r="F20" s="594">
        <v>14000</v>
      </c>
      <c r="G20" s="468">
        <f t="shared" si="1"/>
        <v>14910</v>
      </c>
      <c r="H20" s="254">
        <v>14875</v>
      </c>
      <c r="I20" s="755">
        <v>35</v>
      </c>
      <c r="J20" s="747">
        <v>480</v>
      </c>
      <c r="K20" s="466">
        <f t="shared" ref="K20:K30" si="13">+L20-E20</f>
        <v>450</v>
      </c>
      <c r="L20" s="468">
        <f t="shared" si="3"/>
        <v>450</v>
      </c>
      <c r="M20" s="469">
        <f t="shared" ref="M20:M30" si="14">IFERROR(K20/L20,"-")</f>
        <v>1</v>
      </c>
      <c r="N20" s="470">
        <f t="shared" si="10"/>
        <v>420</v>
      </c>
      <c r="O20" s="468">
        <f t="shared" si="5"/>
        <v>450</v>
      </c>
      <c r="P20" s="471">
        <f t="shared" si="11"/>
        <v>0.93333333333333335</v>
      </c>
      <c r="Q20" s="468">
        <f t="shared" si="6"/>
        <v>418.87323943661971</v>
      </c>
      <c r="R20" s="468">
        <f t="shared" si="7"/>
        <v>420</v>
      </c>
      <c r="S20" s="472">
        <f t="shared" si="8"/>
        <v>0.99731723675385642</v>
      </c>
      <c r="T20" s="473">
        <f t="shared" si="9"/>
        <v>0.930829420970266</v>
      </c>
    </row>
    <row r="21" spans="1:20" ht="24.6" customHeight="1" x14ac:dyDescent="0.25">
      <c r="A21" s="248" t="s">
        <v>103</v>
      </c>
      <c r="B21" s="253" t="s">
        <v>211</v>
      </c>
      <c r="C21" s="474">
        <f t="shared" si="12"/>
        <v>470</v>
      </c>
      <c r="D21" s="250">
        <f>30+30+260</f>
        <v>320</v>
      </c>
      <c r="E21" s="251">
        <v>150</v>
      </c>
      <c r="F21" s="594">
        <v>4500</v>
      </c>
      <c r="G21" s="468">
        <f>+H21+I21</f>
        <v>17952</v>
      </c>
      <c r="H21" s="254">
        <v>17854</v>
      </c>
      <c r="I21" s="251">
        <v>98</v>
      </c>
      <c r="J21" s="747">
        <v>960</v>
      </c>
      <c r="K21" s="474">
        <f t="shared" si="13"/>
        <v>490</v>
      </c>
      <c r="L21" s="250">
        <f t="shared" si="3"/>
        <v>640</v>
      </c>
      <c r="M21" s="475">
        <f t="shared" si="14"/>
        <v>0.765625</v>
      </c>
      <c r="N21" s="476">
        <f t="shared" si="10"/>
        <v>20</v>
      </c>
      <c r="O21" s="250">
        <f t="shared" si="5"/>
        <v>490</v>
      </c>
      <c r="P21" s="477">
        <f t="shared" si="11"/>
        <v>4.0816326530612242E-2</v>
      </c>
      <c r="Q21" s="250">
        <f t="shared" si="6"/>
        <v>14.759358288770045</v>
      </c>
      <c r="R21" s="250">
        <f t="shared" si="7"/>
        <v>20</v>
      </c>
      <c r="S21" s="478">
        <f t="shared" si="8"/>
        <v>0.73796791443850229</v>
      </c>
      <c r="T21" s="479">
        <f t="shared" si="9"/>
        <v>2.3061497326203193E-2</v>
      </c>
    </row>
    <row r="22" spans="1:20" ht="24.6" customHeight="1" thickBot="1" x14ac:dyDescent="0.3">
      <c r="A22" s="255" t="s">
        <v>103</v>
      </c>
      <c r="B22" s="256" t="s">
        <v>212</v>
      </c>
      <c r="C22" s="480">
        <f t="shared" si="12"/>
        <v>630</v>
      </c>
      <c r="D22" s="257">
        <f>30+30+60</f>
        <v>120</v>
      </c>
      <c r="E22" s="258">
        <v>510</v>
      </c>
      <c r="F22" s="598">
        <v>5000</v>
      </c>
      <c r="G22" s="490">
        <f t="shared" ref="G22:G29" si="15">+H22+I22</f>
        <v>8618</v>
      </c>
      <c r="H22" s="259">
        <v>8595</v>
      </c>
      <c r="I22" s="258">
        <v>23</v>
      </c>
      <c r="J22" s="748">
        <v>960</v>
      </c>
      <c r="K22" s="480">
        <f t="shared" si="13"/>
        <v>330</v>
      </c>
      <c r="L22" s="257">
        <f t="shared" si="3"/>
        <v>840</v>
      </c>
      <c r="M22" s="481">
        <f t="shared" si="14"/>
        <v>0.39285714285714285</v>
      </c>
      <c r="N22" s="482">
        <f t="shared" si="10"/>
        <v>-300</v>
      </c>
      <c r="O22" s="257">
        <f t="shared" si="5"/>
        <v>330</v>
      </c>
      <c r="P22" s="483">
        <f t="shared" si="11"/>
        <v>-0.90909090909090906</v>
      </c>
      <c r="Q22" s="257">
        <f t="shared" si="6"/>
        <v>-302.56207936876308</v>
      </c>
      <c r="R22" s="257">
        <f t="shared" si="7"/>
        <v>-300</v>
      </c>
      <c r="S22" s="484">
        <f t="shared" si="8"/>
        <v>1.0085402645625436</v>
      </c>
      <c r="T22" s="485">
        <f t="shared" si="9"/>
        <v>-0.3601929516294799</v>
      </c>
    </row>
    <row r="23" spans="1:20" ht="24.6" customHeight="1" x14ac:dyDescent="0.25">
      <c r="A23" s="252" t="s">
        <v>101</v>
      </c>
      <c r="B23" s="260" t="s">
        <v>29</v>
      </c>
      <c r="C23" s="466">
        <f t="shared" si="12"/>
        <v>375</v>
      </c>
      <c r="D23" s="250">
        <v>90</v>
      </c>
      <c r="E23" s="251">
        <v>285</v>
      </c>
      <c r="F23" s="749">
        <v>160000</v>
      </c>
      <c r="G23" s="751">
        <f t="shared" si="15"/>
        <v>185034</v>
      </c>
      <c r="H23" s="749">
        <v>182988</v>
      </c>
      <c r="I23" s="750">
        <v>2046</v>
      </c>
      <c r="J23" s="752">
        <v>1480</v>
      </c>
      <c r="K23" s="466">
        <f t="shared" si="13"/>
        <v>1105</v>
      </c>
      <c r="L23" s="468">
        <f t="shared" si="3"/>
        <v>1390</v>
      </c>
      <c r="M23" s="469">
        <f t="shared" si="14"/>
        <v>0.79496402877697847</v>
      </c>
      <c r="N23" s="470">
        <f t="shared" si="10"/>
        <v>730</v>
      </c>
      <c r="O23" s="468">
        <f t="shared" si="5"/>
        <v>1105</v>
      </c>
      <c r="P23" s="471">
        <f t="shared" si="11"/>
        <v>0.66063348416289591</v>
      </c>
      <c r="Q23" s="468">
        <f t="shared" si="6"/>
        <v>713.63500762022113</v>
      </c>
      <c r="R23" s="468">
        <f t="shared" si="7"/>
        <v>730</v>
      </c>
      <c r="S23" s="486">
        <f t="shared" si="8"/>
        <v>0.977582202219481</v>
      </c>
      <c r="T23" s="487">
        <f t="shared" si="9"/>
        <v>0.51340648030231739</v>
      </c>
    </row>
    <row r="24" spans="1:20" ht="24.6" customHeight="1" x14ac:dyDescent="0.25">
      <c r="A24" s="248" t="s">
        <v>101</v>
      </c>
      <c r="B24" s="260" t="s">
        <v>31</v>
      </c>
      <c r="C24" s="466">
        <f t="shared" si="12"/>
        <v>0</v>
      </c>
      <c r="D24" s="667"/>
      <c r="E24" s="251"/>
      <c r="F24" s="467">
        <v>50000</v>
      </c>
      <c r="G24" s="468">
        <f t="shared" si="15"/>
        <v>0</v>
      </c>
      <c r="H24" s="467"/>
      <c r="I24" s="600"/>
      <c r="J24" s="599"/>
      <c r="K24" s="466">
        <f t="shared" si="13"/>
        <v>0</v>
      </c>
      <c r="L24" s="468">
        <f t="shared" si="3"/>
        <v>0</v>
      </c>
      <c r="M24" s="469" t="str">
        <f t="shared" si="14"/>
        <v>-</v>
      </c>
      <c r="N24" s="470">
        <f t="shared" si="10"/>
        <v>0</v>
      </c>
      <c r="O24" s="468">
        <f t="shared" si="5"/>
        <v>0</v>
      </c>
      <c r="P24" s="471" t="str">
        <f t="shared" si="11"/>
        <v>-</v>
      </c>
      <c r="Q24" s="468" t="str">
        <f t="shared" si="6"/>
        <v>-</v>
      </c>
      <c r="R24" s="468">
        <f t="shared" si="7"/>
        <v>0</v>
      </c>
      <c r="S24" s="486" t="str">
        <f t="shared" si="8"/>
        <v>-</v>
      </c>
      <c r="T24" s="487" t="str">
        <f t="shared" si="9"/>
        <v>-</v>
      </c>
    </row>
    <row r="25" spans="1:20" ht="24.6" customHeight="1" thickBot="1" x14ac:dyDescent="0.3">
      <c r="A25" s="255" t="s">
        <v>101</v>
      </c>
      <c r="B25" s="261" t="s">
        <v>32</v>
      </c>
      <c r="C25" s="488">
        <f t="shared" si="12"/>
        <v>0</v>
      </c>
      <c r="D25" s="257"/>
      <c r="E25" s="258"/>
      <c r="F25" s="489">
        <v>110000</v>
      </c>
      <c r="G25" s="490">
        <f t="shared" si="15"/>
        <v>0</v>
      </c>
      <c r="H25" s="489"/>
      <c r="I25" s="601"/>
      <c r="J25" s="602"/>
      <c r="K25" s="488">
        <f t="shared" si="13"/>
        <v>0</v>
      </c>
      <c r="L25" s="490">
        <f t="shared" si="3"/>
        <v>0</v>
      </c>
      <c r="M25" s="491" t="str">
        <f t="shared" si="14"/>
        <v>-</v>
      </c>
      <c r="N25" s="492">
        <f t="shared" si="10"/>
        <v>0</v>
      </c>
      <c r="O25" s="490">
        <f t="shared" si="5"/>
        <v>0</v>
      </c>
      <c r="P25" s="493" t="str">
        <f t="shared" si="11"/>
        <v>-</v>
      </c>
      <c r="Q25" s="490" t="str">
        <f t="shared" si="6"/>
        <v>-</v>
      </c>
      <c r="R25" s="490">
        <f t="shared" si="7"/>
        <v>0</v>
      </c>
      <c r="S25" s="494" t="str">
        <f t="shared" si="8"/>
        <v>-</v>
      </c>
      <c r="T25" s="495" t="str">
        <f t="shared" si="9"/>
        <v>-</v>
      </c>
    </row>
    <row r="26" spans="1:20" ht="24.6" customHeight="1" x14ac:dyDescent="0.25">
      <c r="A26" s="248" t="s">
        <v>102</v>
      </c>
      <c r="B26" s="249" t="s">
        <v>218</v>
      </c>
      <c r="C26" s="466">
        <f t="shared" si="12"/>
        <v>0</v>
      </c>
      <c r="D26" s="250"/>
      <c r="E26" s="251"/>
      <c r="F26" s="467">
        <v>6500</v>
      </c>
      <c r="G26" s="468">
        <f t="shared" si="15"/>
        <v>0</v>
      </c>
      <c r="H26" s="467"/>
      <c r="I26" s="600"/>
      <c r="J26" s="599"/>
      <c r="K26" s="466">
        <f t="shared" si="13"/>
        <v>0</v>
      </c>
      <c r="L26" s="468">
        <f t="shared" si="3"/>
        <v>0</v>
      </c>
      <c r="M26" s="469" t="str">
        <f t="shared" si="14"/>
        <v>-</v>
      </c>
      <c r="N26" s="470">
        <f t="shared" si="10"/>
        <v>0</v>
      </c>
      <c r="O26" s="468">
        <f t="shared" si="5"/>
        <v>0</v>
      </c>
      <c r="P26" s="471" t="str">
        <f t="shared" si="11"/>
        <v>-</v>
      </c>
      <c r="Q26" s="468" t="str">
        <f t="shared" si="6"/>
        <v>-</v>
      </c>
      <c r="R26" s="468">
        <f t="shared" si="7"/>
        <v>0</v>
      </c>
      <c r="S26" s="486" t="str">
        <f t="shared" si="8"/>
        <v>-</v>
      </c>
      <c r="T26" s="487" t="str">
        <f t="shared" si="9"/>
        <v>-</v>
      </c>
    </row>
    <row r="27" spans="1:20" ht="24.6" customHeight="1" x14ac:dyDescent="0.25">
      <c r="A27" s="252" t="s">
        <v>102</v>
      </c>
      <c r="B27" s="249" t="s">
        <v>38</v>
      </c>
      <c r="C27" s="466">
        <f t="shared" si="12"/>
        <v>0</v>
      </c>
      <c r="D27" s="250"/>
      <c r="E27" s="251"/>
      <c r="F27" s="467">
        <v>2800</v>
      </c>
      <c r="G27" s="468">
        <f t="shared" si="15"/>
        <v>0</v>
      </c>
      <c r="H27" s="467"/>
      <c r="I27" s="600"/>
      <c r="J27" s="599"/>
      <c r="K27" s="466">
        <f t="shared" si="13"/>
        <v>0</v>
      </c>
      <c r="L27" s="468">
        <f t="shared" si="3"/>
        <v>0</v>
      </c>
      <c r="M27" s="469" t="str">
        <f t="shared" si="14"/>
        <v>-</v>
      </c>
      <c r="N27" s="470">
        <f t="shared" si="10"/>
        <v>0</v>
      </c>
      <c r="O27" s="468">
        <f t="shared" si="5"/>
        <v>0</v>
      </c>
      <c r="P27" s="471" t="str">
        <f t="shared" si="11"/>
        <v>-</v>
      </c>
      <c r="Q27" s="468" t="str">
        <f t="shared" si="6"/>
        <v>-</v>
      </c>
      <c r="R27" s="468">
        <f t="shared" si="7"/>
        <v>0</v>
      </c>
      <c r="S27" s="486" t="str">
        <f t="shared" si="8"/>
        <v>-</v>
      </c>
      <c r="T27" s="487" t="str">
        <f t="shared" si="9"/>
        <v>-</v>
      </c>
    </row>
    <row r="28" spans="1:20" ht="24.6" customHeight="1" x14ac:dyDescent="0.25">
      <c r="A28" s="248" t="s">
        <v>102</v>
      </c>
      <c r="B28" s="249" t="s">
        <v>39</v>
      </c>
      <c r="C28" s="466">
        <f t="shared" si="12"/>
        <v>30</v>
      </c>
      <c r="D28" s="250">
        <v>30</v>
      </c>
      <c r="E28" s="251"/>
      <c r="F28" s="467">
        <v>25000</v>
      </c>
      <c r="G28" s="468">
        <f t="shared" si="15"/>
        <v>72858</v>
      </c>
      <c r="H28" s="467">
        <v>72240</v>
      </c>
      <c r="I28" s="600">
        <v>618</v>
      </c>
      <c r="J28" s="599">
        <v>480</v>
      </c>
      <c r="K28" s="466">
        <f t="shared" si="13"/>
        <v>450</v>
      </c>
      <c r="L28" s="468">
        <f t="shared" si="3"/>
        <v>450</v>
      </c>
      <c r="M28" s="469">
        <f t="shared" si="14"/>
        <v>1</v>
      </c>
      <c r="N28" s="470">
        <f t="shared" si="10"/>
        <v>420</v>
      </c>
      <c r="O28" s="468">
        <f t="shared" si="5"/>
        <v>450</v>
      </c>
      <c r="P28" s="471">
        <f t="shared" si="11"/>
        <v>0.93333333333333335</v>
      </c>
      <c r="Q28" s="468">
        <f t="shared" si="6"/>
        <v>415.9285184880178</v>
      </c>
      <c r="R28" s="468">
        <f t="shared" si="7"/>
        <v>420</v>
      </c>
      <c r="S28" s="486">
        <f t="shared" si="8"/>
        <v>0.99030599640004235</v>
      </c>
      <c r="T28" s="487">
        <f t="shared" si="9"/>
        <v>0.92428559664003951</v>
      </c>
    </row>
    <row r="29" spans="1:20" ht="45" customHeight="1" thickBot="1" x14ac:dyDescent="0.3">
      <c r="A29" s="604" t="s">
        <v>102</v>
      </c>
      <c r="B29" s="261" t="s">
        <v>217</v>
      </c>
      <c r="C29" s="605">
        <f t="shared" si="12"/>
        <v>0</v>
      </c>
      <c r="D29" s="606"/>
      <c r="E29" s="607"/>
      <c r="F29" s="608">
        <v>25000</v>
      </c>
      <c r="G29" s="609">
        <f t="shared" si="15"/>
        <v>0</v>
      </c>
      <c r="H29" s="608"/>
      <c r="I29" s="610"/>
      <c r="J29" s="603"/>
      <c r="K29" s="605">
        <f t="shared" si="13"/>
        <v>0</v>
      </c>
      <c r="L29" s="609">
        <f t="shared" si="3"/>
        <v>0</v>
      </c>
      <c r="M29" s="611" t="str">
        <f t="shared" si="14"/>
        <v>-</v>
      </c>
      <c r="N29" s="612">
        <f t="shared" si="10"/>
        <v>0</v>
      </c>
      <c r="O29" s="609">
        <f t="shared" si="5"/>
        <v>0</v>
      </c>
      <c r="P29" s="613" t="str">
        <f t="shared" si="11"/>
        <v>-</v>
      </c>
      <c r="Q29" s="609" t="str">
        <f t="shared" si="6"/>
        <v>-</v>
      </c>
      <c r="R29" s="609">
        <f t="shared" si="7"/>
        <v>0</v>
      </c>
      <c r="S29" s="614" t="str">
        <f t="shared" si="8"/>
        <v>-</v>
      </c>
      <c r="T29" s="615" t="str">
        <f t="shared" si="9"/>
        <v>-</v>
      </c>
    </row>
    <row r="30" spans="1:20" ht="24.6" customHeight="1" x14ac:dyDescent="0.25">
      <c r="A30" s="230"/>
      <c r="B30" s="231"/>
      <c r="C30" s="232"/>
      <c r="D30" s="232"/>
      <c r="E30" s="232"/>
      <c r="F30" s="232"/>
      <c r="G30" s="233"/>
      <c r="H30" s="234"/>
      <c r="I30" s="232"/>
      <c r="J30" s="232"/>
      <c r="K30" s="232">
        <f t="shared" si="13"/>
        <v>0</v>
      </c>
      <c r="L30" s="232">
        <f t="shared" si="3"/>
        <v>0</v>
      </c>
      <c r="M30" s="234" t="str">
        <f t="shared" si="14"/>
        <v>-</v>
      </c>
      <c r="N30" s="232"/>
      <c r="O30" s="232">
        <f t="shared" si="5"/>
        <v>0</v>
      </c>
      <c r="P30" s="234"/>
      <c r="Q30" s="232"/>
      <c r="R30" s="232"/>
      <c r="S30" s="234"/>
      <c r="T30" s="234"/>
    </row>
    <row r="31" spans="1:20" ht="24.6" customHeight="1" x14ac:dyDescent="0.25">
      <c r="A31" s="230"/>
      <c r="B31" s="231"/>
      <c r="C31" s="232"/>
      <c r="D31" s="232"/>
      <c r="E31" s="232"/>
      <c r="F31" s="232"/>
      <c r="G31" s="233"/>
      <c r="H31" s="234"/>
      <c r="I31" s="232"/>
      <c r="J31" s="232"/>
      <c r="K31" s="232"/>
      <c r="L31" s="232"/>
      <c r="M31" s="234"/>
      <c r="N31" s="232"/>
      <c r="O31" s="232"/>
      <c r="P31" s="234"/>
      <c r="Q31" s="232"/>
      <c r="R31" s="232"/>
      <c r="S31" s="234"/>
      <c r="T31" s="234"/>
    </row>
    <row r="32" spans="1:20" ht="24.6" customHeight="1" x14ac:dyDescent="0.25">
      <c r="A32" s="230"/>
      <c r="B32" s="231"/>
      <c r="C32" s="232"/>
      <c r="D32" s="232"/>
      <c r="E32" s="232"/>
      <c r="F32" s="232"/>
      <c r="G32" s="233"/>
      <c r="H32" s="234"/>
      <c r="I32" s="232"/>
      <c r="J32" s="232"/>
      <c r="K32" s="232"/>
      <c r="L32" s="232"/>
      <c r="M32" s="234"/>
      <c r="N32" s="232"/>
      <c r="O32" s="232"/>
      <c r="P32" s="234"/>
      <c r="Q32" s="232"/>
      <c r="R32" s="232"/>
      <c r="S32" s="234"/>
      <c r="T32" s="234"/>
    </row>
    <row r="33" spans="1:20" ht="24.6" customHeight="1" x14ac:dyDescent="0.25">
      <c r="A33" s="230"/>
      <c r="B33" s="231"/>
      <c r="C33" s="232"/>
      <c r="D33" s="232"/>
      <c r="E33" s="232"/>
      <c r="F33" s="232"/>
      <c r="G33" s="233"/>
      <c r="H33" s="234"/>
      <c r="I33" s="232"/>
      <c r="J33" s="232"/>
      <c r="K33" s="232"/>
      <c r="L33" s="232"/>
      <c r="M33" s="234"/>
      <c r="N33" s="232"/>
      <c r="O33" s="232"/>
      <c r="P33" s="234"/>
      <c r="Q33" s="232"/>
      <c r="R33" s="232"/>
      <c r="S33" s="234"/>
      <c r="T33" s="234"/>
    </row>
    <row r="34" spans="1:20" ht="24.6" customHeight="1" x14ac:dyDescent="0.25">
      <c r="A34" s="230"/>
      <c r="B34" s="231"/>
      <c r="C34" s="232"/>
      <c r="D34" s="232"/>
      <c r="E34" s="232"/>
      <c r="F34" s="232"/>
      <c r="G34" s="233"/>
      <c r="H34" s="234"/>
      <c r="I34" s="232"/>
      <c r="J34" s="232"/>
      <c r="K34" s="232"/>
      <c r="L34" s="232"/>
      <c r="M34" s="234"/>
      <c r="N34" s="232"/>
      <c r="O34" s="232"/>
      <c r="P34" s="234"/>
      <c r="Q34" s="232"/>
      <c r="R34" s="232"/>
      <c r="S34" s="234"/>
      <c r="T34" s="234"/>
    </row>
    <row r="35" spans="1:20" ht="24.6" customHeight="1" thickBot="1" x14ac:dyDescent="0.3">
      <c r="A35" s="230"/>
      <c r="B35" s="231"/>
      <c r="C35" s="232"/>
      <c r="D35" s="232"/>
      <c r="E35" s="232"/>
      <c r="F35" s="232"/>
      <c r="G35" s="233"/>
      <c r="H35" s="234"/>
      <c r="I35" s="232"/>
      <c r="J35" s="232"/>
      <c r="K35" s="232"/>
      <c r="L35" s="232"/>
      <c r="M35" s="234"/>
      <c r="N35" s="232"/>
      <c r="O35" s="232"/>
      <c r="P35" s="234"/>
      <c r="Q35" s="232"/>
      <c r="R35" s="232"/>
      <c r="S35" s="234"/>
      <c r="T35" s="234"/>
    </row>
    <row r="36" spans="1:20" ht="28.5" customHeight="1" x14ac:dyDescent="0.25">
      <c r="A36" s="935" t="s">
        <v>1</v>
      </c>
      <c r="B36" s="935" t="s">
        <v>2</v>
      </c>
      <c r="C36" s="890" t="s">
        <v>206</v>
      </c>
      <c r="D36" s="891"/>
      <c r="E36" s="892"/>
      <c r="F36" s="890" t="s">
        <v>526</v>
      </c>
      <c r="G36" s="891"/>
      <c r="H36" s="891"/>
      <c r="I36" s="892"/>
      <c r="J36" s="935" t="s">
        <v>203</v>
      </c>
      <c r="K36" s="890" t="s">
        <v>191</v>
      </c>
      <c r="L36" s="891"/>
      <c r="M36" s="892"/>
      <c r="N36" s="890" t="s">
        <v>192</v>
      </c>
      <c r="O36" s="891"/>
      <c r="P36" s="892"/>
      <c r="Q36" s="890" t="s">
        <v>193</v>
      </c>
      <c r="R36" s="891"/>
      <c r="S36" s="892"/>
      <c r="T36" s="990" t="s">
        <v>190</v>
      </c>
    </row>
    <row r="37" spans="1:20" ht="91.5" customHeight="1" thickBot="1" x14ac:dyDescent="0.3">
      <c r="A37" s="937"/>
      <c r="B37" s="937"/>
      <c r="C37" s="235" t="s">
        <v>207</v>
      </c>
      <c r="D37" s="236" t="s">
        <v>204</v>
      </c>
      <c r="E37" s="237" t="s">
        <v>205</v>
      </c>
      <c r="F37" s="238" t="s">
        <v>324</v>
      </c>
      <c r="G37" s="236" t="s">
        <v>200</v>
      </c>
      <c r="H37" s="239" t="s">
        <v>201</v>
      </c>
      <c r="I37" s="240" t="s">
        <v>202</v>
      </c>
      <c r="J37" s="937"/>
      <c r="K37" s="235" t="s">
        <v>194</v>
      </c>
      <c r="L37" s="239" t="s">
        <v>195</v>
      </c>
      <c r="M37" s="241" t="s">
        <v>208</v>
      </c>
      <c r="N37" s="242" t="s">
        <v>196</v>
      </c>
      <c r="O37" s="239" t="s">
        <v>197</v>
      </c>
      <c r="P37" s="241" t="s">
        <v>209</v>
      </c>
      <c r="Q37" s="235" t="s">
        <v>198</v>
      </c>
      <c r="R37" s="239" t="s">
        <v>199</v>
      </c>
      <c r="S37" s="243" t="s">
        <v>210</v>
      </c>
      <c r="T37" s="991"/>
    </row>
    <row r="38" spans="1:20" ht="24.6" customHeight="1" x14ac:dyDescent="0.25">
      <c r="A38" s="244" t="s">
        <v>103</v>
      </c>
      <c r="B38" s="245" t="s">
        <v>16</v>
      </c>
      <c r="C38" s="459">
        <f>+D38+E38</f>
        <v>480</v>
      </c>
      <c r="D38" s="246">
        <v>30</v>
      </c>
      <c r="E38" s="247">
        <v>450</v>
      </c>
      <c r="F38" s="593">
        <v>15000</v>
      </c>
      <c r="G38" s="460">
        <f>+H38+I38</f>
        <v>13833</v>
      </c>
      <c r="H38" s="597">
        <v>13780</v>
      </c>
      <c r="I38" s="754">
        <v>53</v>
      </c>
      <c r="J38" s="753">
        <v>480</v>
      </c>
      <c r="K38" s="459">
        <f>+L38-E38</f>
        <v>0</v>
      </c>
      <c r="L38" s="460">
        <f>+J38-D38</f>
        <v>450</v>
      </c>
      <c r="M38" s="461">
        <f>IFERROR(K38/L38,"-")</f>
        <v>0</v>
      </c>
      <c r="N38" s="462">
        <f>+O38-C38</f>
        <v>-480</v>
      </c>
      <c r="O38" s="460">
        <f>+K38</f>
        <v>0</v>
      </c>
      <c r="P38" s="463" t="str">
        <f>IFERROR(N38/O38,"-")</f>
        <v>-</v>
      </c>
      <c r="Q38" s="460">
        <f>IFERROR(N38-(J38-(J38*H38/G38)),"-")</f>
        <v>-481.83908045977012</v>
      </c>
      <c r="R38" s="460">
        <f>+N38</f>
        <v>-480</v>
      </c>
      <c r="S38" s="464">
        <f>IFERROR(Q38/R38,"-")</f>
        <v>1.0038314176245211</v>
      </c>
      <c r="T38" s="465" t="str">
        <f>IFERROR(M38*P38*S38,"-")</f>
        <v>-</v>
      </c>
    </row>
    <row r="39" spans="1:20" ht="24.6" customHeight="1" x14ac:dyDescent="0.25">
      <c r="A39" s="248" t="s">
        <v>103</v>
      </c>
      <c r="B39" s="249" t="s">
        <v>214</v>
      </c>
      <c r="C39" s="466">
        <f t="shared" ref="C39:C40" si="16">+D39+E39</f>
        <v>0</v>
      </c>
      <c r="D39" s="250"/>
      <c r="E39" s="251"/>
      <c r="F39" s="594">
        <v>100000</v>
      </c>
      <c r="G39" s="468">
        <f t="shared" ref="G39:G44" si="17">+H39+I39</f>
        <v>0</v>
      </c>
      <c r="H39" s="254"/>
      <c r="I39" s="755"/>
      <c r="J39" s="747"/>
      <c r="K39" s="466">
        <f t="shared" ref="K39:K42" si="18">+L39-E39</f>
        <v>0</v>
      </c>
      <c r="L39" s="468">
        <f t="shared" ref="L39:L54" si="19">+J39-D39</f>
        <v>0</v>
      </c>
      <c r="M39" s="469" t="str">
        <f t="shared" ref="M39:M42" si="20">IFERROR(K39/L39,"-")</f>
        <v>-</v>
      </c>
      <c r="N39" s="470">
        <f>+O39-C39</f>
        <v>0</v>
      </c>
      <c r="O39" s="468">
        <f t="shared" ref="O39:O54" si="21">+K39</f>
        <v>0</v>
      </c>
      <c r="P39" s="471" t="str">
        <f>IFERROR(N39/O39,"-")</f>
        <v>-</v>
      </c>
      <c r="Q39" s="468" t="str">
        <f t="shared" ref="Q39:Q53" si="22">IFERROR(N39-(J39-(J39*H39/G39)),"-")</f>
        <v>-</v>
      </c>
      <c r="R39" s="468">
        <f t="shared" ref="R39:R53" si="23">+N39</f>
        <v>0</v>
      </c>
      <c r="S39" s="472" t="str">
        <f t="shared" ref="S39:S53" si="24">IFERROR(Q39/R39,"-")</f>
        <v>-</v>
      </c>
      <c r="T39" s="473" t="str">
        <f t="shared" ref="T39:T53" si="25">IFERROR(M39*P39*S39,"-")</f>
        <v>-</v>
      </c>
    </row>
    <row r="40" spans="1:20" ht="24.6" customHeight="1" x14ac:dyDescent="0.25">
      <c r="A40" s="248" t="s">
        <v>103</v>
      </c>
      <c r="B40" s="249" t="s">
        <v>213</v>
      </c>
      <c r="C40" s="466">
        <f t="shared" si="16"/>
        <v>0</v>
      </c>
      <c r="D40" s="250"/>
      <c r="E40" s="251"/>
      <c r="F40" s="594">
        <v>80000</v>
      </c>
      <c r="G40" s="468">
        <f t="shared" si="17"/>
        <v>0</v>
      </c>
      <c r="H40" s="254"/>
      <c r="I40" s="755"/>
      <c r="J40" s="747"/>
      <c r="K40" s="466">
        <f t="shared" si="18"/>
        <v>0</v>
      </c>
      <c r="L40" s="468">
        <f t="shared" si="19"/>
        <v>0</v>
      </c>
      <c r="M40" s="469" t="str">
        <f t="shared" si="20"/>
        <v>-</v>
      </c>
      <c r="N40" s="470">
        <f t="shared" ref="N40:N53" si="26">+O40-C40</f>
        <v>0</v>
      </c>
      <c r="O40" s="468">
        <f t="shared" si="21"/>
        <v>0</v>
      </c>
      <c r="P40" s="471" t="str">
        <f t="shared" ref="P40:P53" si="27">IFERROR(N40/O40,"-")</f>
        <v>-</v>
      </c>
      <c r="Q40" s="468" t="str">
        <f t="shared" si="22"/>
        <v>-</v>
      </c>
      <c r="R40" s="468">
        <f t="shared" si="23"/>
        <v>0</v>
      </c>
      <c r="S40" s="472" t="str">
        <f t="shared" si="24"/>
        <v>-</v>
      </c>
      <c r="T40" s="473" t="str">
        <f t="shared" si="25"/>
        <v>-</v>
      </c>
    </row>
    <row r="41" spans="1:20" ht="24.6" customHeight="1" x14ac:dyDescent="0.25">
      <c r="A41" s="252" t="s">
        <v>103</v>
      </c>
      <c r="B41" s="249" t="s">
        <v>216</v>
      </c>
      <c r="C41" s="466">
        <v>30</v>
      </c>
      <c r="D41" s="250">
        <v>30</v>
      </c>
      <c r="E41" s="251">
        <v>285</v>
      </c>
      <c r="F41" s="594">
        <v>220000</v>
      </c>
      <c r="G41" s="468">
        <f t="shared" si="17"/>
        <v>17176</v>
      </c>
      <c r="H41" s="254">
        <v>16896</v>
      </c>
      <c r="I41" s="755">
        <v>280</v>
      </c>
      <c r="J41" s="747">
        <v>480</v>
      </c>
      <c r="K41" s="466">
        <f t="shared" si="18"/>
        <v>165</v>
      </c>
      <c r="L41" s="468">
        <f t="shared" si="19"/>
        <v>450</v>
      </c>
      <c r="M41" s="469">
        <f t="shared" si="20"/>
        <v>0.36666666666666664</v>
      </c>
      <c r="N41" s="470">
        <f t="shared" si="26"/>
        <v>135</v>
      </c>
      <c r="O41" s="468">
        <f t="shared" si="21"/>
        <v>165</v>
      </c>
      <c r="P41" s="471">
        <f t="shared" si="27"/>
        <v>0.81818181818181823</v>
      </c>
      <c r="Q41" s="468">
        <f t="shared" si="22"/>
        <v>127.17512808570098</v>
      </c>
      <c r="R41" s="468">
        <f t="shared" si="23"/>
        <v>135</v>
      </c>
      <c r="S41" s="472">
        <f t="shared" si="24"/>
        <v>0.9420379858200072</v>
      </c>
      <c r="T41" s="473">
        <f t="shared" si="25"/>
        <v>0.28261139574600214</v>
      </c>
    </row>
    <row r="42" spans="1:20" ht="24.6" customHeight="1" x14ac:dyDescent="0.25">
      <c r="A42" s="248" t="s">
        <v>103</v>
      </c>
      <c r="B42" s="249" t="s">
        <v>215</v>
      </c>
      <c r="C42" s="466">
        <f t="shared" ref="C42:C53" si="28">+D42+E42</f>
        <v>480</v>
      </c>
      <c r="D42" s="250">
        <v>30</v>
      </c>
      <c r="E42" s="251">
        <v>450</v>
      </c>
      <c r="F42" s="594">
        <v>50000</v>
      </c>
      <c r="G42" s="468">
        <f t="shared" si="17"/>
        <v>0</v>
      </c>
      <c r="H42" s="254">
        <v>0</v>
      </c>
      <c r="I42" s="755">
        <v>0</v>
      </c>
      <c r="J42" s="747">
        <v>480</v>
      </c>
      <c r="K42" s="466">
        <f t="shared" si="18"/>
        <v>0</v>
      </c>
      <c r="L42" s="468">
        <f t="shared" si="19"/>
        <v>450</v>
      </c>
      <c r="M42" s="469">
        <f t="shared" si="20"/>
        <v>0</v>
      </c>
      <c r="N42" s="470">
        <f t="shared" si="26"/>
        <v>-480</v>
      </c>
      <c r="O42" s="468">
        <f t="shared" si="21"/>
        <v>0</v>
      </c>
      <c r="P42" s="471" t="str">
        <f t="shared" si="27"/>
        <v>-</v>
      </c>
      <c r="Q42" s="468" t="str">
        <f t="shared" si="22"/>
        <v>-</v>
      </c>
      <c r="R42" s="468">
        <f t="shared" si="23"/>
        <v>-480</v>
      </c>
      <c r="S42" s="472" t="str">
        <f t="shared" si="24"/>
        <v>-</v>
      </c>
      <c r="T42" s="473" t="str">
        <f t="shared" si="25"/>
        <v>-</v>
      </c>
    </row>
    <row r="43" spans="1:20" ht="24.6" customHeight="1" x14ac:dyDescent="0.25">
      <c r="A43" s="248">
        <v>5</v>
      </c>
      <c r="B43" s="249" t="s">
        <v>22</v>
      </c>
      <c r="C43" s="466">
        <f t="shared" si="28"/>
        <v>0</v>
      </c>
      <c r="D43" s="250"/>
      <c r="E43" s="251"/>
      <c r="F43" s="594">
        <v>80000</v>
      </c>
      <c r="G43" s="468">
        <f t="shared" si="17"/>
        <v>0</v>
      </c>
      <c r="H43" s="467"/>
      <c r="I43" s="756"/>
      <c r="J43" s="747"/>
      <c r="K43" s="466">
        <f>+L43-E43</f>
        <v>0</v>
      </c>
      <c r="L43" s="468">
        <f t="shared" si="19"/>
        <v>0</v>
      </c>
      <c r="M43" s="469" t="str">
        <f>IFERROR(K43/L43,"-")</f>
        <v>-</v>
      </c>
      <c r="N43" s="470">
        <f t="shared" si="26"/>
        <v>0</v>
      </c>
      <c r="O43" s="468">
        <f t="shared" si="21"/>
        <v>0</v>
      </c>
      <c r="P43" s="471" t="str">
        <f t="shared" si="27"/>
        <v>-</v>
      </c>
      <c r="Q43" s="468" t="str">
        <f t="shared" si="22"/>
        <v>-</v>
      </c>
      <c r="R43" s="468">
        <f t="shared" si="23"/>
        <v>0</v>
      </c>
      <c r="S43" s="472" t="str">
        <f t="shared" si="24"/>
        <v>-</v>
      </c>
      <c r="T43" s="473" t="str">
        <f t="shared" si="25"/>
        <v>-</v>
      </c>
    </row>
    <row r="44" spans="1:20" ht="24.6" customHeight="1" x14ac:dyDescent="0.25">
      <c r="A44" s="248" t="s">
        <v>103</v>
      </c>
      <c r="B44" s="249" t="s">
        <v>23</v>
      </c>
      <c r="C44" s="466">
        <f t="shared" si="28"/>
        <v>30</v>
      </c>
      <c r="D44" s="250">
        <v>30</v>
      </c>
      <c r="E44" s="251"/>
      <c r="F44" s="594">
        <v>14000</v>
      </c>
      <c r="G44" s="468">
        <f t="shared" si="17"/>
        <v>13298</v>
      </c>
      <c r="H44" s="254">
        <v>13253</v>
      </c>
      <c r="I44" s="755">
        <v>45</v>
      </c>
      <c r="J44" s="747">
        <v>480</v>
      </c>
      <c r="K44" s="466">
        <f t="shared" ref="K44:K54" si="29">+L44-E44</f>
        <v>450</v>
      </c>
      <c r="L44" s="468">
        <f t="shared" si="19"/>
        <v>450</v>
      </c>
      <c r="M44" s="469">
        <f t="shared" ref="M44:M54" si="30">IFERROR(K44/L44,"-")</f>
        <v>1</v>
      </c>
      <c r="N44" s="470">
        <f t="shared" si="26"/>
        <v>420</v>
      </c>
      <c r="O44" s="468">
        <f t="shared" si="21"/>
        <v>450</v>
      </c>
      <c r="P44" s="471">
        <f t="shared" si="27"/>
        <v>0.93333333333333335</v>
      </c>
      <c r="Q44" s="468">
        <f t="shared" si="22"/>
        <v>418.37569559332229</v>
      </c>
      <c r="R44" s="468">
        <f t="shared" si="23"/>
        <v>420</v>
      </c>
      <c r="S44" s="472">
        <f t="shared" si="24"/>
        <v>0.99613260855552932</v>
      </c>
      <c r="T44" s="473">
        <f t="shared" si="25"/>
        <v>0.92972376798516077</v>
      </c>
    </row>
    <row r="45" spans="1:20" ht="24.6" customHeight="1" x14ac:dyDescent="0.25">
      <c r="A45" s="248" t="s">
        <v>103</v>
      </c>
      <c r="B45" s="253" t="s">
        <v>211</v>
      </c>
      <c r="C45" s="474">
        <f t="shared" si="28"/>
        <v>470</v>
      </c>
      <c r="D45" s="250">
        <f>30+30+80</f>
        <v>140</v>
      </c>
      <c r="E45" s="251">
        <v>330</v>
      </c>
      <c r="F45" s="594">
        <v>4500</v>
      </c>
      <c r="G45" s="468">
        <f>+H45+I45</f>
        <v>16832</v>
      </c>
      <c r="H45" s="254">
        <v>16706</v>
      </c>
      <c r="I45" s="251">
        <v>126</v>
      </c>
      <c r="J45" s="747">
        <v>960</v>
      </c>
      <c r="K45" s="474">
        <f t="shared" si="29"/>
        <v>490</v>
      </c>
      <c r="L45" s="250">
        <f t="shared" si="19"/>
        <v>820</v>
      </c>
      <c r="M45" s="475">
        <f t="shared" si="30"/>
        <v>0.59756097560975607</v>
      </c>
      <c r="N45" s="476">
        <f t="shared" si="26"/>
        <v>20</v>
      </c>
      <c r="O45" s="250">
        <f t="shared" si="21"/>
        <v>490</v>
      </c>
      <c r="P45" s="477">
        <f t="shared" si="27"/>
        <v>4.0816326530612242E-2</v>
      </c>
      <c r="Q45" s="250">
        <f t="shared" si="22"/>
        <v>12.813688212927786</v>
      </c>
      <c r="R45" s="250">
        <f t="shared" si="23"/>
        <v>20</v>
      </c>
      <c r="S45" s="478">
        <f t="shared" si="24"/>
        <v>0.64068441064638937</v>
      </c>
      <c r="T45" s="479">
        <f t="shared" si="25"/>
        <v>1.5626449040155838E-2</v>
      </c>
    </row>
    <row r="46" spans="1:20" ht="24.6" customHeight="1" thickBot="1" x14ac:dyDescent="0.3">
      <c r="A46" s="255" t="s">
        <v>103</v>
      </c>
      <c r="B46" s="256" t="s">
        <v>212</v>
      </c>
      <c r="C46" s="480">
        <f t="shared" si="28"/>
        <v>225</v>
      </c>
      <c r="D46" s="257">
        <f>30+30+60+15</f>
        <v>135</v>
      </c>
      <c r="E46" s="258">
        <v>90</v>
      </c>
      <c r="F46" s="598">
        <v>5000</v>
      </c>
      <c r="G46" s="490">
        <f t="shared" ref="G46:G53" si="31">+H46+I46</f>
        <v>29415</v>
      </c>
      <c r="H46" s="259">
        <v>29348</v>
      </c>
      <c r="I46" s="258">
        <v>67</v>
      </c>
      <c r="J46" s="748">
        <v>960</v>
      </c>
      <c r="K46" s="480">
        <f t="shared" si="29"/>
        <v>735</v>
      </c>
      <c r="L46" s="257">
        <f t="shared" si="19"/>
        <v>825</v>
      </c>
      <c r="M46" s="481">
        <f t="shared" si="30"/>
        <v>0.89090909090909087</v>
      </c>
      <c r="N46" s="482">
        <f t="shared" si="26"/>
        <v>510</v>
      </c>
      <c r="O46" s="257">
        <f t="shared" si="21"/>
        <v>735</v>
      </c>
      <c r="P46" s="483">
        <f t="shared" si="27"/>
        <v>0.69387755102040816</v>
      </c>
      <c r="Q46" s="257">
        <f t="shared" si="22"/>
        <v>507.8133605303417</v>
      </c>
      <c r="R46" s="257">
        <f t="shared" si="23"/>
        <v>510</v>
      </c>
      <c r="S46" s="484">
        <f t="shared" si="24"/>
        <v>0.99571247162812093</v>
      </c>
      <c r="T46" s="485">
        <f t="shared" si="25"/>
        <v>0.6155313460973838</v>
      </c>
    </row>
    <row r="47" spans="1:20" ht="24.6" customHeight="1" x14ac:dyDescent="0.25">
      <c r="A47" s="252" t="s">
        <v>101</v>
      </c>
      <c r="B47" s="260" t="s">
        <v>29</v>
      </c>
      <c r="C47" s="466">
        <f t="shared" si="28"/>
        <v>255</v>
      </c>
      <c r="D47" s="250">
        <v>90</v>
      </c>
      <c r="E47" s="251">
        <v>165</v>
      </c>
      <c r="F47" s="749">
        <v>160000</v>
      </c>
      <c r="G47" s="751">
        <f t="shared" si="31"/>
        <v>221277</v>
      </c>
      <c r="H47" s="749">
        <v>218790</v>
      </c>
      <c r="I47" s="750">
        <v>2487</v>
      </c>
      <c r="J47" s="752">
        <v>1440</v>
      </c>
      <c r="K47" s="466">
        <f t="shared" si="29"/>
        <v>1185</v>
      </c>
      <c r="L47" s="468">
        <f t="shared" si="19"/>
        <v>1350</v>
      </c>
      <c r="M47" s="469">
        <f t="shared" si="30"/>
        <v>0.87777777777777777</v>
      </c>
      <c r="N47" s="470">
        <f t="shared" si="26"/>
        <v>930</v>
      </c>
      <c r="O47" s="468">
        <f t="shared" si="21"/>
        <v>1185</v>
      </c>
      <c r="P47" s="471">
        <f t="shared" si="27"/>
        <v>0.78481012658227844</v>
      </c>
      <c r="Q47" s="468">
        <f t="shared" si="22"/>
        <v>913.81539879879074</v>
      </c>
      <c r="R47" s="468">
        <f t="shared" si="23"/>
        <v>930</v>
      </c>
      <c r="S47" s="486">
        <f t="shared" si="24"/>
        <v>0.98259720300945241</v>
      </c>
      <c r="T47" s="487">
        <f t="shared" si="25"/>
        <v>0.67690029540651164</v>
      </c>
    </row>
    <row r="48" spans="1:20" ht="24.6" customHeight="1" x14ac:dyDescent="0.25">
      <c r="A48" s="248" t="s">
        <v>101</v>
      </c>
      <c r="B48" s="260" t="s">
        <v>31</v>
      </c>
      <c r="C48" s="466">
        <f t="shared" si="28"/>
        <v>0</v>
      </c>
      <c r="D48" s="667"/>
      <c r="E48" s="251"/>
      <c r="F48" s="467">
        <v>50000</v>
      </c>
      <c r="G48" s="468">
        <f t="shared" si="31"/>
        <v>0</v>
      </c>
      <c r="H48" s="467"/>
      <c r="I48" s="600"/>
      <c r="J48" s="599"/>
      <c r="K48" s="466">
        <f t="shared" si="29"/>
        <v>0</v>
      </c>
      <c r="L48" s="468">
        <f t="shared" si="19"/>
        <v>0</v>
      </c>
      <c r="M48" s="469" t="str">
        <f t="shared" si="30"/>
        <v>-</v>
      </c>
      <c r="N48" s="470">
        <f t="shared" si="26"/>
        <v>0</v>
      </c>
      <c r="O48" s="468">
        <f t="shared" si="21"/>
        <v>0</v>
      </c>
      <c r="P48" s="471" t="str">
        <f t="shared" si="27"/>
        <v>-</v>
      </c>
      <c r="Q48" s="468" t="str">
        <f t="shared" si="22"/>
        <v>-</v>
      </c>
      <c r="R48" s="468">
        <f t="shared" si="23"/>
        <v>0</v>
      </c>
      <c r="S48" s="486" t="str">
        <f t="shared" si="24"/>
        <v>-</v>
      </c>
      <c r="T48" s="487" t="str">
        <f t="shared" si="25"/>
        <v>-</v>
      </c>
    </row>
    <row r="49" spans="1:20" ht="24.6" customHeight="1" thickBot="1" x14ac:dyDescent="0.3">
      <c r="A49" s="255" t="s">
        <v>101</v>
      </c>
      <c r="B49" s="261" t="s">
        <v>32</v>
      </c>
      <c r="C49" s="488">
        <f t="shared" si="28"/>
        <v>0</v>
      </c>
      <c r="D49" s="257"/>
      <c r="E49" s="258"/>
      <c r="F49" s="489">
        <v>110000</v>
      </c>
      <c r="G49" s="490">
        <f t="shared" si="31"/>
        <v>0</v>
      </c>
      <c r="H49" s="489"/>
      <c r="I49" s="601"/>
      <c r="J49" s="602"/>
      <c r="K49" s="488">
        <f t="shared" si="29"/>
        <v>0</v>
      </c>
      <c r="L49" s="490">
        <f t="shared" si="19"/>
        <v>0</v>
      </c>
      <c r="M49" s="491" t="str">
        <f t="shared" si="30"/>
        <v>-</v>
      </c>
      <c r="N49" s="492">
        <f t="shared" si="26"/>
        <v>0</v>
      </c>
      <c r="O49" s="490">
        <f t="shared" si="21"/>
        <v>0</v>
      </c>
      <c r="P49" s="493" t="str">
        <f t="shared" si="27"/>
        <v>-</v>
      </c>
      <c r="Q49" s="490" t="str">
        <f t="shared" si="22"/>
        <v>-</v>
      </c>
      <c r="R49" s="490">
        <f t="shared" si="23"/>
        <v>0</v>
      </c>
      <c r="S49" s="494" t="str">
        <f t="shared" si="24"/>
        <v>-</v>
      </c>
      <c r="T49" s="495" t="str">
        <f t="shared" si="25"/>
        <v>-</v>
      </c>
    </row>
    <row r="50" spans="1:20" ht="24.6" customHeight="1" x14ac:dyDescent="0.25">
      <c r="A50" s="248" t="s">
        <v>102</v>
      </c>
      <c r="B50" s="249" t="s">
        <v>218</v>
      </c>
      <c r="C50" s="466">
        <f t="shared" si="28"/>
        <v>0</v>
      </c>
      <c r="D50" s="250"/>
      <c r="E50" s="251"/>
      <c r="F50" s="467">
        <v>6500</v>
      </c>
      <c r="G50" s="468">
        <f t="shared" si="31"/>
        <v>0</v>
      </c>
      <c r="H50" s="467"/>
      <c r="I50" s="600"/>
      <c r="J50" s="599"/>
      <c r="K50" s="466">
        <f t="shared" si="29"/>
        <v>0</v>
      </c>
      <c r="L50" s="468">
        <f t="shared" si="19"/>
        <v>0</v>
      </c>
      <c r="M50" s="469" t="str">
        <f t="shared" si="30"/>
        <v>-</v>
      </c>
      <c r="N50" s="470">
        <f t="shared" si="26"/>
        <v>0</v>
      </c>
      <c r="O50" s="468">
        <f t="shared" si="21"/>
        <v>0</v>
      </c>
      <c r="P50" s="471" t="str">
        <f t="shared" si="27"/>
        <v>-</v>
      </c>
      <c r="Q50" s="468" t="str">
        <f t="shared" si="22"/>
        <v>-</v>
      </c>
      <c r="R50" s="468">
        <f t="shared" si="23"/>
        <v>0</v>
      </c>
      <c r="S50" s="486" t="str">
        <f t="shared" si="24"/>
        <v>-</v>
      </c>
      <c r="T50" s="487" t="str">
        <f t="shared" si="25"/>
        <v>-</v>
      </c>
    </row>
    <row r="51" spans="1:20" ht="24.6" customHeight="1" x14ac:dyDescent="0.25">
      <c r="A51" s="252" t="s">
        <v>102</v>
      </c>
      <c r="B51" s="249" t="s">
        <v>38</v>
      </c>
      <c r="C51" s="466">
        <f t="shared" si="28"/>
        <v>0</v>
      </c>
      <c r="D51" s="250"/>
      <c r="E51" s="251"/>
      <c r="F51" s="467">
        <v>2800</v>
      </c>
      <c r="G51" s="468">
        <f t="shared" si="31"/>
        <v>0</v>
      </c>
      <c r="H51" s="467"/>
      <c r="I51" s="600"/>
      <c r="J51" s="599"/>
      <c r="K51" s="466">
        <f t="shared" si="29"/>
        <v>0</v>
      </c>
      <c r="L51" s="468">
        <f t="shared" si="19"/>
        <v>0</v>
      </c>
      <c r="M51" s="469" t="str">
        <f t="shared" si="30"/>
        <v>-</v>
      </c>
      <c r="N51" s="470">
        <f t="shared" si="26"/>
        <v>0</v>
      </c>
      <c r="O51" s="468">
        <f t="shared" si="21"/>
        <v>0</v>
      </c>
      <c r="P51" s="471" t="str">
        <f t="shared" si="27"/>
        <v>-</v>
      </c>
      <c r="Q51" s="468" t="str">
        <f t="shared" si="22"/>
        <v>-</v>
      </c>
      <c r="R51" s="468">
        <f t="shared" si="23"/>
        <v>0</v>
      </c>
      <c r="S51" s="486" t="str">
        <f t="shared" si="24"/>
        <v>-</v>
      </c>
      <c r="T51" s="487" t="str">
        <f t="shared" si="25"/>
        <v>-</v>
      </c>
    </row>
    <row r="52" spans="1:20" ht="24.6" customHeight="1" x14ac:dyDescent="0.25">
      <c r="A52" s="248" t="s">
        <v>102</v>
      </c>
      <c r="B52" s="249" t="s">
        <v>39</v>
      </c>
      <c r="C52" s="466">
        <f t="shared" si="28"/>
        <v>30</v>
      </c>
      <c r="D52" s="250">
        <v>30</v>
      </c>
      <c r="E52" s="251"/>
      <c r="F52" s="467">
        <v>25000</v>
      </c>
      <c r="G52" s="468">
        <f t="shared" si="31"/>
        <v>54352</v>
      </c>
      <c r="H52" s="467">
        <v>53760</v>
      </c>
      <c r="I52" s="600">
        <v>592</v>
      </c>
      <c r="J52" s="599">
        <v>480</v>
      </c>
      <c r="K52" s="466">
        <f t="shared" si="29"/>
        <v>450</v>
      </c>
      <c r="L52" s="468">
        <f t="shared" si="19"/>
        <v>450</v>
      </c>
      <c r="M52" s="469">
        <f t="shared" si="30"/>
        <v>1</v>
      </c>
      <c r="N52" s="470">
        <f t="shared" si="26"/>
        <v>420</v>
      </c>
      <c r="O52" s="468">
        <f t="shared" si="21"/>
        <v>450</v>
      </c>
      <c r="P52" s="471">
        <f t="shared" si="27"/>
        <v>0.93333333333333335</v>
      </c>
      <c r="Q52" s="468">
        <f t="shared" si="22"/>
        <v>414.77185752134238</v>
      </c>
      <c r="R52" s="468">
        <f t="shared" si="23"/>
        <v>420</v>
      </c>
      <c r="S52" s="486">
        <f t="shared" si="24"/>
        <v>0.9875520417174819</v>
      </c>
      <c r="T52" s="487">
        <f t="shared" si="25"/>
        <v>0.92171523893631646</v>
      </c>
    </row>
    <row r="53" spans="1:20" ht="45" customHeight="1" thickBot="1" x14ac:dyDescent="0.3">
      <c r="A53" s="604" t="s">
        <v>102</v>
      </c>
      <c r="B53" s="261" t="s">
        <v>217</v>
      </c>
      <c r="C53" s="605">
        <f t="shared" si="28"/>
        <v>0</v>
      </c>
      <c r="D53" s="606"/>
      <c r="E53" s="607"/>
      <c r="F53" s="608">
        <v>25000</v>
      </c>
      <c r="G53" s="609">
        <f t="shared" si="31"/>
        <v>0</v>
      </c>
      <c r="H53" s="608"/>
      <c r="I53" s="610"/>
      <c r="J53" s="603"/>
      <c r="K53" s="605">
        <f t="shared" si="29"/>
        <v>0</v>
      </c>
      <c r="L53" s="609">
        <f t="shared" si="19"/>
        <v>0</v>
      </c>
      <c r="M53" s="611" t="str">
        <f t="shared" si="30"/>
        <v>-</v>
      </c>
      <c r="N53" s="612">
        <f t="shared" si="26"/>
        <v>0</v>
      </c>
      <c r="O53" s="609">
        <f t="shared" si="21"/>
        <v>0</v>
      </c>
      <c r="P53" s="613" t="str">
        <f t="shared" si="27"/>
        <v>-</v>
      </c>
      <c r="Q53" s="609" t="str">
        <f t="shared" si="22"/>
        <v>-</v>
      </c>
      <c r="R53" s="609">
        <f t="shared" si="23"/>
        <v>0</v>
      </c>
      <c r="S53" s="614" t="str">
        <f t="shared" si="24"/>
        <v>-</v>
      </c>
      <c r="T53" s="615" t="str">
        <f t="shared" si="25"/>
        <v>-</v>
      </c>
    </row>
    <row r="54" spans="1:20" ht="24.6" customHeight="1" x14ac:dyDescent="0.25">
      <c r="A54" s="230"/>
      <c r="B54" s="231"/>
      <c r="C54" s="232"/>
      <c r="D54" s="232"/>
      <c r="E54" s="232"/>
      <c r="F54" s="232"/>
      <c r="G54" s="233"/>
      <c r="H54" s="234"/>
      <c r="I54" s="232"/>
      <c r="J54" s="232"/>
      <c r="K54" s="232">
        <f t="shared" si="29"/>
        <v>0</v>
      </c>
      <c r="L54" s="232">
        <f t="shared" si="19"/>
        <v>0</v>
      </c>
      <c r="M54" s="234" t="str">
        <f t="shared" si="30"/>
        <v>-</v>
      </c>
      <c r="N54" s="232"/>
      <c r="O54" s="232">
        <f t="shared" si="21"/>
        <v>0</v>
      </c>
      <c r="P54" s="234"/>
      <c r="Q54" s="232"/>
      <c r="R54" s="232"/>
      <c r="S54" s="234"/>
      <c r="T54" s="234"/>
    </row>
    <row r="55" spans="1:20" ht="24.6" customHeight="1" x14ac:dyDescent="0.25">
      <c r="A55" s="230"/>
      <c r="B55" s="231"/>
      <c r="C55" s="232"/>
      <c r="D55" s="232"/>
      <c r="E55" s="232"/>
      <c r="F55" s="232"/>
      <c r="G55" s="233"/>
      <c r="H55" s="234"/>
      <c r="I55" s="232"/>
      <c r="J55" s="232"/>
      <c r="K55" s="232"/>
      <c r="L55" s="232"/>
      <c r="M55" s="234"/>
      <c r="N55" s="232"/>
      <c r="O55" s="232"/>
      <c r="P55" s="234"/>
      <c r="Q55" s="232"/>
      <c r="R55" s="232"/>
      <c r="S55" s="234"/>
      <c r="T55" s="234"/>
    </row>
    <row r="56" spans="1:20" ht="24.6" customHeight="1" x14ac:dyDescent="0.25">
      <c r="A56" s="230"/>
      <c r="B56" s="231"/>
      <c r="C56" s="232"/>
      <c r="D56" s="232"/>
      <c r="E56" s="232"/>
      <c r="F56" s="232"/>
      <c r="G56" s="233"/>
      <c r="H56" s="234"/>
      <c r="I56" s="232"/>
      <c r="J56" s="232"/>
      <c r="K56" s="232"/>
      <c r="L56" s="232"/>
      <c r="M56" s="234"/>
      <c r="N56" s="232"/>
      <c r="O56" s="232"/>
      <c r="P56" s="234"/>
      <c r="Q56" s="232"/>
      <c r="R56" s="232"/>
      <c r="S56" s="234"/>
      <c r="T56" s="234"/>
    </row>
    <row r="57" spans="1:20" ht="24.6" customHeight="1" x14ac:dyDescent="0.25">
      <c r="A57" s="230"/>
      <c r="B57" s="231"/>
      <c r="C57" s="232"/>
      <c r="D57" s="232"/>
      <c r="E57" s="232"/>
      <c r="F57" s="232"/>
      <c r="G57" s="233"/>
      <c r="H57" s="234"/>
      <c r="I57" s="232"/>
      <c r="J57" s="232"/>
      <c r="K57" s="232"/>
      <c r="L57" s="232"/>
      <c r="M57" s="234"/>
      <c r="N57" s="232"/>
      <c r="O57" s="232"/>
      <c r="P57" s="234"/>
      <c r="Q57" s="232"/>
      <c r="R57" s="232"/>
      <c r="S57" s="234"/>
      <c r="T57" s="234"/>
    </row>
    <row r="58" spans="1:20" ht="24.6" customHeight="1" x14ac:dyDescent="0.25">
      <c r="A58" s="230"/>
      <c r="B58" s="231"/>
      <c r="C58" s="232"/>
      <c r="D58" s="232"/>
      <c r="E58" s="232"/>
      <c r="F58" s="232"/>
      <c r="G58" s="233"/>
      <c r="H58" s="234"/>
      <c r="I58" s="232"/>
      <c r="J58" s="232"/>
      <c r="K58" s="232"/>
      <c r="L58" s="232"/>
      <c r="M58" s="234"/>
      <c r="N58" s="232"/>
      <c r="O58" s="232"/>
      <c r="P58" s="234"/>
      <c r="Q58" s="232"/>
      <c r="R58" s="232"/>
      <c r="S58" s="234"/>
      <c r="T58" s="234"/>
    </row>
    <row r="59" spans="1:20" ht="24.6" customHeight="1" x14ac:dyDescent="0.25">
      <c r="A59" s="230"/>
      <c r="B59" s="231"/>
      <c r="C59" s="232"/>
      <c r="D59" s="232"/>
      <c r="E59" s="232"/>
      <c r="F59" s="232"/>
      <c r="G59" s="233"/>
      <c r="H59" s="234"/>
      <c r="I59" s="232"/>
      <c r="J59" s="232"/>
      <c r="K59" s="232"/>
      <c r="L59" s="232"/>
      <c r="M59" s="234"/>
      <c r="N59" s="232"/>
      <c r="O59" s="232"/>
      <c r="P59" s="234"/>
      <c r="Q59" s="232"/>
      <c r="R59" s="232"/>
      <c r="S59" s="234"/>
      <c r="T59" s="234"/>
    </row>
    <row r="60" spans="1:20" ht="24.6" customHeight="1" thickBot="1" x14ac:dyDescent="0.3">
      <c r="A60" s="230"/>
      <c r="B60" s="231"/>
      <c r="C60" s="232"/>
      <c r="D60" s="232"/>
      <c r="E60" s="232"/>
      <c r="F60" s="232"/>
      <c r="G60" s="233"/>
      <c r="H60" s="234"/>
      <c r="I60" s="232"/>
      <c r="J60" s="232"/>
      <c r="K60" s="232"/>
      <c r="L60" s="232"/>
      <c r="M60" s="234"/>
      <c r="N60" s="232"/>
      <c r="O60" s="232"/>
      <c r="P60" s="234"/>
      <c r="Q60" s="232"/>
      <c r="R60" s="232"/>
      <c r="S60" s="234"/>
      <c r="T60" s="234"/>
    </row>
    <row r="61" spans="1:20" ht="28.5" customHeight="1" x14ac:dyDescent="0.25">
      <c r="A61" s="935" t="s">
        <v>1</v>
      </c>
      <c r="B61" s="935" t="s">
        <v>2</v>
      </c>
      <c r="C61" s="890" t="s">
        <v>206</v>
      </c>
      <c r="D61" s="891"/>
      <c r="E61" s="892"/>
      <c r="F61" s="890" t="s">
        <v>519</v>
      </c>
      <c r="G61" s="891"/>
      <c r="H61" s="891"/>
      <c r="I61" s="892"/>
      <c r="J61" s="935" t="s">
        <v>203</v>
      </c>
      <c r="K61" s="890" t="s">
        <v>191</v>
      </c>
      <c r="L61" s="891"/>
      <c r="M61" s="892"/>
      <c r="N61" s="890" t="s">
        <v>192</v>
      </c>
      <c r="O61" s="891"/>
      <c r="P61" s="892"/>
      <c r="Q61" s="890" t="s">
        <v>193</v>
      </c>
      <c r="R61" s="891"/>
      <c r="S61" s="892"/>
      <c r="T61" s="990" t="s">
        <v>190</v>
      </c>
    </row>
    <row r="62" spans="1:20" ht="91.5" customHeight="1" thickBot="1" x14ac:dyDescent="0.3">
      <c r="A62" s="937"/>
      <c r="B62" s="937"/>
      <c r="C62" s="235" t="s">
        <v>207</v>
      </c>
      <c r="D62" s="236" t="s">
        <v>204</v>
      </c>
      <c r="E62" s="237" t="s">
        <v>205</v>
      </c>
      <c r="F62" s="238" t="s">
        <v>324</v>
      </c>
      <c r="G62" s="236" t="s">
        <v>200</v>
      </c>
      <c r="H62" s="239" t="s">
        <v>201</v>
      </c>
      <c r="I62" s="240" t="s">
        <v>202</v>
      </c>
      <c r="J62" s="937"/>
      <c r="K62" s="235" t="s">
        <v>194</v>
      </c>
      <c r="L62" s="239" t="s">
        <v>195</v>
      </c>
      <c r="M62" s="241" t="s">
        <v>208</v>
      </c>
      <c r="N62" s="242" t="s">
        <v>196</v>
      </c>
      <c r="O62" s="239" t="s">
        <v>197</v>
      </c>
      <c r="P62" s="241" t="s">
        <v>209</v>
      </c>
      <c r="Q62" s="235" t="s">
        <v>198</v>
      </c>
      <c r="R62" s="239" t="s">
        <v>199</v>
      </c>
      <c r="S62" s="243" t="s">
        <v>210</v>
      </c>
      <c r="T62" s="991"/>
    </row>
    <row r="63" spans="1:20" ht="24.6" customHeight="1" x14ac:dyDescent="0.25">
      <c r="A63" s="244" t="s">
        <v>103</v>
      </c>
      <c r="B63" s="245" t="s">
        <v>16</v>
      </c>
      <c r="C63" s="459">
        <f>+D63+E63</f>
        <v>0</v>
      </c>
      <c r="D63" s="246"/>
      <c r="E63" s="247"/>
      <c r="F63" s="593">
        <v>15000</v>
      </c>
      <c r="G63" s="460">
        <f>+H63+I63</f>
        <v>7240</v>
      </c>
      <c r="H63" s="597">
        <v>7040</v>
      </c>
      <c r="I63" s="754">
        <v>200</v>
      </c>
      <c r="J63" s="753">
        <v>480</v>
      </c>
      <c r="K63" s="459">
        <f>+L63-E63</f>
        <v>480</v>
      </c>
      <c r="L63" s="460">
        <f>+J63-D63</f>
        <v>480</v>
      </c>
      <c r="M63" s="461">
        <f>IFERROR(K63/L63,"-")</f>
        <v>1</v>
      </c>
      <c r="N63" s="462">
        <f>+O63-C63</f>
        <v>480</v>
      </c>
      <c r="O63" s="460">
        <f>+K63</f>
        <v>480</v>
      </c>
      <c r="P63" s="463">
        <f>IFERROR(N63/O63,"-")</f>
        <v>1</v>
      </c>
      <c r="Q63" s="460">
        <f>IFERROR(N63-(J63-(J63*H63/G63)),"-")</f>
        <v>466.74033149171271</v>
      </c>
      <c r="R63" s="460">
        <f>+N63</f>
        <v>480</v>
      </c>
      <c r="S63" s="464">
        <f>IFERROR(Q63/R63,"-")</f>
        <v>0.97237569060773477</v>
      </c>
      <c r="T63" s="465">
        <f>IFERROR(M63*P63*S63,"-")</f>
        <v>0.97237569060773477</v>
      </c>
    </row>
    <row r="64" spans="1:20" ht="24.6" customHeight="1" x14ac:dyDescent="0.25">
      <c r="A64" s="248" t="s">
        <v>103</v>
      </c>
      <c r="B64" s="249" t="s">
        <v>214</v>
      </c>
      <c r="C64" s="466">
        <f t="shared" ref="C64:C78" si="32">+D64+E64</f>
        <v>0</v>
      </c>
      <c r="D64" s="250"/>
      <c r="E64" s="251"/>
      <c r="F64" s="594">
        <v>100000</v>
      </c>
      <c r="G64" s="468">
        <f t="shared" ref="G64:G69" si="33">+H64+I64</f>
        <v>18568</v>
      </c>
      <c r="H64" s="254">
        <v>18360</v>
      </c>
      <c r="I64" s="755">
        <v>208</v>
      </c>
      <c r="J64" s="747">
        <v>480</v>
      </c>
      <c r="K64" s="466">
        <f t="shared" ref="K64:K67" si="34">+L64-E64</f>
        <v>480</v>
      </c>
      <c r="L64" s="468">
        <f t="shared" ref="L64:L79" si="35">+J64-D64</f>
        <v>480</v>
      </c>
      <c r="M64" s="469">
        <f t="shared" ref="M64:M67" si="36">IFERROR(K64/L64,"-")</f>
        <v>1</v>
      </c>
      <c r="N64" s="470">
        <f>+O64-C64</f>
        <v>480</v>
      </c>
      <c r="O64" s="468">
        <f t="shared" ref="O64:O79" si="37">+K64</f>
        <v>480</v>
      </c>
      <c r="P64" s="471">
        <f>IFERROR(N64/O64,"-")</f>
        <v>1</v>
      </c>
      <c r="Q64" s="468">
        <f t="shared" ref="Q64:Q78" si="38">IFERROR(N64-(J64-(J64*H64/G64)),"-")</f>
        <v>474.62300732442912</v>
      </c>
      <c r="R64" s="468">
        <f t="shared" ref="R64:R78" si="39">+N64</f>
        <v>480</v>
      </c>
      <c r="S64" s="472">
        <f t="shared" ref="S64:S78" si="40">IFERROR(Q64/R64,"-")</f>
        <v>0.98879793192589405</v>
      </c>
      <c r="T64" s="473">
        <f t="shared" ref="T64:T78" si="41">IFERROR(M64*P64*S64,"-")</f>
        <v>0.98879793192589405</v>
      </c>
    </row>
    <row r="65" spans="1:20" ht="24.6" customHeight="1" x14ac:dyDescent="0.25">
      <c r="A65" s="248" t="s">
        <v>103</v>
      </c>
      <c r="B65" s="249" t="s">
        <v>213</v>
      </c>
      <c r="C65" s="466">
        <f t="shared" si="32"/>
        <v>0</v>
      </c>
      <c r="D65" s="250"/>
      <c r="E65" s="251"/>
      <c r="F65" s="594">
        <v>80000</v>
      </c>
      <c r="G65" s="468">
        <f t="shared" si="33"/>
        <v>0</v>
      </c>
      <c r="H65" s="254"/>
      <c r="I65" s="755"/>
      <c r="J65" s="747"/>
      <c r="K65" s="466">
        <f t="shared" si="34"/>
        <v>0</v>
      </c>
      <c r="L65" s="468">
        <f t="shared" si="35"/>
        <v>0</v>
      </c>
      <c r="M65" s="469" t="str">
        <f t="shared" si="36"/>
        <v>-</v>
      </c>
      <c r="N65" s="470">
        <f t="shared" ref="N65:N78" si="42">+O65-C65</f>
        <v>0</v>
      </c>
      <c r="O65" s="468">
        <f t="shared" si="37"/>
        <v>0</v>
      </c>
      <c r="P65" s="471" t="str">
        <f t="shared" ref="P65:P78" si="43">IFERROR(N65/O65,"-")</f>
        <v>-</v>
      </c>
      <c r="Q65" s="468" t="str">
        <f t="shared" si="38"/>
        <v>-</v>
      </c>
      <c r="R65" s="468">
        <f t="shared" si="39"/>
        <v>0</v>
      </c>
      <c r="S65" s="472" t="str">
        <f t="shared" si="40"/>
        <v>-</v>
      </c>
      <c r="T65" s="473" t="str">
        <f t="shared" si="41"/>
        <v>-</v>
      </c>
    </row>
    <row r="66" spans="1:20" ht="24.6" customHeight="1" x14ac:dyDescent="0.25">
      <c r="A66" s="252" t="s">
        <v>103</v>
      </c>
      <c r="B66" s="249" t="s">
        <v>216</v>
      </c>
      <c r="C66" s="466">
        <v>30</v>
      </c>
      <c r="D66" s="250">
        <v>30</v>
      </c>
      <c r="E66" s="251">
        <f>240+60</f>
        <v>300</v>
      </c>
      <c r="F66" s="594">
        <v>220000</v>
      </c>
      <c r="G66" s="468">
        <f t="shared" si="33"/>
        <v>8708</v>
      </c>
      <c r="H66" s="254">
        <v>8448</v>
      </c>
      <c r="I66" s="755">
        <v>260</v>
      </c>
      <c r="J66" s="747">
        <v>480</v>
      </c>
      <c r="K66" s="466">
        <f t="shared" si="34"/>
        <v>150</v>
      </c>
      <c r="L66" s="468">
        <f t="shared" si="35"/>
        <v>450</v>
      </c>
      <c r="M66" s="469">
        <f t="shared" si="36"/>
        <v>0.33333333333333331</v>
      </c>
      <c r="N66" s="470">
        <f t="shared" si="42"/>
        <v>120</v>
      </c>
      <c r="O66" s="468">
        <f t="shared" si="37"/>
        <v>150</v>
      </c>
      <c r="P66" s="471">
        <f t="shared" si="43"/>
        <v>0.8</v>
      </c>
      <c r="Q66" s="468">
        <f t="shared" si="38"/>
        <v>105.66835094166282</v>
      </c>
      <c r="R66" s="468">
        <f t="shared" si="39"/>
        <v>120</v>
      </c>
      <c r="S66" s="472">
        <f t="shared" si="40"/>
        <v>0.88056959118052347</v>
      </c>
      <c r="T66" s="473">
        <f t="shared" si="41"/>
        <v>0.23481855764813958</v>
      </c>
    </row>
    <row r="67" spans="1:20" ht="24.6" customHeight="1" x14ac:dyDescent="0.25">
      <c r="A67" s="248" t="s">
        <v>103</v>
      </c>
      <c r="B67" s="249" t="s">
        <v>215</v>
      </c>
      <c r="C67" s="466">
        <f t="shared" si="32"/>
        <v>480</v>
      </c>
      <c r="D67" s="250"/>
      <c r="E67" s="251">
        <v>480</v>
      </c>
      <c r="F67" s="594">
        <v>50000</v>
      </c>
      <c r="G67" s="468">
        <f t="shared" si="33"/>
        <v>0</v>
      </c>
      <c r="H67" s="254">
        <v>0</v>
      </c>
      <c r="I67" s="755">
        <v>0</v>
      </c>
      <c r="J67" s="747">
        <v>480</v>
      </c>
      <c r="K67" s="466">
        <f t="shared" si="34"/>
        <v>0</v>
      </c>
      <c r="L67" s="468">
        <f t="shared" si="35"/>
        <v>480</v>
      </c>
      <c r="M67" s="469">
        <f t="shared" si="36"/>
        <v>0</v>
      </c>
      <c r="N67" s="470">
        <f t="shared" si="42"/>
        <v>-480</v>
      </c>
      <c r="O67" s="468">
        <f t="shared" si="37"/>
        <v>0</v>
      </c>
      <c r="P67" s="471" t="str">
        <f t="shared" si="43"/>
        <v>-</v>
      </c>
      <c r="Q67" s="468" t="str">
        <f t="shared" si="38"/>
        <v>-</v>
      </c>
      <c r="R67" s="468">
        <f t="shared" si="39"/>
        <v>-480</v>
      </c>
      <c r="S67" s="472" t="str">
        <f t="shared" si="40"/>
        <v>-</v>
      </c>
      <c r="T67" s="473" t="str">
        <f t="shared" si="41"/>
        <v>-</v>
      </c>
    </row>
    <row r="68" spans="1:20" ht="24.6" customHeight="1" x14ac:dyDescent="0.25">
      <c r="A68" s="248">
        <v>5</v>
      </c>
      <c r="B68" s="249" t="s">
        <v>22</v>
      </c>
      <c r="C68" s="466">
        <f t="shared" si="32"/>
        <v>0</v>
      </c>
      <c r="D68" s="250"/>
      <c r="E68" s="251"/>
      <c r="F68" s="594">
        <v>80000</v>
      </c>
      <c r="G68" s="468">
        <f t="shared" si="33"/>
        <v>0</v>
      </c>
      <c r="H68" s="467"/>
      <c r="I68" s="756"/>
      <c r="J68" s="747"/>
      <c r="K68" s="466">
        <f>+L68-E68</f>
        <v>0</v>
      </c>
      <c r="L68" s="468">
        <f t="shared" si="35"/>
        <v>0</v>
      </c>
      <c r="M68" s="469" t="str">
        <f>IFERROR(K68/L68,"-")</f>
        <v>-</v>
      </c>
      <c r="N68" s="470">
        <f t="shared" si="42"/>
        <v>0</v>
      </c>
      <c r="O68" s="468">
        <f t="shared" si="37"/>
        <v>0</v>
      </c>
      <c r="P68" s="471" t="str">
        <f t="shared" si="43"/>
        <v>-</v>
      </c>
      <c r="Q68" s="468" t="str">
        <f t="shared" si="38"/>
        <v>-</v>
      </c>
      <c r="R68" s="468">
        <f t="shared" si="39"/>
        <v>0</v>
      </c>
      <c r="S68" s="472" t="str">
        <f t="shared" si="40"/>
        <v>-</v>
      </c>
      <c r="T68" s="473" t="str">
        <f t="shared" si="41"/>
        <v>-</v>
      </c>
    </row>
    <row r="69" spans="1:20" ht="24.6" customHeight="1" x14ac:dyDescent="0.25">
      <c r="A69" s="248" t="s">
        <v>103</v>
      </c>
      <c r="B69" s="249" t="s">
        <v>23</v>
      </c>
      <c r="C69" s="466">
        <f t="shared" si="32"/>
        <v>210</v>
      </c>
      <c r="D69" s="250">
        <v>30</v>
      </c>
      <c r="E69" s="251">
        <v>180</v>
      </c>
      <c r="F69" s="594">
        <v>14000</v>
      </c>
      <c r="G69" s="468">
        <f t="shared" si="33"/>
        <v>8765</v>
      </c>
      <c r="H69" s="254">
        <v>8750</v>
      </c>
      <c r="I69" s="755">
        <v>15</v>
      </c>
      <c r="J69" s="747">
        <v>480</v>
      </c>
      <c r="K69" s="466">
        <f t="shared" ref="K69:K79" si="44">+L69-E69</f>
        <v>270</v>
      </c>
      <c r="L69" s="468">
        <f t="shared" si="35"/>
        <v>450</v>
      </c>
      <c r="M69" s="469">
        <f t="shared" ref="M69:M79" si="45">IFERROR(K69/L69,"-")</f>
        <v>0.6</v>
      </c>
      <c r="N69" s="470">
        <f t="shared" si="42"/>
        <v>60</v>
      </c>
      <c r="O69" s="468">
        <f t="shared" si="37"/>
        <v>270</v>
      </c>
      <c r="P69" s="471">
        <f t="shared" si="43"/>
        <v>0.22222222222222221</v>
      </c>
      <c r="Q69" s="468">
        <f t="shared" si="38"/>
        <v>59.178551055333742</v>
      </c>
      <c r="R69" s="468">
        <f t="shared" si="39"/>
        <v>60</v>
      </c>
      <c r="S69" s="472">
        <f t="shared" si="40"/>
        <v>0.98630918425556235</v>
      </c>
      <c r="T69" s="473">
        <f t="shared" si="41"/>
        <v>0.13150789123407497</v>
      </c>
    </row>
    <row r="70" spans="1:20" ht="24.6" customHeight="1" x14ac:dyDescent="0.25">
      <c r="A70" s="248" t="s">
        <v>103</v>
      </c>
      <c r="B70" s="253" t="s">
        <v>211</v>
      </c>
      <c r="C70" s="474">
        <f t="shared" si="32"/>
        <v>450</v>
      </c>
      <c r="D70" s="250">
        <v>450</v>
      </c>
      <c r="E70" s="251"/>
      <c r="F70" s="594">
        <v>4500</v>
      </c>
      <c r="G70" s="468">
        <f>+H70+I70</f>
        <v>14083</v>
      </c>
      <c r="H70" s="254">
        <v>14020</v>
      </c>
      <c r="I70" s="251">
        <v>63</v>
      </c>
      <c r="J70" s="747">
        <v>960</v>
      </c>
      <c r="K70" s="474">
        <f t="shared" si="44"/>
        <v>510</v>
      </c>
      <c r="L70" s="250">
        <f t="shared" si="35"/>
        <v>510</v>
      </c>
      <c r="M70" s="475">
        <f t="shared" si="45"/>
        <v>1</v>
      </c>
      <c r="N70" s="476">
        <f t="shared" si="42"/>
        <v>60</v>
      </c>
      <c r="O70" s="250">
        <f t="shared" si="37"/>
        <v>510</v>
      </c>
      <c r="P70" s="477">
        <f t="shared" si="43"/>
        <v>0.11764705882352941</v>
      </c>
      <c r="Q70" s="250">
        <f t="shared" si="38"/>
        <v>55.705460484271839</v>
      </c>
      <c r="R70" s="250">
        <f t="shared" si="39"/>
        <v>60</v>
      </c>
      <c r="S70" s="478">
        <f t="shared" si="40"/>
        <v>0.92842434140453067</v>
      </c>
      <c r="T70" s="479">
        <f t="shared" si="41"/>
        <v>0.10922639310641537</v>
      </c>
    </row>
    <row r="71" spans="1:20" ht="24.6" customHeight="1" thickBot="1" x14ac:dyDescent="0.3">
      <c r="A71" s="255" t="s">
        <v>103</v>
      </c>
      <c r="B71" s="256" t="s">
        <v>212</v>
      </c>
      <c r="C71" s="480">
        <f t="shared" si="32"/>
        <v>240</v>
      </c>
      <c r="D71" s="257">
        <f>30+30+90+90</f>
        <v>240</v>
      </c>
      <c r="E71" s="258"/>
      <c r="F71" s="598">
        <v>5000</v>
      </c>
      <c r="G71" s="490">
        <f t="shared" ref="G71:G78" si="46">+H71+I71</f>
        <v>28522</v>
      </c>
      <c r="H71" s="259">
        <v>28429</v>
      </c>
      <c r="I71" s="258">
        <v>93</v>
      </c>
      <c r="J71" s="748">
        <v>960</v>
      </c>
      <c r="K71" s="480">
        <f t="shared" si="44"/>
        <v>720</v>
      </c>
      <c r="L71" s="257">
        <f t="shared" si="35"/>
        <v>720</v>
      </c>
      <c r="M71" s="481">
        <f t="shared" si="45"/>
        <v>1</v>
      </c>
      <c r="N71" s="482">
        <f t="shared" si="42"/>
        <v>480</v>
      </c>
      <c r="O71" s="257">
        <f t="shared" si="37"/>
        <v>720</v>
      </c>
      <c r="P71" s="483">
        <f t="shared" si="43"/>
        <v>0.66666666666666663</v>
      </c>
      <c r="Q71" s="257">
        <f t="shared" si="38"/>
        <v>476.86978472757869</v>
      </c>
      <c r="R71" s="257">
        <f t="shared" si="39"/>
        <v>480</v>
      </c>
      <c r="S71" s="484">
        <f t="shared" si="40"/>
        <v>0.99347871818245559</v>
      </c>
      <c r="T71" s="485">
        <f t="shared" si="41"/>
        <v>0.66231914545497039</v>
      </c>
    </row>
    <row r="72" spans="1:20" ht="24.6" customHeight="1" x14ac:dyDescent="0.25">
      <c r="A72" s="252" t="s">
        <v>101</v>
      </c>
      <c r="B72" s="260" t="s">
        <v>29</v>
      </c>
      <c r="C72" s="466">
        <f t="shared" si="32"/>
        <v>295</v>
      </c>
      <c r="D72" s="250">
        <v>90</v>
      </c>
      <c r="E72" s="251">
        <v>205</v>
      </c>
      <c r="F72" s="749">
        <v>160000</v>
      </c>
      <c r="G72" s="751">
        <f t="shared" si="46"/>
        <v>192927</v>
      </c>
      <c r="H72" s="749">
        <v>190944</v>
      </c>
      <c r="I72" s="750">
        <v>1983</v>
      </c>
      <c r="J72" s="752">
        <v>1480</v>
      </c>
      <c r="K72" s="466">
        <f t="shared" si="44"/>
        <v>1185</v>
      </c>
      <c r="L72" s="468">
        <f t="shared" si="35"/>
        <v>1390</v>
      </c>
      <c r="M72" s="469">
        <f t="shared" si="45"/>
        <v>0.85251798561151082</v>
      </c>
      <c r="N72" s="470">
        <f t="shared" si="42"/>
        <v>890</v>
      </c>
      <c r="O72" s="468">
        <f t="shared" si="37"/>
        <v>1185</v>
      </c>
      <c r="P72" s="471">
        <f t="shared" si="43"/>
        <v>0.75105485232067515</v>
      </c>
      <c r="Q72" s="468">
        <f t="shared" si="38"/>
        <v>874.78782130028458</v>
      </c>
      <c r="R72" s="468">
        <f t="shared" si="39"/>
        <v>890</v>
      </c>
      <c r="S72" s="486">
        <f t="shared" si="40"/>
        <v>0.98290766438234223</v>
      </c>
      <c r="T72" s="487">
        <f t="shared" si="41"/>
        <v>0.62934375633114004</v>
      </c>
    </row>
    <row r="73" spans="1:20" ht="24.6" customHeight="1" x14ac:dyDescent="0.25">
      <c r="A73" s="248" t="s">
        <v>101</v>
      </c>
      <c r="B73" s="260" t="s">
        <v>31</v>
      </c>
      <c r="C73" s="466">
        <f t="shared" si="32"/>
        <v>0</v>
      </c>
      <c r="D73" s="667"/>
      <c r="E73" s="251"/>
      <c r="F73" s="467">
        <v>50000</v>
      </c>
      <c r="G73" s="468">
        <f t="shared" si="46"/>
        <v>0</v>
      </c>
      <c r="H73" s="467"/>
      <c r="I73" s="600"/>
      <c r="J73" s="599"/>
      <c r="K73" s="466">
        <f t="shared" si="44"/>
        <v>0</v>
      </c>
      <c r="L73" s="468">
        <f t="shared" si="35"/>
        <v>0</v>
      </c>
      <c r="M73" s="469" t="str">
        <f t="shared" si="45"/>
        <v>-</v>
      </c>
      <c r="N73" s="470">
        <f t="shared" si="42"/>
        <v>0</v>
      </c>
      <c r="O73" s="468">
        <f t="shared" si="37"/>
        <v>0</v>
      </c>
      <c r="P73" s="471" t="str">
        <f t="shared" si="43"/>
        <v>-</v>
      </c>
      <c r="Q73" s="468" t="str">
        <f t="shared" si="38"/>
        <v>-</v>
      </c>
      <c r="R73" s="468">
        <f t="shared" si="39"/>
        <v>0</v>
      </c>
      <c r="S73" s="486" t="str">
        <f t="shared" si="40"/>
        <v>-</v>
      </c>
      <c r="T73" s="487" t="str">
        <f t="shared" si="41"/>
        <v>-</v>
      </c>
    </row>
    <row r="74" spans="1:20" ht="24.6" customHeight="1" thickBot="1" x14ac:dyDescent="0.3">
      <c r="A74" s="255" t="s">
        <v>101</v>
      </c>
      <c r="B74" s="261" t="s">
        <v>32</v>
      </c>
      <c r="C74" s="488">
        <f t="shared" si="32"/>
        <v>0</v>
      </c>
      <c r="D74" s="257"/>
      <c r="E74" s="258"/>
      <c r="F74" s="489">
        <v>110000</v>
      </c>
      <c r="G74" s="490">
        <f t="shared" si="46"/>
        <v>0</v>
      </c>
      <c r="H74" s="489"/>
      <c r="I74" s="601"/>
      <c r="J74" s="602"/>
      <c r="K74" s="488">
        <f t="shared" si="44"/>
        <v>0</v>
      </c>
      <c r="L74" s="490">
        <f t="shared" si="35"/>
        <v>0</v>
      </c>
      <c r="M74" s="491" t="str">
        <f t="shared" si="45"/>
        <v>-</v>
      </c>
      <c r="N74" s="492">
        <f t="shared" si="42"/>
        <v>0</v>
      </c>
      <c r="O74" s="490">
        <f t="shared" si="37"/>
        <v>0</v>
      </c>
      <c r="P74" s="493" t="str">
        <f t="shared" si="43"/>
        <v>-</v>
      </c>
      <c r="Q74" s="490" t="str">
        <f t="shared" si="38"/>
        <v>-</v>
      </c>
      <c r="R74" s="490">
        <f t="shared" si="39"/>
        <v>0</v>
      </c>
      <c r="S74" s="494" t="str">
        <f t="shared" si="40"/>
        <v>-</v>
      </c>
      <c r="T74" s="495" t="str">
        <f t="shared" si="41"/>
        <v>-</v>
      </c>
    </row>
    <row r="75" spans="1:20" ht="24.6" customHeight="1" x14ac:dyDescent="0.25">
      <c r="A75" s="248" t="s">
        <v>102</v>
      </c>
      <c r="B75" s="249" t="s">
        <v>218</v>
      </c>
      <c r="C75" s="466">
        <f t="shared" si="32"/>
        <v>0</v>
      </c>
      <c r="D75" s="250"/>
      <c r="E75" s="251"/>
      <c r="F75" s="467">
        <v>6500</v>
      </c>
      <c r="G75" s="468">
        <f t="shared" si="46"/>
        <v>0</v>
      </c>
      <c r="H75" s="467"/>
      <c r="I75" s="600"/>
      <c r="J75" s="599"/>
      <c r="K75" s="466">
        <f t="shared" si="44"/>
        <v>0</v>
      </c>
      <c r="L75" s="468">
        <f t="shared" si="35"/>
        <v>0</v>
      </c>
      <c r="M75" s="469" t="str">
        <f t="shared" si="45"/>
        <v>-</v>
      </c>
      <c r="N75" s="470">
        <f t="shared" si="42"/>
        <v>0</v>
      </c>
      <c r="O75" s="468">
        <f t="shared" si="37"/>
        <v>0</v>
      </c>
      <c r="P75" s="471" t="str">
        <f t="shared" si="43"/>
        <v>-</v>
      </c>
      <c r="Q75" s="468" t="str">
        <f t="shared" si="38"/>
        <v>-</v>
      </c>
      <c r="R75" s="468">
        <f t="shared" si="39"/>
        <v>0</v>
      </c>
      <c r="S75" s="486" t="str">
        <f t="shared" si="40"/>
        <v>-</v>
      </c>
      <c r="T75" s="487" t="str">
        <f t="shared" si="41"/>
        <v>-</v>
      </c>
    </row>
    <row r="76" spans="1:20" ht="24.6" customHeight="1" x14ac:dyDescent="0.25">
      <c r="A76" s="252" t="s">
        <v>102</v>
      </c>
      <c r="B76" s="249" t="s">
        <v>38</v>
      </c>
      <c r="C76" s="466">
        <f t="shared" si="32"/>
        <v>0</v>
      </c>
      <c r="D76" s="250"/>
      <c r="E76" s="251"/>
      <c r="F76" s="467">
        <v>2800</v>
      </c>
      <c r="G76" s="468">
        <f t="shared" si="46"/>
        <v>0</v>
      </c>
      <c r="H76" s="467"/>
      <c r="I76" s="600"/>
      <c r="J76" s="599"/>
      <c r="K76" s="466">
        <f t="shared" si="44"/>
        <v>0</v>
      </c>
      <c r="L76" s="468">
        <f t="shared" si="35"/>
        <v>0</v>
      </c>
      <c r="M76" s="469" t="str">
        <f t="shared" si="45"/>
        <v>-</v>
      </c>
      <c r="N76" s="470">
        <f t="shared" si="42"/>
        <v>0</v>
      </c>
      <c r="O76" s="468">
        <f t="shared" si="37"/>
        <v>0</v>
      </c>
      <c r="P76" s="471" t="str">
        <f t="shared" si="43"/>
        <v>-</v>
      </c>
      <c r="Q76" s="468" t="str">
        <f t="shared" si="38"/>
        <v>-</v>
      </c>
      <c r="R76" s="468">
        <f t="shared" si="39"/>
        <v>0</v>
      </c>
      <c r="S76" s="486" t="str">
        <f t="shared" si="40"/>
        <v>-</v>
      </c>
      <c r="T76" s="487" t="str">
        <f t="shared" si="41"/>
        <v>-</v>
      </c>
    </row>
    <row r="77" spans="1:20" ht="24.6" customHeight="1" x14ac:dyDescent="0.25">
      <c r="A77" s="248" t="s">
        <v>102</v>
      </c>
      <c r="B77" s="249" t="s">
        <v>39</v>
      </c>
      <c r="C77" s="466">
        <f t="shared" si="32"/>
        <v>30</v>
      </c>
      <c r="D77" s="250">
        <v>30</v>
      </c>
      <c r="E77" s="251"/>
      <c r="F77" s="467">
        <v>25000</v>
      </c>
      <c r="G77" s="468">
        <f t="shared" si="46"/>
        <v>63774</v>
      </c>
      <c r="H77" s="467">
        <v>63132</v>
      </c>
      <c r="I77" s="600">
        <v>642</v>
      </c>
      <c r="J77" s="599">
        <v>480</v>
      </c>
      <c r="K77" s="466">
        <f t="shared" si="44"/>
        <v>450</v>
      </c>
      <c r="L77" s="468">
        <f t="shared" si="35"/>
        <v>450</v>
      </c>
      <c r="M77" s="469">
        <f t="shared" si="45"/>
        <v>1</v>
      </c>
      <c r="N77" s="470">
        <f t="shared" si="42"/>
        <v>420</v>
      </c>
      <c r="O77" s="468">
        <f t="shared" si="37"/>
        <v>450</v>
      </c>
      <c r="P77" s="471">
        <f t="shared" si="43"/>
        <v>0.93333333333333335</v>
      </c>
      <c r="Q77" s="468">
        <f t="shared" si="38"/>
        <v>415.16793677674286</v>
      </c>
      <c r="R77" s="468">
        <f t="shared" si="39"/>
        <v>420</v>
      </c>
      <c r="S77" s="486">
        <f t="shared" si="40"/>
        <v>0.98849508756367344</v>
      </c>
      <c r="T77" s="487">
        <f t="shared" si="41"/>
        <v>0.92259541505942855</v>
      </c>
    </row>
    <row r="78" spans="1:20" ht="45" customHeight="1" thickBot="1" x14ac:dyDescent="0.3">
      <c r="A78" s="604" t="s">
        <v>102</v>
      </c>
      <c r="B78" s="261" t="s">
        <v>217</v>
      </c>
      <c r="C78" s="605">
        <f t="shared" si="32"/>
        <v>0</v>
      </c>
      <c r="D78" s="606"/>
      <c r="E78" s="607"/>
      <c r="F78" s="608">
        <v>25000</v>
      </c>
      <c r="G78" s="609">
        <f t="shared" si="46"/>
        <v>0</v>
      </c>
      <c r="H78" s="608"/>
      <c r="I78" s="610"/>
      <c r="J78" s="603"/>
      <c r="K78" s="605">
        <f t="shared" si="44"/>
        <v>0</v>
      </c>
      <c r="L78" s="609">
        <f t="shared" si="35"/>
        <v>0</v>
      </c>
      <c r="M78" s="611" t="str">
        <f t="shared" si="45"/>
        <v>-</v>
      </c>
      <c r="N78" s="612">
        <f t="shared" si="42"/>
        <v>0</v>
      </c>
      <c r="O78" s="609">
        <f t="shared" si="37"/>
        <v>0</v>
      </c>
      <c r="P78" s="613" t="str">
        <f t="shared" si="43"/>
        <v>-</v>
      </c>
      <c r="Q78" s="609" t="str">
        <f t="shared" si="38"/>
        <v>-</v>
      </c>
      <c r="R78" s="609">
        <f t="shared" si="39"/>
        <v>0</v>
      </c>
      <c r="S78" s="614" t="str">
        <f t="shared" si="40"/>
        <v>-</v>
      </c>
      <c r="T78" s="615" t="str">
        <f t="shared" si="41"/>
        <v>-</v>
      </c>
    </row>
    <row r="79" spans="1:20" ht="24.6" customHeight="1" x14ac:dyDescent="0.25">
      <c r="A79" s="230"/>
      <c r="B79" s="231"/>
      <c r="C79" s="232"/>
      <c r="D79" s="232"/>
      <c r="E79" s="232"/>
      <c r="F79" s="232"/>
      <c r="G79" s="233"/>
      <c r="H79" s="234"/>
      <c r="I79" s="232"/>
      <c r="J79" s="232"/>
      <c r="K79" s="232">
        <f t="shared" si="44"/>
        <v>0</v>
      </c>
      <c r="L79" s="232">
        <f t="shared" si="35"/>
        <v>0</v>
      </c>
      <c r="M79" s="234" t="str">
        <f t="shared" si="45"/>
        <v>-</v>
      </c>
      <c r="N79" s="232"/>
      <c r="O79" s="232">
        <f t="shared" si="37"/>
        <v>0</v>
      </c>
      <c r="P79" s="234"/>
      <c r="Q79" s="232"/>
      <c r="R79" s="232"/>
      <c r="S79" s="234"/>
      <c r="T79" s="234"/>
    </row>
    <row r="80" spans="1:20" ht="24.6" customHeight="1" x14ac:dyDescent="0.25">
      <c r="A80" s="230"/>
      <c r="B80" s="231"/>
      <c r="C80" s="232"/>
      <c r="D80" s="232"/>
      <c r="E80" s="232"/>
      <c r="F80" s="232"/>
      <c r="G80" s="233"/>
      <c r="H80" s="234"/>
      <c r="I80" s="232"/>
      <c r="J80" s="232"/>
      <c r="K80" s="232"/>
      <c r="L80" s="232"/>
      <c r="M80" s="234"/>
      <c r="N80" s="232"/>
      <c r="O80" s="232"/>
      <c r="P80" s="234"/>
      <c r="Q80" s="232"/>
      <c r="R80" s="232"/>
      <c r="S80" s="234"/>
      <c r="T80" s="234"/>
    </row>
    <row r="81" spans="1:20" ht="24.6" customHeight="1" x14ac:dyDescent="0.25">
      <c r="A81" s="230"/>
      <c r="B81" s="231"/>
      <c r="C81" s="232"/>
      <c r="D81" s="232"/>
      <c r="E81" s="232"/>
      <c r="F81" s="232"/>
      <c r="G81" s="233"/>
      <c r="H81" s="234"/>
      <c r="I81" s="232"/>
      <c r="J81" s="232"/>
      <c r="K81" s="232"/>
      <c r="L81" s="232"/>
      <c r="M81" s="234"/>
      <c r="N81" s="232"/>
      <c r="O81" s="232"/>
      <c r="P81" s="234"/>
      <c r="Q81" s="232"/>
      <c r="R81" s="232"/>
      <c r="S81" s="234"/>
      <c r="T81" s="234"/>
    </row>
    <row r="82" spans="1:20" ht="24.6" customHeight="1" x14ac:dyDescent="0.25">
      <c r="A82" s="230"/>
      <c r="B82" s="231"/>
      <c r="C82" s="232"/>
      <c r="D82" s="232"/>
      <c r="E82" s="232"/>
      <c r="F82" s="232"/>
      <c r="G82" s="233"/>
      <c r="H82" s="234"/>
      <c r="I82" s="232"/>
      <c r="J82" s="232"/>
      <c r="K82" s="232"/>
      <c r="L82" s="232"/>
      <c r="M82" s="234"/>
      <c r="N82" s="232"/>
      <c r="O82" s="232"/>
      <c r="P82" s="234"/>
      <c r="Q82" s="232"/>
      <c r="R82" s="232"/>
      <c r="S82" s="234"/>
      <c r="T82" s="234"/>
    </row>
    <row r="83" spans="1:20" ht="24.6" customHeight="1" x14ac:dyDescent="0.25">
      <c r="A83" s="230"/>
      <c r="B83" s="231"/>
      <c r="C83" s="232"/>
      <c r="D83" s="232"/>
      <c r="E83" s="232"/>
      <c r="F83" s="232"/>
      <c r="G83" s="233"/>
      <c r="H83" s="234"/>
      <c r="I83" s="232"/>
      <c r="J83" s="232"/>
      <c r="K83" s="232"/>
      <c r="L83" s="232"/>
      <c r="M83" s="234"/>
      <c r="N83" s="232"/>
      <c r="O83" s="232"/>
      <c r="P83" s="234"/>
      <c r="Q83" s="232"/>
      <c r="R83" s="232"/>
      <c r="S83" s="234"/>
      <c r="T83" s="234"/>
    </row>
    <row r="84" spans="1:20" ht="24.6" customHeight="1" thickBot="1" x14ac:dyDescent="0.3">
      <c r="A84" s="230"/>
      <c r="B84" s="231"/>
      <c r="C84" s="232"/>
      <c r="D84" s="232"/>
      <c r="E84" s="232"/>
      <c r="F84" s="232"/>
      <c r="G84" s="233"/>
      <c r="H84" s="234"/>
      <c r="I84" s="232"/>
      <c r="J84" s="232"/>
      <c r="K84" s="232"/>
      <c r="L84" s="232"/>
      <c r="M84" s="234"/>
      <c r="N84" s="232"/>
      <c r="O84" s="232"/>
      <c r="P84" s="234"/>
      <c r="Q84" s="232"/>
      <c r="R84" s="232"/>
      <c r="S84" s="234"/>
      <c r="T84" s="234"/>
    </row>
    <row r="85" spans="1:20" ht="28.5" customHeight="1" x14ac:dyDescent="0.25">
      <c r="A85" s="935" t="s">
        <v>1</v>
      </c>
      <c r="B85" s="935" t="s">
        <v>2</v>
      </c>
      <c r="C85" s="890" t="s">
        <v>206</v>
      </c>
      <c r="D85" s="891"/>
      <c r="E85" s="892"/>
      <c r="F85" s="890" t="s">
        <v>513</v>
      </c>
      <c r="G85" s="891"/>
      <c r="H85" s="891"/>
      <c r="I85" s="892"/>
      <c r="J85" s="935" t="s">
        <v>203</v>
      </c>
      <c r="K85" s="890" t="s">
        <v>191</v>
      </c>
      <c r="L85" s="891"/>
      <c r="M85" s="892"/>
      <c r="N85" s="890" t="s">
        <v>192</v>
      </c>
      <c r="O85" s="891"/>
      <c r="P85" s="892"/>
      <c r="Q85" s="890" t="s">
        <v>193</v>
      </c>
      <c r="R85" s="891"/>
      <c r="S85" s="892"/>
      <c r="T85" s="990" t="s">
        <v>190</v>
      </c>
    </row>
    <row r="86" spans="1:20" ht="91.5" customHeight="1" thickBot="1" x14ac:dyDescent="0.3">
      <c r="A86" s="937"/>
      <c r="B86" s="937"/>
      <c r="C86" s="235" t="s">
        <v>207</v>
      </c>
      <c r="D86" s="236" t="s">
        <v>204</v>
      </c>
      <c r="E86" s="237" t="s">
        <v>205</v>
      </c>
      <c r="F86" s="238" t="s">
        <v>324</v>
      </c>
      <c r="G86" s="236" t="s">
        <v>200</v>
      </c>
      <c r="H86" s="239" t="s">
        <v>201</v>
      </c>
      <c r="I86" s="240" t="s">
        <v>202</v>
      </c>
      <c r="J86" s="937"/>
      <c r="K86" s="235" t="s">
        <v>194</v>
      </c>
      <c r="L86" s="239" t="s">
        <v>195</v>
      </c>
      <c r="M86" s="241" t="s">
        <v>208</v>
      </c>
      <c r="N86" s="242" t="s">
        <v>196</v>
      </c>
      <c r="O86" s="239" t="s">
        <v>197</v>
      </c>
      <c r="P86" s="241" t="s">
        <v>209</v>
      </c>
      <c r="Q86" s="235" t="s">
        <v>198</v>
      </c>
      <c r="R86" s="239" t="s">
        <v>199</v>
      </c>
      <c r="S86" s="243" t="s">
        <v>210</v>
      </c>
      <c r="T86" s="991"/>
    </row>
    <row r="87" spans="1:20" ht="24.6" customHeight="1" x14ac:dyDescent="0.25">
      <c r="A87" s="244" t="s">
        <v>103</v>
      </c>
      <c r="B87" s="245" t="s">
        <v>16</v>
      </c>
      <c r="C87" s="459">
        <f>+D87+E87</f>
        <v>0</v>
      </c>
      <c r="D87" s="246"/>
      <c r="E87" s="247"/>
      <c r="F87" s="593">
        <v>15000</v>
      </c>
      <c r="G87" s="460">
        <f>+H87+I87</f>
        <v>0</v>
      </c>
      <c r="H87" s="597"/>
      <c r="I87" s="754"/>
      <c r="J87" s="753"/>
      <c r="K87" s="459">
        <f>+L87-E87</f>
        <v>0</v>
      </c>
      <c r="L87" s="460">
        <f>+J87-D87</f>
        <v>0</v>
      </c>
      <c r="M87" s="461" t="str">
        <f>IFERROR(K87/L87,"-")</f>
        <v>-</v>
      </c>
      <c r="N87" s="462">
        <f>+O87-C87</f>
        <v>0</v>
      </c>
      <c r="O87" s="460">
        <f>+K87</f>
        <v>0</v>
      </c>
      <c r="P87" s="463" t="str">
        <f>IFERROR(N87/O87,"-")</f>
        <v>-</v>
      </c>
      <c r="Q87" s="460" t="str">
        <f>IFERROR(N87-(J87-(J87*H87/G87)),"-")</f>
        <v>-</v>
      </c>
      <c r="R87" s="460">
        <f>+N87</f>
        <v>0</v>
      </c>
      <c r="S87" s="464" t="str">
        <f>IFERROR(Q87/R87,"-")</f>
        <v>-</v>
      </c>
      <c r="T87" s="465" t="str">
        <f>IFERROR(M87*P87*S87,"-")</f>
        <v>-</v>
      </c>
    </row>
    <row r="88" spans="1:20" ht="24.6" customHeight="1" x14ac:dyDescent="0.25">
      <c r="A88" s="248" t="s">
        <v>103</v>
      </c>
      <c r="B88" s="249" t="s">
        <v>214</v>
      </c>
      <c r="C88" s="466">
        <f t="shared" ref="C88:C102" si="47">+D88+E88</f>
        <v>30</v>
      </c>
      <c r="D88" s="250">
        <v>30</v>
      </c>
      <c r="E88" s="251"/>
      <c r="F88" s="594">
        <v>100000</v>
      </c>
      <c r="G88" s="468">
        <f t="shared" ref="G88:G93" si="48">+H88+I88</f>
        <v>12855</v>
      </c>
      <c r="H88" s="254">
        <v>12240</v>
      </c>
      <c r="I88" s="755">
        <v>615</v>
      </c>
      <c r="J88" s="747">
        <v>480</v>
      </c>
      <c r="K88" s="466">
        <f t="shared" ref="K88:K91" si="49">+L88-E88</f>
        <v>450</v>
      </c>
      <c r="L88" s="468">
        <f t="shared" ref="L88:L103" si="50">+J88-D88</f>
        <v>450</v>
      </c>
      <c r="M88" s="469">
        <f t="shared" ref="M88:M91" si="51">IFERROR(K88/L88,"-")</f>
        <v>1</v>
      </c>
      <c r="N88" s="470">
        <f>+O88-C88</f>
        <v>420</v>
      </c>
      <c r="O88" s="468">
        <f t="shared" ref="O88:O103" si="52">+K88</f>
        <v>450</v>
      </c>
      <c r="P88" s="471">
        <f>IFERROR(N88/O88,"-")</f>
        <v>0.93333333333333335</v>
      </c>
      <c r="Q88" s="468">
        <f t="shared" ref="Q88:Q102" si="53">IFERROR(N88-(J88-(J88*H88/G88)),"-")</f>
        <v>397.03617269544924</v>
      </c>
      <c r="R88" s="468">
        <f t="shared" ref="R88:R102" si="54">+N88</f>
        <v>420</v>
      </c>
      <c r="S88" s="472">
        <f t="shared" ref="S88:S102" si="55">IFERROR(Q88/R88,"-")</f>
        <v>0.94532422070345057</v>
      </c>
      <c r="T88" s="473">
        <f t="shared" ref="T88:T102" si="56">IFERROR(M88*P88*S88,"-")</f>
        <v>0.88230260598988719</v>
      </c>
    </row>
    <row r="89" spans="1:20" ht="24.6" customHeight="1" x14ac:dyDescent="0.25">
      <c r="A89" s="248" t="s">
        <v>103</v>
      </c>
      <c r="B89" s="249" t="s">
        <v>213</v>
      </c>
      <c r="C89" s="466">
        <f t="shared" si="47"/>
        <v>0</v>
      </c>
      <c r="D89" s="250"/>
      <c r="E89" s="251"/>
      <c r="F89" s="594">
        <v>80000</v>
      </c>
      <c r="G89" s="468">
        <f t="shared" si="48"/>
        <v>0</v>
      </c>
      <c r="H89" s="254"/>
      <c r="I89" s="755"/>
      <c r="J89" s="747"/>
      <c r="K89" s="466">
        <f t="shared" si="49"/>
        <v>0</v>
      </c>
      <c r="L89" s="468">
        <f t="shared" si="50"/>
        <v>0</v>
      </c>
      <c r="M89" s="469" t="str">
        <f t="shared" si="51"/>
        <v>-</v>
      </c>
      <c r="N89" s="470">
        <f t="shared" ref="N89:N102" si="57">+O89-C89</f>
        <v>0</v>
      </c>
      <c r="O89" s="468">
        <f t="shared" si="52"/>
        <v>0</v>
      </c>
      <c r="P89" s="471" t="str">
        <f t="shared" ref="P89:P102" si="58">IFERROR(N89/O89,"-")</f>
        <v>-</v>
      </c>
      <c r="Q89" s="468" t="str">
        <f t="shared" si="53"/>
        <v>-</v>
      </c>
      <c r="R89" s="468">
        <f t="shared" si="54"/>
        <v>0</v>
      </c>
      <c r="S89" s="472" t="str">
        <f t="shared" si="55"/>
        <v>-</v>
      </c>
      <c r="T89" s="473" t="str">
        <f t="shared" si="56"/>
        <v>-</v>
      </c>
    </row>
    <row r="90" spans="1:20" ht="24.6" customHeight="1" x14ac:dyDescent="0.25">
      <c r="A90" s="252" t="s">
        <v>103</v>
      </c>
      <c r="B90" s="249" t="s">
        <v>216</v>
      </c>
      <c r="C90" s="466">
        <f t="shared" si="47"/>
        <v>390</v>
      </c>
      <c r="D90" s="250">
        <v>30</v>
      </c>
      <c r="E90" s="251">
        <v>360</v>
      </c>
      <c r="F90" s="594">
        <v>220000</v>
      </c>
      <c r="G90" s="468">
        <f t="shared" si="48"/>
        <v>8722</v>
      </c>
      <c r="H90" s="254">
        <v>8448</v>
      </c>
      <c r="I90" s="755">
        <v>274</v>
      </c>
      <c r="J90" s="747">
        <v>480</v>
      </c>
      <c r="K90" s="466">
        <f t="shared" si="49"/>
        <v>90</v>
      </c>
      <c r="L90" s="468">
        <f t="shared" si="50"/>
        <v>450</v>
      </c>
      <c r="M90" s="469">
        <f t="shared" si="51"/>
        <v>0.2</v>
      </c>
      <c r="N90" s="470">
        <f t="shared" si="57"/>
        <v>-300</v>
      </c>
      <c r="O90" s="468">
        <f t="shared" si="52"/>
        <v>90</v>
      </c>
      <c r="P90" s="471">
        <f t="shared" si="58"/>
        <v>-3.3333333333333335</v>
      </c>
      <c r="Q90" s="468">
        <f t="shared" si="53"/>
        <v>-315.07911029580373</v>
      </c>
      <c r="R90" s="468">
        <f t="shared" si="54"/>
        <v>-300</v>
      </c>
      <c r="S90" s="472">
        <f t="shared" si="55"/>
        <v>1.0502637009860125</v>
      </c>
      <c r="T90" s="473">
        <f t="shared" si="56"/>
        <v>-0.70017580065734175</v>
      </c>
    </row>
    <row r="91" spans="1:20" ht="24.6" customHeight="1" x14ac:dyDescent="0.25">
      <c r="A91" s="248" t="s">
        <v>103</v>
      </c>
      <c r="B91" s="249" t="s">
        <v>215</v>
      </c>
      <c r="C91" s="466">
        <f t="shared" si="47"/>
        <v>480</v>
      </c>
      <c r="D91" s="250">
        <v>30</v>
      </c>
      <c r="E91" s="251">
        <v>450</v>
      </c>
      <c r="F91" s="594">
        <v>50000</v>
      </c>
      <c r="G91" s="468">
        <f t="shared" si="48"/>
        <v>0</v>
      </c>
      <c r="H91" s="254"/>
      <c r="I91" s="755"/>
      <c r="J91" s="747">
        <v>480</v>
      </c>
      <c r="K91" s="466">
        <f t="shared" si="49"/>
        <v>0</v>
      </c>
      <c r="L91" s="468">
        <f t="shared" si="50"/>
        <v>450</v>
      </c>
      <c r="M91" s="469">
        <f t="shared" si="51"/>
        <v>0</v>
      </c>
      <c r="N91" s="470">
        <f t="shared" si="57"/>
        <v>-480</v>
      </c>
      <c r="O91" s="468">
        <f t="shared" si="52"/>
        <v>0</v>
      </c>
      <c r="P91" s="471" t="str">
        <f t="shared" si="58"/>
        <v>-</v>
      </c>
      <c r="Q91" s="468" t="str">
        <f t="shared" si="53"/>
        <v>-</v>
      </c>
      <c r="R91" s="468">
        <f t="shared" si="54"/>
        <v>-480</v>
      </c>
      <c r="S91" s="472" t="str">
        <f t="shared" si="55"/>
        <v>-</v>
      </c>
      <c r="T91" s="473" t="str">
        <f t="shared" si="56"/>
        <v>-</v>
      </c>
    </row>
    <row r="92" spans="1:20" ht="24.6" customHeight="1" x14ac:dyDescent="0.25">
      <c r="A92" s="248">
        <v>5</v>
      </c>
      <c r="B92" s="249" t="s">
        <v>22</v>
      </c>
      <c r="C92" s="466">
        <f t="shared" si="47"/>
        <v>0</v>
      </c>
      <c r="D92" s="250"/>
      <c r="E92" s="251"/>
      <c r="F92" s="594">
        <v>80000</v>
      </c>
      <c r="G92" s="468">
        <f t="shared" si="48"/>
        <v>0</v>
      </c>
      <c r="H92" s="467"/>
      <c r="I92" s="756"/>
      <c r="J92" s="747"/>
      <c r="K92" s="466">
        <f>+L92-E92</f>
        <v>0</v>
      </c>
      <c r="L92" s="468">
        <f t="shared" si="50"/>
        <v>0</v>
      </c>
      <c r="M92" s="469" t="str">
        <f>IFERROR(K92/L92,"-")</f>
        <v>-</v>
      </c>
      <c r="N92" s="470">
        <f t="shared" si="57"/>
        <v>0</v>
      </c>
      <c r="O92" s="468">
        <f t="shared" si="52"/>
        <v>0</v>
      </c>
      <c r="P92" s="471" t="str">
        <f t="shared" si="58"/>
        <v>-</v>
      </c>
      <c r="Q92" s="468" t="str">
        <f t="shared" si="53"/>
        <v>-</v>
      </c>
      <c r="R92" s="468">
        <f t="shared" si="54"/>
        <v>0</v>
      </c>
      <c r="S92" s="472" t="str">
        <f t="shared" si="55"/>
        <v>-</v>
      </c>
      <c r="T92" s="473" t="str">
        <f t="shared" si="56"/>
        <v>-</v>
      </c>
    </row>
    <row r="93" spans="1:20" ht="24.6" customHeight="1" x14ac:dyDescent="0.25">
      <c r="A93" s="248" t="s">
        <v>103</v>
      </c>
      <c r="B93" s="249" t="s">
        <v>23</v>
      </c>
      <c r="C93" s="466">
        <f t="shared" si="47"/>
        <v>30</v>
      </c>
      <c r="D93" s="250">
        <v>30</v>
      </c>
      <c r="E93" s="251"/>
      <c r="F93" s="594">
        <v>14000</v>
      </c>
      <c r="G93" s="468">
        <f t="shared" si="48"/>
        <v>13170</v>
      </c>
      <c r="H93" s="254">
        <v>13125</v>
      </c>
      <c r="I93" s="755">
        <v>45</v>
      </c>
      <c r="J93" s="747">
        <v>480</v>
      </c>
      <c r="K93" s="466">
        <f t="shared" ref="K93:K103" si="59">+L93-E93</f>
        <v>450</v>
      </c>
      <c r="L93" s="468">
        <f t="shared" si="50"/>
        <v>450</v>
      </c>
      <c r="M93" s="469">
        <f t="shared" ref="M93:M103" si="60">IFERROR(K93/L93,"-")</f>
        <v>1</v>
      </c>
      <c r="N93" s="470">
        <f t="shared" si="57"/>
        <v>420</v>
      </c>
      <c r="O93" s="468">
        <f t="shared" si="52"/>
        <v>450</v>
      </c>
      <c r="P93" s="471">
        <f t="shared" si="58"/>
        <v>0.93333333333333335</v>
      </c>
      <c r="Q93" s="468">
        <f t="shared" si="53"/>
        <v>418.3599088838269</v>
      </c>
      <c r="R93" s="468">
        <f t="shared" si="54"/>
        <v>420</v>
      </c>
      <c r="S93" s="472">
        <f t="shared" si="55"/>
        <v>0.9960950211519688</v>
      </c>
      <c r="T93" s="473">
        <f t="shared" si="56"/>
        <v>0.92968868640850422</v>
      </c>
    </row>
    <row r="94" spans="1:20" ht="24.6" customHeight="1" x14ac:dyDescent="0.25">
      <c r="A94" s="248" t="s">
        <v>103</v>
      </c>
      <c r="B94" s="253" t="s">
        <v>211</v>
      </c>
      <c r="C94" s="474">
        <f t="shared" si="47"/>
        <v>590</v>
      </c>
      <c r="D94" s="250">
        <f>30+30+60+20+30+60+30</f>
        <v>260</v>
      </c>
      <c r="E94" s="251">
        <f>180+60+90</f>
        <v>330</v>
      </c>
      <c r="F94" s="594">
        <v>4500</v>
      </c>
      <c r="G94" s="468">
        <f>+H94+I94</f>
        <v>38942</v>
      </c>
      <c r="H94" s="254">
        <f>21123+8411+9317</f>
        <v>38851</v>
      </c>
      <c r="I94" s="251">
        <f>70+21</f>
        <v>91</v>
      </c>
      <c r="J94" s="747">
        <f>960+480+480</f>
        <v>1920</v>
      </c>
      <c r="K94" s="474">
        <f t="shared" si="59"/>
        <v>1330</v>
      </c>
      <c r="L94" s="250">
        <f t="shared" si="50"/>
        <v>1660</v>
      </c>
      <c r="M94" s="475">
        <f t="shared" si="60"/>
        <v>0.8012048192771084</v>
      </c>
      <c r="N94" s="476">
        <f t="shared" si="57"/>
        <v>740</v>
      </c>
      <c r="O94" s="250">
        <f t="shared" si="52"/>
        <v>1330</v>
      </c>
      <c r="P94" s="477">
        <f t="shared" si="58"/>
        <v>0.55639097744360899</v>
      </c>
      <c r="Q94" s="250">
        <f t="shared" si="53"/>
        <v>735.51332751271116</v>
      </c>
      <c r="R94" s="250">
        <f t="shared" si="54"/>
        <v>740</v>
      </c>
      <c r="S94" s="478">
        <f t="shared" si="55"/>
        <v>0.99393692907123132</v>
      </c>
      <c r="T94" s="479">
        <f t="shared" si="56"/>
        <v>0.44308031777874163</v>
      </c>
    </row>
    <row r="95" spans="1:20" ht="24.6" customHeight="1" thickBot="1" x14ac:dyDescent="0.3">
      <c r="A95" s="255" t="s">
        <v>103</v>
      </c>
      <c r="B95" s="256" t="s">
        <v>212</v>
      </c>
      <c r="C95" s="480">
        <f t="shared" si="47"/>
        <v>915</v>
      </c>
      <c r="D95" s="257">
        <f>30+30+75+30+60+30+60</f>
        <v>315</v>
      </c>
      <c r="E95" s="258">
        <f>420+90+90</f>
        <v>600</v>
      </c>
      <c r="F95" s="598">
        <v>5000</v>
      </c>
      <c r="G95" s="490">
        <f t="shared" ref="G95:G102" si="61">+H95+I95</f>
        <v>40289</v>
      </c>
      <c r="H95" s="259">
        <f>23015+9168+7802</f>
        <v>39985</v>
      </c>
      <c r="I95" s="258">
        <f>161+63+80</f>
        <v>304</v>
      </c>
      <c r="J95" s="748">
        <f>960+480+480</f>
        <v>1920</v>
      </c>
      <c r="K95" s="480">
        <f t="shared" si="59"/>
        <v>1005</v>
      </c>
      <c r="L95" s="257">
        <f t="shared" si="50"/>
        <v>1605</v>
      </c>
      <c r="M95" s="481">
        <f t="shared" si="60"/>
        <v>0.62616822429906538</v>
      </c>
      <c r="N95" s="482">
        <f t="shared" si="57"/>
        <v>90</v>
      </c>
      <c r="O95" s="257">
        <f t="shared" si="52"/>
        <v>1005</v>
      </c>
      <c r="P95" s="483">
        <f t="shared" si="58"/>
        <v>8.9552238805970144E-2</v>
      </c>
      <c r="Q95" s="257">
        <f t="shared" si="53"/>
        <v>75.512670952369035</v>
      </c>
      <c r="R95" s="257">
        <f t="shared" si="54"/>
        <v>90</v>
      </c>
      <c r="S95" s="484">
        <f t="shared" si="55"/>
        <v>0.83902967724854483</v>
      </c>
      <c r="T95" s="485">
        <f t="shared" si="56"/>
        <v>4.7048393116740826E-2</v>
      </c>
    </row>
    <row r="96" spans="1:20" ht="24.6" customHeight="1" x14ac:dyDescent="0.25">
      <c r="A96" s="252" t="s">
        <v>101</v>
      </c>
      <c r="B96" s="260" t="s">
        <v>29</v>
      </c>
      <c r="C96" s="466">
        <f t="shared" si="47"/>
        <v>390</v>
      </c>
      <c r="D96" s="250">
        <f>30+30+120</f>
        <v>180</v>
      </c>
      <c r="E96" s="251">
        <f>155+55</f>
        <v>210</v>
      </c>
      <c r="F96" s="749">
        <v>160000</v>
      </c>
      <c r="G96" s="751">
        <f t="shared" si="61"/>
        <v>354893</v>
      </c>
      <c r="H96" s="749">
        <f>119340+75582+155142</f>
        <v>350064</v>
      </c>
      <c r="I96" s="750">
        <f>2101+1207+1521</f>
        <v>4829</v>
      </c>
      <c r="J96" s="752">
        <f>960+480+960</f>
        <v>2400</v>
      </c>
      <c r="K96" s="466">
        <f t="shared" si="59"/>
        <v>2010</v>
      </c>
      <c r="L96" s="468">
        <f t="shared" si="50"/>
        <v>2220</v>
      </c>
      <c r="M96" s="469">
        <f t="shared" si="60"/>
        <v>0.90540540540540537</v>
      </c>
      <c r="N96" s="470">
        <f t="shared" si="57"/>
        <v>1620</v>
      </c>
      <c r="O96" s="468">
        <f t="shared" si="52"/>
        <v>2010</v>
      </c>
      <c r="P96" s="471">
        <f t="shared" si="58"/>
        <v>0.80597014925373134</v>
      </c>
      <c r="Q96" s="468">
        <f t="shared" si="53"/>
        <v>1587.3433964603414</v>
      </c>
      <c r="R96" s="468">
        <f t="shared" si="54"/>
        <v>1620</v>
      </c>
      <c r="S96" s="486">
        <f t="shared" si="55"/>
        <v>0.97984160275329713</v>
      </c>
      <c r="T96" s="487">
        <f t="shared" si="56"/>
        <v>0.71501954795510869</v>
      </c>
    </row>
    <row r="97" spans="1:20" ht="24.6" customHeight="1" x14ac:dyDescent="0.25">
      <c r="A97" s="248" t="s">
        <v>101</v>
      </c>
      <c r="B97" s="260" t="s">
        <v>31</v>
      </c>
      <c r="C97" s="466">
        <f t="shared" si="47"/>
        <v>0</v>
      </c>
      <c r="D97" s="667"/>
      <c r="E97" s="251"/>
      <c r="F97" s="467">
        <v>50000</v>
      </c>
      <c r="G97" s="468">
        <f t="shared" si="61"/>
        <v>0</v>
      </c>
      <c r="H97" s="467"/>
      <c r="I97" s="600"/>
      <c r="J97" s="599"/>
      <c r="K97" s="466">
        <f t="shared" si="59"/>
        <v>0</v>
      </c>
      <c r="L97" s="468">
        <f t="shared" si="50"/>
        <v>0</v>
      </c>
      <c r="M97" s="469" t="str">
        <f t="shared" si="60"/>
        <v>-</v>
      </c>
      <c r="N97" s="470">
        <f t="shared" si="57"/>
        <v>0</v>
      </c>
      <c r="O97" s="468">
        <f t="shared" si="52"/>
        <v>0</v>
      </c>
      <c r="P97" s="471" t="str">
        <f t="shared" si="58"/>
        <v>-</v>
      </c>
      <c r="Q97" s="468" t="str">
        <f t="shared" si="53"/>
        <v>-</v>
      </c>
      <c r="R97" s="468">
        <f t="shared" si="54"/>
        <v>0</v>
      </c>
      <c r="S97" s="486" t="str">
        <f t="shared" si="55"/>
        <v>-</v>
      </c>
      <c r="T97" s="487" t="str">
        <f t="shared" si="56"/>
        <v>-</v>
      </c>
    </row>
    <row r="98" spans="1:20" ht="24.6" customHeight="1" thickBot="1" x14ac:dyDescent="0.3">
      <c r="A98" s="255" t="s">
        <v>101</v>
      </c>
      <c r="B98" s="261" t="s">
        <v>32</v>
      </c>
      <c r="C98" s="488">
        <f t="shared" si="47"/>
        <v>0</v>
      </c>
      <c r="D98" s="257"/>
      <c r="E98" s="258"/>
      <c r="F98" s="489">
        <v>110000</v>
      </c>
      <c r="G98" s="490">
        <f t="shared" si="61"/>
        <v>0</v>
      </c>
      <c r="H98" s="489"/>
      <c r="I98" s="601"/>
      <c r="J98" s="602"/>
      <c r="K98" s="488">
        <f t="shared" si="59"/>
        <v>0</v>
      </c>
      <c r="L98" s="490">
        <f t="shared" si="50"/>
        <v>0</v>
      </c>
      <c r="M98" s="491" t="str">
        <f t="shared" si="60"/>
        <v>-</v>
      </c>
      <c r="N98" s="492">
        <f t="shared" si="57"/>
        <v>0</v>
      </c>
      <c r="O98" s="490">
        <f t="shared" si="52"/>
        <v>0</v>
      </c>
      <c r="P98" s="493" t="str">
        <f t="shared" si="58"/>
        <v>-</v>
      </c>
      <c r="Q98" s="490" t="str">
        <f t="shared" si="53"/>
        <v>-</v>
      </c>
      <c r="R98" s="490">
        <f t="shared" si="54"/>
        <v>0</v>
      </c>
      <c r="S98" s="494" t="str">
        <f t="shared" si="55"/>
        <v>-</v>
      </c>
      <c r="T98" s="495" t="str">
        <f t="shared" si="56"/>
        <v>-</v>
      </c>
    </row>
    <row r="99" spans="1:20" ht="24.6" customHeight="1" x14ac:dyDescent="0.25">
      <c r="A99" s="248" t="s">
        <v>102</v>
      </c>
      <c r="B99" s="249" t="s">
        <v>218</v>
      </c>
      <c r="C99" s="466">
        <f t="shared" si="47"/>
        <v>0</v>
      </c>
      <c r="D99" s="250"/>
      <c r="E99" s="251"/>
      <c r="F99" s="467">
        <v>6500</v>
      </c>
      <c r="G99" s="468">
        <f t="shared" si="61"/>
        <v>0</v>
      </c>
      <c r="H99" s="467"/>
      <c r="I99" s="600"/>
      <c r="J99" s="599"/>
      <c r="K99" s="466">
        <f t="shared" si="59"/>
        <v>0</v>
      </c>
      <c r="L99" s="468">
        <f t="shared" si="50"/>
        <v>0</v>
      </c>
      <c r="M99" s="469" t="str">
        <f t="shared" si="60"/>
        <v>-</v>
      </c>
      <c r="N99" s="470">
        <f t="shared" si="57"/>
        <v>0</v>
      </c>
      <c r="O99" s="468">
        <f t="shared" si="52"/>
        <v>0</v>
      </c>
      <c r="P99" s="471" t="str">
        <f t="shared" si="58"/>
        <v>-</v>
      </c>
      <c r="Q99" s="468" t="str">
        <f t="shared" si="53"/>
        <v>-</v>
      </c>
      <c r="R99" s="468">
        <f t="shared" si="54"/>
        <v>0</v>
      </c>
      <c r="S99" s="486" t="str">
        <f t="shared" si="55"/>
        <v>-</v>
      </c>
      <c r="T99" s="487" t="str">
        <f t="shared" si="56"/>
        <v>-</v>
      </c>
    </row>
    <row r="100" spans="1:20" ht="24.6" customHeight="1" x14ac:dyDescent="0.25">
      <c r="A100" s="252" t="s">
        <v>102</v>
      </c>
      <c r="B100" s="249" t="s">
        <v>38</v>
      </c>
      <c r="C100" s="466">
        <f t="shared" si="47"/>
        <v>0</v>
      </c>
      <c r="D100" s="250"/>
      <c r="E100" s="251"/>
      <c r="F100" s="467">
        <v>2800</v>
      </c>
      <c r="G100" s="468">
        <f t="shared" si="61"/>
        <v>0</v>
      </c>
      <c r="H100" s="467"/>
      <c r="I100" s="600"/>
      <c r="J100" s="599"/>
      <c r="K100" s="466">
        <f t="shared" si="59"/>
        <v>0</v>
      </c>
      <c r="L100" s="468">
        <f t="shared" si="50"/>
        <v>0</v>
      </c>
      <c r="M100" s="469" t="str">
        <f t="shared" si="60"/>
        <v>-</v>
      </c>
      <c r="N100" s="470">
        <f t="shared" si="57"/>
        <v>0</v>
      </c>
      <c r="O100" s="468">
        <f t="shared" si="52"/>
        <v>0</v>
      </c>
      <c r="P100" s="471" t="str">
        <f t="shared" si="58"/>
        <v>-</v>
      </c>
      <c r="Q100" s="468" t="str">
        <f t="shared" si="53"/>
        <v>-</v>
      </c>
      <c r="R100" s="468">
        <f t="shared" si="54"/>
        <v>0</v>
      </c>
      <c r="S100" s="486" t="str">
        <f t="shared" si="55"/>
        <v>-</v>
      </c>
      <c r="T100" s="487" t="str">
        <f t="shared" si="56"/>
        <v>-</v>
      </c>
    </row>
    <row r="101" spans="1:20" ht="24.6" customHeight="1" x14ac:dyDescent="0.25">
      <c r="A101" s="248" t="s">
        <v>102</v>
      </c>
      <c r="B101" s="249" t="s">
        <v>39</v>
      </c>
      <c r="C101" s="466">
        <f t="shared" si="47"/>
        <v>90</v>
      </c>
      <c r="D101" s="250">
        <f>30+30+30</f>
        <v>90</v>
      </c>
      <c r="E101" s="251"/>
      <c r="F101" s="467">
        <v>25000</v>
      </c>
      <c r="G101" s="468">
        <f t="shared" si="61"/>
        <v>111502</v>
      </c>
      <c r="H101" s="467">
        <f>70512+19296+20160</f>
        <v>109968</v>
      </c>
      <c r="I101" s="600">
        <f>1101+221+212</f>
        <v>1534</v>
      </c>
      <c r="J101" s="599">
        <f>480+480+480</f>
        <v>1440</v>
      </c>
      <c r="K101" s="466">
        <f t="shared" si="59"/>
        <v>1350</v>
      </c>
      <c r="L101" s="468">
        <f t="shared" si="50"/>
        <v>1350</v>
      </c>
      <c r="M101" s="469">
        <f t="shared" si="60"/>
        <v>1</v>
      </c>
      <c r="N101" s="470">
        <f t="shared" si="57"/>
        <v>1260</v>
      </c>
      <c r="O101" s="468">
        <f t="shared" si="52"/>
        <v>1350</v>
      </c>
      <c r="P101" s="471">
        <f t="shared" si="58"/>
        <v>0.93333333333333335</v>
      </c>
      <c r="Q101" s="468">
        <f t="shared" si="53"/>
        <v>1240.1890549048449</v>
      </c>
      <c r="R101" s="468">
        <f t="shared" si="54"/>
        <v>1260</v>
      </c>
      <c r="S101" s="486">
        <f t="shared" si="55"/>
        <v>0.98427702770225778</v>
      </c>
      <c r="T101" s="487">
        <f t="shared" si="56"/>
        <v>0.91865855918877393</v>
      </c>
    </row>
    <row r="102" spans="1:20" ht="45" customHeight="1" thickBot="1" x14ac:dyDescent="0.3">
      <c r="A102" s="604" t="s">
        <v>102</v>
      </c>
      <c r="B102" s="261" t="s">
        <v>217</v>
      </c>
      <c r="C102" s="605">
        <f t="shared" si="47"/>
        <v>60</v>
      </c>
      <c r="D102" s="606">
        <f>30+30</f>
        <v>60</v>
      </c>
      <c r="E102" s="607"/>
      <c r="F102" s="608">
        <v>25000</v>
      </c>
      <c r="G102" s="609">
        <f t="shared" si="61"/>
        <v>0</v>
      </c>
      <c r="H102" s="608"/>
      <c r="I102" s="610"/>
      <c r="J102" s="603">
        <f>480+480</f>
        <v>960</v>
      </c>
      <c r="K102" s="605">
        <f t="shared" si="59"/>
        <v>900</v>
      </c>
      <c r="L102" s="609">
        <f t="shared" si="50"/>
        <v>900</v>
      </c>
      <c r="M102" s="611">
        <f t="shared" si="60"/>
        <v>1</v>
      </c>
      <c r="N102" s="612">
        <f t="shared" si="57"/>
        <v>840</v>
      </c>
      <c r="O102" s="609">
        <f t="shared" si="52"/>
        <v>900</v>
      </c>
      <c r="P102" s="613">
        <f t="shared" si="58"/>
        <v>0.93333333333333335</v>
      </c>
      <c r="Q102" s="609" t="str">
        <f t="shared" si="53"/>
        <v>-</v>
      </c>
      <c r="R102" s="609">
        <f t="shared" si="54"/>
        <v>840</v>
      </c>
      <c r="S102" s="614" t="str">
        <f t="shared" si="55"/>
        <v>-</v>
      </c>
      <c r="T102" s="615" t="str">
        <f t="shared" si="56"/>
        <v>-</v>
      </c>
    </row>
    <row r="103" spans="1:20" ht="24.6" customHeight="1" x14ac:dyDescent="0.25">
      <c r="A103" s="230"/>
      <c r="B103" s="231"/>
      <c r="C103" s="232"/>
      <c r="D103" s="232"/>
      <c r="E103" s="232"/>
      <c r="F103" s="232"/>
      <c r="G103" s="233"/>
      <c r="H103" s="234"/>
      <c r="I103" s="232"/>
      <c r="J103" s="232"/>
      <c r="K103" s="232">
        <f t="shared" si="59"/>
        <v>0</v>
      </c>
      <c r="L103" s="232">
        <f t="shared" si="50"/>
        <v>0</v>
      </c>
      <c r="M103" s="234" t="str">
        <f t="shared" si="60"/>
        <v>-</v>
      </c>
      <c r="N103" s="232"/>
      <c r="O103" s="232">
        <f t="shared" si="52"/>
        <v>0</v>
      </c>
      <c r="P103" s="234"/>
      <c r="Q103" s="232"/>
      <c r="R103" s="232"/>
      <c r="S103" s="234"/>
      <c r="T103" s="234"/>
    </row>
    <row r="104" spans="1:20" ht="24.6" customHeight="1" x14ac:dyDescent="0.25">
      <c r="A104" s="230"/>
      <c r="B104" s="231"/>
      <c r="C104" s="232"/>
      <c r="D104" s="232"/>
      <c r="E104" s="232"/>
      <c r="F104" s="232"/>
      <c r="G104" s="233"/>
      <c r="H104" s="234"/>
      <c r="I104" s="232"/>
      <c r="J104" s="232"/>
      <c r="K104" s="232"/>
      <c r="L104" s="232"/>
      <c r="M104" s="234"/>
      <c r="N104" s="232"/>
      <c r="O104" s="232"/>
      <c r="P104" s="234"/>
      <c r="Q104" s="232"/>
      <c r="R104" s="232"/>
      <c r="S104" s="234"/>
      <c r="T104" s="234"/>
    </row>
    <row r="105" spans="1:20" ht="24.6" customHeight="1" x14ac:dyDescent="0.25">
      <c r="A105" s="230"/>
      <c r="B105" s="231"/>
      <c r="C105" s="232"/>
      <c r="D105" s="232"/>
      <c r="E105" s="232"/>
      <c r="F105" s="232"/>
      <c r="G105" s="233"/>
      <c r="H105" s="234"/>
      <c r="I105" s="232"/>
      <c r="J105" s="232"/>
      <c r="K105" s="232"/>
      <c r="L105" s="232"/>
      <c r="M105" s="234"/>
      <c r="N105" s="232"/>
      <c r="O105" s="232"/>
      <c r="P105" s="234"/>
      <c r="Q105" s="232"/>
      <c r="R105" s="232"/>
      <c r="S105" s="234"/>
      <c r="T105" s="234"/>
    </row>
    <row r="106" spans="1:20" ht="24.6" customHeight="1" x14ac:dyDescent="0.25">
      <c r="A106" s="230"/>
      <c r="B106" s="231"/>
      <c r="C106" s="232"/>
      <c r="D106" s="232"/>
      <c r="E106" s="232"/>
      <c r="F106" s="232"/>
      <c r="G106" s="233"/>
      <c r="H106" s="234"/>
      <c r="I106" s="232"/>
      <c r="J106" s="232"/>
      <c r="K106" s="232"/>
      <c r="L106" s="232"/>
      <c r="M106" s="234"/>
      <c r="N106" s="232"/>
      <c r="O106" s="232"/>
      <c r="P106" s="234"/>
      <c r="Q106" s="232"/>
      <c r="R106" s="232"/>
      <c r="S106" s="234"/>
      <c r="T106" s="234"/>
    </row>
    <row r="107" spans="1:20" ht="24.6" customHeight="1" thickBot="1" x14ac:dyDescent="0.3">
      <c r="A107" s="230"/>
      <c r="B107" s="231"/>
      <c r="C107" s="232"/>
      <c r="D107" s="232"/>
      <c r="E107" s="232"/>
      <c r="F107" s="232"/>
      <c r="G107" s="233"/>
      <c r="H107" s="234"/>
      <c r="I107" s="232"/>
      <c r="J107" s="232"/>
      <c r="K107" s="232"/>
      <c r="L107" s="232"/>
      <c r="M107" s="234"/>
      <c r="N107" s="232"/>
      <c r="O107" s="232"/>
      <c r="P107" s="234"/>
      <c r="Q107" s="232"/>
      <c r="R107" s="232"/>
      <c r="S107" s="234"/>
      <c r="T107" s="234"/>
    </row>
    <row r="108" spans="1:20" ht="28.5" customHeight="1" x14ac:dyDescent="0.25">
      <c r="A108" s="935" t="s">
        <v>1</v>
      </c>
      <c r="B108" s="935" t="s">
        <v>2</v>
      </c>
      <c r="C108" s="890" t="s">
        <v>206</v>
      </c>
      <c r="D108" s="891"/>
      <c r="E108" s="892"/>
      <c r="F108" s="890" t="s">
        <v>501</v>
      </c>
      <c r="G108" s="891"/>
      <c r="H108" s="891"/>
      <c r="I108" s="892"/>
      <c r="J108" s="935" t="s">
        <v>203</v>
      </c>
      <c r="K108" s="890" t="s">
        <v>191</v>
      </c>
      <c r="L108" s="891"/>
      <c r="M108" s="892"/>
      <c r="N108" s="890" t="s">
        <v>192</v>
      </c>
      <c r="O108" s="891"/>
      <c r="P108" s="892"/>
      <c r="Q108" s="890" t="s">
        <v>193</v>
      </c>
      <c r="R108" s="891"/>
      <c r="S108" s="892"/>
      <c r="T108" s="990" t="s">
        <v>190</v>
      </c>
    </row>
    <row r="109" spans="1:20" ht="91.5" customHeight="1" thickBot="1" x14ac:dyDescent="0.3">
      <c r="A109" s="937"/>
      <c r="B109" s="937"/>
      <c r="C109" s="235" t="s">
        <v>207</v>
      </c>
      <c r="D109" s="236" t="s">
        <v>204</v>
      </c>
      <c r="E109" s="237" t="s">
        <v>205</v>
      </c>
      <c r="F109" s="238" t="s">
        <v>324</v>
      </c>
      <c r="G109" s="236" t="s">
        <v>200</v>
      </c>
      <c r="H109" s="239" t="s">
        <v>201</v>
      </c>
      <c r="I109" s="240" t="s">
        <v>202</v>
      </c>
      <c r="J109" s="937"/>
      <c r="K109" s="235" t="s">
        <v>194</v>
      </c>
      <c r="L109" s="239" t="s">
        <v>195</v>
      </c>
      <c r="M109" s="241" t="s">
        <v>208</v>
      </c>
      <c r="N109" s="242" t="s">
        <v>196</v>
      </c>
      <c r="O109" s="239" t="s">
        <v>197</v>
      </c>
      <c r="P109" s="241" t="s">
        <v>209</v>
      </c>
      <c r="Q109" s="235" t="s">
        <v>198</v>
      </c>
      <c r="R109" s="239" t="s">
        <v>199</v>
      </c>
      <c r="S109" s="243" t="s">
        <v>210</v>
      </c>
      <c r="T109" s="991"/>
    </row>
    <row r="110" spans="1:20" ht="24.6" customHeight="1" x14ac:dyDescent="0.25">
      <c r="A110" s="244" t="s">
        <v>103</v>
      </c>
      <c r="B110" s="245" t="s">
        <v>16</v>
      </c>
      <c r="C110" s="459">
        <f>+D110+E110</f>
        <v>0</v>
      </c>
      <c r="D110" s="246"/>
      <c r="E110" s="247"/>
      <c r="F110" s="593">
        <v>15000</v>
      </c>
      <c r="G110" s="460">
        <f>+H110+I110</f>
        <v>0</v>
      </c>
      <c r="H110" s="597"/>
      <c r="I110" s="754"/>
      <c r="J110" s="753"/>
      <c r="K110" s="459">
        <f>+L110-E110</f>
        <v>0</v>
      </c>
      <c r="L110" s="460">
        <f>+J110-D110</f>
        <v>0</v>
      </c>
      <c r="M110" s="461" t="str">
        <f>IFERROR(K110/L110,"-")</f>
        <v>-</v>
      </c>
      <c r="N110" s="462">
        <f>+O110-C110</f>
        <v>0</v>
      </c>
      <c r="O110" s="460">
        <f>+K110</f>
        <v>0</v>
      </c>
      <c r="P110" s="463" t="str">
        <f>IFERROR(N110/O110,"-")</f>
        <v>-</v>
      </c>
      <c r="Q110" s="460" t="str">
        <f>IFERROR(N110-(J110-(J110*H110/G110)),"-")</f>
        <v>-</v>
      </c>
      <c r="R110" s="460">
        <f>+N110</f>
        <v>0</v>
      </c>
      <c r="S110" s="464" t="str">
        <f>IFERROR(Q110/R110,"-")</f>
        <v>-</v>
      </c>
      <c r="T110" s="465" t="str">
        <f>IFERROR(M110*P110*S110,"-")</f>
        <v>-</v>
      </c>
    </row>
    <row r="111" spans="1:20" ht="24.6" customHeight="1" x14ac:dyDescent="0.25">
      <c r="A111" s="248" t="s">
        <v>103</v>
      </c>
      <c r="B111" s="249" t="s">
        <v>214</v>
      </c>
      <c r="C111" s="466">
        <f t="shared" ref="C111:C125" si="62">+D111+E111</f>
        <v>30</v>
      </c>
      <c r="D111" s="250">
        <v>30</v>
      </c>
      <c r="E111" s="251"/>
      <c r="F111" s="594">
        <v>100000</v>
      </c>
      <c r="G111" s="468">
        <f t="shared" ref="G111:G116" si="63">+H111+I111</f>
        <v>37505</v>
      </c>
      <c r="H111" s="254">
        <v>37340</v>
      </c>
      <c r="I111" s="755">
        <v>165</v>
      </c>
      <c r="J111" s="747">
        <v>480</v>
      </c>
      <c r="K111" s="466">
        <f t="shared" ref="K111:K114" si="64">+L111-E111</f>
        <v>450</v>
      </c>
      <c r="L111" s="468">
        <f t="shared" ref="L111:L126" si="65">+J111-D111</f>
        <v>450</v>
      </c>
      <c r="M111" s="469">
        <f t="shared" ref="M111:M114" si="66">IFERROR(K111/L111,"-")</f>
        <v>1</v>
      </c>
      <c r="N111" s="470">
        <f>+O111-C111</f>
        <v>420</v>
      </c>
      <c r="O111" s="468">
        <f t="shared" ref="O111:O126" si="67">+K111</f>
        <v>450</v>
      </c>
      <c r="P111" s="471">
        <f>IFERROR(N111/O111,"-")</f>
        <v>0.93333333333333335</v>
      </c>
      <c r="Q111" s="468">
        <f t="shared" ref="Q111:Q125" si="68">IFERROR(N111-(J111-(J111*H111/G111)),"-")</f>
        <v>417.88828156245836</v>
      </c>
      <c r="R111" s="468">
        <f t="shared" ref="R111:R125" si="69">+N111</f>
        <v>420</v>
      </c>
      <c r="S111" s="472">
        <f t="shared" ref="S111:S125" si="70">IFERROR(Q111/R111,"-")</f>
        <v>0.99497209895823424</v>
      </c>
      <c r="T111" s="473">
        <f t="shared" ref="T111:T125" si="71">IFERROR(M111*P111*S111,"-")</f>
        <v>0.92864062569435202</v>
      </c>
    </row>
    <row r="112" spans="1:20" ht="24.6" customHeight="1" x14ac:dyDescent="0.25">
      <c r="A112" s="248" t="s">
        <v>103</v>
      </c>
      <c r="B112" s="249" t="s">
        <v>213</v>
      </c>
      <c r="C112" s="466">
        <f t="shared" si="62"/>
        <v>0</v>
      </c>
      <c r="D112" s="250"/>
      <c r="E112" s="251"/>
      <c r="F112" s="594">
        <v>80000</v>
      </c>
      <c r="G112" s="468">
        <f t="shared" si="63"/>
        <v>0</v>
      </c>
      <c r="H112" s="254"/>
      <c r="I112" s="755"/>
      <c r="J112" s="747"/>
      <c r="K112" s="466">
        <f t="shared" si="64"/>
        <v>0</v>
      </c>
      <c r="L112" s="468">
        <f t="shared" si="65"/>
        <v>0</v>
      </c>
      <c r="M112" s="469" t="str">
        <f t="shared" si="66"/>
        <v>-</v>
      </c>
      <c r="N112" s="470">
        <f t="shared" ref="N112:N125" si="72">+O112-C112</f>
        <v>0</v>
      </c>
      <c r="O112" s="468">
        <f t="shared" si="67"/>
        <v>0</v>
      </c>
      <c r="P112" s="471" t="str">
        <f t="shared" ref="P112:P125" si="73">IFERROR(N112/O112,"-")</f>
        <v>-</v>
      </c>
      <c r="Q112" s="468" t="str">
        <f t="shared" si="68"/>
        <v>-</v>
      </c>
      <c r="R112" s="468">
        <f t="shared" si="69"/>
        <v>0</v>
      </c>
      <c r="S112" s="472" t="str">
        <f t="shared" si="70"/>
        <v>-</v>
      </c>
      <c r="T112" s="473" t="str">
        <f t="shared" si="71"/>
        <v>-</v>
      </c>
    </row>
    <row r="113" spans="1:20" ht="24.6" customHeight="1" x14ac:dyDescent="0.25">
      <c r="A113" s="252" t="s">
        <v>103</v>
      </c>
      <c r="B113" s="249" t="s">
        <v>216</v>
      </c>
      <c r="C113" s="466">
        <f t="shared" si="62"/>
        <v>30</v>
      </c>
      <c r="D113" s="250">
        <v>30</v>
      </c>
      <c r="E113" s="251"/>
      <c r="F113" s="594">
        <v>220000</v>
      </c>
      <c r="G113" s="468">
        <f t="shared" si="63"/>
        <v>17118</v>
      </c>
      <c r="H113" s="254">
        <v>16896</v>
      </c>
      <c r="I113" s="755">
        <v>222</v>
      </c>
      <c r="J113" s="747">
        <v>480</v>
      </c>
      <c r="K113" s="466">
        <f t="shared" si="64"/>
        <v>450</v>
      </c>
      <c r="L113" s="468">
        <f t="shared" si="65"/>
        <v>450</v>
      </c>
      <c r="M113" s="469">
        <f t="shared" si="66"/>
        <v>1</v>
      </c>
      <c r="N113" s="470">
        <f t="shared" si="72"/>
        <v>420</v>
      </c>
      <c r="O113" s="468">
        <f t="shared" si="67"/>
        <v>450</v>
      </c>
      <c r="P113" s="471">
        <f t="shared" si="73"/>
        <v>0.93333333333333335</v>
      </c>
      <c r="Q113" s="468">
        <f t="shared" si="68"/>
        <v>413.77497371188224</v>
      </c>
      <c r="R113" s="468">
        <f t="shared" si="69"/>
        <v>420</v>
      </c>
      <c r="S113" s="472">
        <f t="shared" si="70"/>
        <v>0.98517850883781488</v>
      </c>
      <c r="T113" s="473">
        <f t="shared" si="71"/>
        <v>0.91949994158196058</v>
      </c>
    </row>
    <row r="114" spans="1:20" ht="24.6" customHeight="1" x14ac:dyDescent="0.25">
      <c r="A114" s="248" t="s">
        <v>103</v>
      </c>
      <c r="B114" s="249" t="s">
        <v>215</v>
      </c>
      <c r="C114" s="466">
        <f t="shared" si="62"/>
        <v>0</v>
      </c>
      <c r="D114" s="250"/>
      <c r="E114" s="251"/>
      <c r="F114" s="594">
        <v>50000</v>
      </c>
      <c r="G114" s="468">
        <f t="shared" si="63"/>
        <v>0</v>
      </c>
      <c r="H114" s="254"/>
      <c r="I114" s="755"/>
      <c r="J114" s="747">
        <v>480</v>
      </c>
      <c r="K114" s="466">
        <f t="shared" si="64"/>
        <v>480</v>
      </c>
      <c r="L114" s="468">
        <f t="shared" si="65"/>
        <v>480</v>
      </c>
      <c r="M114" s="469">
        <f t="shared" si="66"/>
        <v>1</v>
      </c>
      <c r="N114" s="470">
        <f t="shared" si="72"/>
        <v>480</v>
      </c>
      <c r="O114" s="468">
        <f t="shared" si="67"/>
        <v>480</v>
      </c>
      <c r="P114" s="471">
        <f t="shared" si="73"/>
        <v>1</v>
      </c>
      <c r="Q114" s="468" t="str">
        <f t="shared" si="68"/>
        <v>-</v>
      </c>
      <c r="R114" s="468">
        <f t="shared" si="69"/>
        <v>480</v>
      </c>
      <c r="S114" s="472" t="str">
        <f t="shared" si="70"/>
        <v>-</v>
      </c>
      <c r="T114" s="473" t="str">
        <f t="shared" si="71"/>
        <v>-</v>
      </c>
    </row>
    <row r="115" spans="1:20" ht="24.6" customHeight="1" x14ac:dyDescent="0.25">
      <c r="A115" s="248">
        <v>5</v>
      </c>
      <c r="B115" s="249" t="s">
        <v>22</v>
      </c>
      <c r="C115" s="466">
        <f t="shared" si="62"/>
        <v>0</v>
      </c>
      <c r="D115" s="250"/>
      <c r="E115" s="251"/>
      <c r="F115" s="594">
        <v>80000</v>
      </c>
      <c r="G115" s="468">
        <f t="shared" si="63"/>
        <v>0</v>
      </c>
      <c r="H115" s="467"/>
      <c r="I115" s="756"/>
      <c r="J115" s="747"/>
      <c r="K115" s="466">
        <f>+L115-E115</f>
        <v>0</v>
      </c>
      <c r="L115" s="468">
        <f t="shared" si="65"/>
        <v>0</v>
      </c>
      <c r="M115" s="469" t="str">
        <f>IFERROR(K115/L115,"-")</f>
        <v>-</v>
      </c>
      <c r="N115" s="470">
        <f t="shared" si="72"/>
        <v>0</v>
      </c>
      <c r="O115" s="468">
        <f t="shared" si="67"/>
        <v>0</v>
      </c>
      <c r="P115" s="471" t="str">
        <f t="shared" si="73"/>
        <v>-</v>
      </c>
      <c r="Q115" s="468" t="str">
        <f t="shared" si="68"/>
        <v>-</v>
      </c>
      <c r="R115" s="468">
        <f t="shared" si="69"/>
        <v>0</v>
      </c>
      <c r="S115" s="472" t="str">
        <f t="shared" si="70"/>
        <v>-</v>
      </c>
      <c r="T115" s="473" t="str">
        <f t="shared" si="71"/>
        <v>-</v>
      </c>
    </row>
    <row r="116" spans="1:20" ht="24.6" customHeight="1" x14ac:dyDescent="0.25">
      <c r="A116" s="248" t="s">
        <v>103</v>
      </c>
      <c r="B116" s="249" t="s">
        <v>23</v>
      </c>
      <c r="C116" s="466">
        <f t="shared" si="62"/>
        <v>30</v>
      </c>
      <c r="D116" s="250">
        <v>30</v>
      </c>
      <c r="E116" s="251"/>
      <c r="F116" s="594">
        <v>14000</v>
      </c>
      <c r="G116" s="468">
        <f t="shared" si="63"/>
        <v>4397</v>
      </c>
      <c r="H116" s="254">
        <v>4375</v>
      </c>
      <c r="I116" s="755">
        <v>22</v>
      </c>
      <c r="J116" s="747">
        <v>480</v>
      </c>
      <c r="K116" s="466">
        <f t="shared" ref="K116:K126" si="74">+L116-E116</f>
        <v>450</v>
      </c>
      <c r="L116" s="468">
        <f t="shared" si="65"/>
        <v>450</v>
      </c>
      <c r="M116" s="469">
        <f t="shared" ref="M116:M126" si="75">IFERROR(K116/L116,"-")</f>
        <v>1</v>
      </c>
      <c r="N116" s="470">
        <f t="shared" si="72"/>
        <v>420</v>
      </c>
      <c r="O116" s="468">
        <f t="shared" si="67"/>
        <v>450</v>
      </c>
      <c r="P116" s="471">
        <f t="shared" si="73"/>
        <v>0.93333333333333335</v>
      </c>
      <c r="Q116" s="468">
        <f t="shared" si="68"/>
        <v>417.59836251989992</v>
      </c>
      <c r="R116" s="468">
        <f t="shared" si="69"/>
        <v>420</v>
      </c>
      <c r="S116" s="472">
        <f t="shared" si="70"/>
        <v>0.9942818155235712</v>
      </c>
      <c r="T116" s="473">
        <f t="shared" si="71"/>
        <v>0.92799636115533313</v>
      </c>
    </row>
    <row r="117" spans="1:20" ht="24.6" customHeight="1" x14ac:dyDescent="0.25">
      <c r="A117" s="248" t="s">
        <v>103</v>
      </c>
      <c r="B117" s="253" t="s">
        <v>211</v>
      </c>
      <c r="C117" s="474">
        <f t="shared" si="62"/>
        <v>305</v>
      </c>
      <c r="D117" s="250">
        <v>60</v>
      </c>
      <c r="E117" s="251">
        <v>245</v>
      </c>
      <c r="F117" s="594">
        <v>4500</v>
      </c>
      <c r="G117" s="468">
        <f>+H117+I117</f>
        <v>20225</v>
      </c>
      <c r="H117" s="254">
        <v>20087</v>
      </c>
      <c r="I117" s="251">
        <v>138</v>
      </c>
      <c r="J117" s="747">
        <v>960</v>
      </c>
      <c r="K117" s="474">
        <f t="shared" si="74"/>
        <v>655</v>
      </c>
      <c r="L117" s="250">
        <f t="shared" si="65"/>
        <v>900</v>
      </c>
      <c r="M117" s="475">
        <f t="shared" si="75"/>
        <v>0.72777777777777775</v>
      </c>
      <c r="N117" s="476">
        <f t="shared" si="72"/>
        <v>350</v>
      </c>
      <c r="O117" s="250">
        <f t="shared" si="67"/>
        <v>655</v>
      </c>
      <c r="P117" s="477">
        <f t="shared" si="73"/>
        <v>0.53435114503816794</v>
      </c>
      <c r="Q117" s="250">
        <f t="shared" si="68"/>
        <v>343.44969097651426</v>
      </c>
      <c r="R117" s="250">
        <f t="shared" si="69"/>
        <v>350</v>
      </c>
      <c r="S117" s="478">
        <f t="shared" si="70"/>
        <v>0.98128483136146927</v>
      </c>
      <c r="T117" s="479">
        <f t="shared" si="71"/>
        <v>0.38161076775168251</v>
      </c>
    </row>
    <row r="118" spans="1:20" ht="24.6" customHeight="1" thickBot="1" x14ac:dyDescent="0.3">
      <c r="A118" s="255" t="s">
        <v>103</v>
      </c>
      <c r="B118" s="256" t="s">
        <v>212</v>
      </c>
      <c r="C118" s="480">
        <f t="shared" si="62"/>
        <v>600</v>
      </c>
      <c r="D118" s="257">
        <v>60</v>
      </c>
      <c r="E118" s="258">
        <v>540</v>
      </c>
      <c r="F118" s="598">
        <v>5000</v>
      </c>
      <c r="G118" s="490">
        <f t="shared" ref="G118:G125" si="76">+H118+I118</f>
        <v>12382</v>
      </c>
      <c r="H118" s="259">
        <v>12329</v>
      </c>
      <c r="I118" s="258">
        <v>53</v>
      </c>
      <c r="J118" s="748">
        <v>960</v>
      </c>
      <c r="K118" s="480">
        <f t="shared" si="74"/>
        <v>360</v>
      </c>
      <c r="L118" s="257">
        <f t="shared" si="65"/>
        <v>900</v>
      </c>
      <c r="M118" s="481">
        <f t="shared" si="75"/>
        <v>0.4</v>
      </c>
      <c r="N118" s="482">
        <f t="shared" si="72"/>
        <v>-240</v>
      </c>
      <c r="O118" s="257">
        <f t="shared" si="67"/>
        <v>360</v>
      </c>
      <c r="P118" s="483">
        <f t="shared" si="73"/>
        <v>-0.66666666666666663</v>
      </c>
      <c r="Q118" s="257">
        <f t="shared" si="68"/>
        <v>-244.10919076078176</v>
      </c>
      <c r="R118" s="257">
        <f t="shared" si="69"/>
        <v>-240</v>
      </c>
      <c r="S118" s="484">
        <f t="shared" si="70"/>
        <v>1.017121628169924</v>
      </c>
      <c r="T118" s="485">
        <f t="shared" si="71"/>
        <v>-0.2712324341786464</v>
      </c>
    </row>
    <row r="119" spans="1:20" ht="24.6" customHeight="1" x14ac:dyDescent="0.25">
      <c r="A119" s="252" t="s">
        <v>101</v>
      </c>
      <c r="B119" s="260" t="s">
        <v>29</v>
      </c>
      <c r="C119" s="466">
        <f t="shared" si="62"/>
        <v>430</v>
      </c>
      <c r="D119" s="250">
        <v>120</v>
      </c>
      <c r="E119" s="251">
        <v>310</v>
      </c>
      <c r="F119" s="749">
        <v>160000</v>
      </c>
      <c r="G119" s="751">
        <f t="shared" si="76"/>
        <v>93851</v>
      </c>
      <c r="H119" s="749">
        <v>91494</v>
      </c>
      <c r="I119" s="750">
        <v>2357</v>
      </c>
      <c r="J119" s="752">
        <v>960</v>
      </c>
      <c r="K119" s="466">
        <f t="shared" si="74"/>
        <v>530</v>
      </c>
      <c r="L119" s="468">
        <f t="shared" si="65"/>
        <v>840</v>
      </c>
      <c r="M119" s="469">
        <f t="shared" si="75"/>
        <v>0.63095238095238093</v>
      </c>
      <c r="N119" s="470">
        <f t="shared" si="72"/>
        <v>100</v>
      </c>
      <c r="O119" s="468">
        <f t="shared" si="67"/>
        <v>530</v>
      </c>
      <c r="P119" s="471">
        <f t="shared" si="73"/>
        <v>0.18867924528301888</v>
      </c>
      <c r="Q119" s="468">
        <f t="shared" si="68"/>
        <v>75.890294189726319</v>
      </c>
      <c r="R119" s="468">
        <f t="shared" si="69"/>
        <v>100</v>
      </c>
      <c r="S119" s="486">
        <f t="shared" si="70"/>
        <v>0.75890294189726315</v>
      </c>
      <c r="T119" s="487">
        <f t="shared" si="71"/>
        <v>9.034558832110276E-2</v>
      </c>
    </row>
    <row r="120" spans="1:20" ht="24.6" customHeight="1" x14ac:dyDescent="0.25">
      <c r="A120" s="248" t="s">
        <v>101</v>
      </c>
      <c r="B120" s="260" t="s">
        <v>31</v>
      </c>
      <c r="C120" s="466">
        <f t="shared" si="62"/>
        <v>0</v>
      </c>
      <c r="D120" s="667"/>
      <c r="E120" s="251"/>
      <c r="F120" s="467">
        <v>50000</v>
      </c>
      <c r="G120" s="468">
        <f t="shared" si="76"/>
        <v>0</v>
      </c>
      <c r="H120" s="467"/>
      <c r="I120" s="600"/>
      <c r="J120" s="599"/>
      <c r="K120" s="466">
        <f t="shared" si="74"/>
        <v>0</v>
      </c>
      <c r="L120" s="468">
        <f t="shared" si="65"/>
        <v>0</v>
      </c>
      <c r="M120" s="469" t="str">
        <f t="shared" si="75"/>
        <v>-</v>
      </c>
      <c r="N120" s="470">
        <f t="shared" si="72"/>
        <v>0</v>
      </c>
      <c r="O120" s="468">
        <f t="shared" si="67"/>
        <v>0</v>
      </c>
      <c r="P120" s="471" t="str">
        <f t="shared" si="73"/>
        <v>-</v>
      </c>
      <c r="Q120" s="468" t="str">
        <f t="shared" si="68"/>
        <v>-</v>
      </c>
      <c r="R120" s="468">
        <f t="shared" si="69"/>
        <v>0</v>
      </c>
      <c r="S120" s="486" t="str">
        <f t="shared" si="70"/>
        <v>-</v>
      </c>
      <c r="T120" s="487" t="str">
        <f t="shared" si="71"/>
        <v>-</v>
      </c>
    </row>
    <row r="121" spans="1:20" ht="24.6" customHeight="1" thickBot="1" x14ac:dyDescent="0.3">
      <c r="A121" s="255" t="s">
        <v>101</v>
      </c>
      <c r="B121" s="261" t="s">
        <v>32</v>
      </c>
      <c r="C121" s="488">
        <f t="shared" si="62"/>
        <v>0</v>
      </c>
      <c r="D121" s="257"/>
      <c r="E121" s="258"/>
      <c r="F121" s="489">
        <v>110000</v>
      </c>
      <c r="G121" s="490">
        <f t="shared" si="76"/>
        <v>0</v>
      </c>
      <c r="H121" s="489"/>
      <c r="I121" s="601"/>
      <c r="J121" s="602"/>
      <c r="K121" s="488">
        <f t="shared" si="74"/>
        <v>0</v>
      </c>
      <c r="L121" s="490">
        <f t="shared" si="65"/>
        <v>0</v>
      </c>
      <c r="M121" s="491" t="str">
        <f t="shared" si="75"/>
        <v>-</v>
      </c>
      <c r="N121" s="492">
        <f t="shared" si="72"/>
        <v>0</v>
      </c>
      <c r="O121" s="490">
        <f t="shared" si="67"/>
        <v>0</v>
      </c>
      <c r="P121" s="493" t="str">
        <f t="shared" si="73"/>
        <v>-</v>
      </c>
      <c r="Q121" s="490" t="str">
        <f t="shared" si="68"/>
        <v>-</v>
      </c>
      <c r="R121" s="490">
        <f t="shared" si="69"/>
        <v>0</v>
      </c>
      <c r="S121" s="494" t="str">
        <f t="shared" si="70"/>
        <v>-</v>
      </c>
      <c r="T121" s="495" t="str">
        <f t="shared" si="71"/>
        <v>-</v>
      </c>
    </row>
    <row r="122" spans="1:20" ht="24.6" customHeight="1" x14ac:dyDescent="0.25">
      <c r="A122" s="248" t="s">
        <v>102</v>
      </c>
      <c r="B122" s="249" t="s">
        <v>218</v>
      </c>
      <c r="C122" s="466">
        <f t="shared" si="62"/>
        <v>0</v>
      </c>
      <c r="D122" s="250"/>
      <c r="E122" s="251"/>
      <c r="F122" s="467">
        <v>6500</v>
      </c>
      <c r="G122" s="468">
        <f t="shared" si="76"/>
        <v>0</v>
      </c>
      <c r="H122" s="467"/>
      <c r="I122" s="600"/>
      <c r="J122" s="599"/>
      <c r="K122" s="466">
        <f t="shared" si="74"/>
        <v>0</v>
      </c>
      <c r="L122" s="468">
        <f t="shared" si="65"/>
        <v>0</v>
      </c>
      <c r="M122" s="469" t="str">
        <f t="shared" si="75"/>
        <v>-</v>
      </c>
      <c r="N122" s="470">
        <f t="shared" si="72"/>
        <v>0</v>
      </c>
      <c r="O122" s="468">
        <f t="shared" si="67"/>
        <v>0</v>
      </c>
      <c r="P122" s="471" t="str">
        <f t="shared" si="73"/>
        <v>-</v>
      </c>
      <c r="Q122" s="468" t="str">
        <f t="shared" si="68"/>
        <v>-</v>
      </c>
      <c r="R122" s="468">
        <f t="shared" si="69"/>
        <v>0</v>
      </c>
      <c r="S122" s="486" t="str">
        <f t="shared" si="70"/>
        <v>-</v>
      </c>
      <c r="T122" s="487" t="str">
        <f t="shared" si="71"/>
        <v>-</v>
      </c>
    </row>
    <row r="123" spans="1:20" ht="24.6" customHeight="1" x14ac:dyDescent="0.25">
      <c r="A123" s="252" t="s">
        <v>102</v>
      </c>
      <c r="B123" s="249" t="s">
        <v>38</v>
      </c>
      <c r="C123" s="466">
        <f t="shared" si="62"/>
        <v>0</v>
      </c>
      <c r="D123" s="250"/>
      <c r="E123" s="251"/>
      <c r="F123" s="467">
        <v>2800</v>
      </c>
      <c r="G123" s="468">
        <f t="shared" si="76"/>
        <v>0</v>
      </c>
      <c r="H123" s="467"/>
      <c r="I123" s="600"/>
      <c r="J123" s="599"/>
      <c r="K123" s="466">
        <f t="shared" si="74"/>
        <v>0</v>
      </c>
      <c r="L123" s="468">
        <f t="shared" si="65"/>
        <v>0</v>
      </c>
      <c r="M123" s="469" t="str">
        <f t="shared" si="75"/>
        <v>-</v>
      </c>
      <c r="N123" s="470">
        <f t="shared" si="72"/>
        <v>0</v>
      </c>
      <c r="O123" s="468">
        <f t="shared" si="67"/>
        <v>0</v>
      </c>
      <c r="P123" s="471" t="str">
        <f t="shared" si="73"/>
        <v>-</v>
      </c>
      <c r="Q123" s="468" t="str">
        <f t="shared" si="68"/>
        <v>-</v>
      </c>
      <c r="R123" s="468">
        <f t="shared" si="69"/>
        <v>0</v>
      </c>
      <c r="S123" s="486" t="str">
        <f t="shared" si="70"/>
        <v>-</v>
      </c>
      <c r="T123" s="487" t="str">
        <f t="shared" si="71"/>
        <v>-</v>
      </c>
    </row>
    <row r="124" spans="1:20" ht="24.6" customHeight="1" x14ac:dyDescent="0.25">
      <c r="A124" s="248" t="s">
        <v>102</v>
      </c>
      <c r="B124" s="249" t="s">
        <v>39</v>
      </c>
      <c r="C124" s="466">
        <f t="shared" si="62"/>
        <v>0</v>
      </c>
      <c r="D124" s="250"/>
      <c r="E124" s="251"/>
      <c r="F124" s="467">
        <v>25000</v>
      </c>
      <c r="G124" s="468">
        <f t="shared" si="76"/>
        <v>0</v>
      </c>
      <c r="H124" s="467"/>
      <c r="I124" s="600"/>
      <c r="J124" s="599"/>
      <c r="K124" s="466">
        <f t="shared" si="74"/>
        <v>0</v>
      </c>
      <c r="L124" s="468">
        <f t="shared" si="65"/>
        <v>0</v>
      </c>
      <c r="M124" s="469" t="str">
        <f t="shared" si="75"/>
        <v>-</v>
      </c>
      <c r="N124" s="470">
        <f t="shared" si="72"/>
        <v>0</v>
      </c>
      <c r="O124" s="468">
        <f t="shared" si="67"/>
        <v>0</v>
      </c>
      <c r="P124" s="471" t="str">
        <f t="shared" si="73"/>
        <v>-</v>
      </c>
      <c r="Q124" s="468" t="str">
        <f t="shared" si="68"/>
        <v>-</v>
      </c>
      <c r="R124" s="468">
        <f t="shared" si="69"/>
        <v>0</v>
      </c>
      <c r="S124" s="486" t="str">
        <f t="shared" si="70"/>
        <v>-</v>
      </c>
      <c r="T124" s="487" t="str">
        <f t="shared" si="71"/>
        <v>-</v>
      </c>
    </row>
    <row r="125" spans="1:20" ht="45" customHeight="1" thickBot="1" x14ac:dyDescent="0.3">
      <c r="A125" s="604" t="s">
        <v>102</v>
      </c>
      <c r="B125" s="261" t="s">
        <v>217</v>
      </c>
      <c r="C125" s="605">
        <f t="shared" si="62"/>
        <v>0</v>
      </c>
      <c r="D125" s="606"/>
      <c r="E125" s="607"/>
      <c r="F125" s="608">
        <v>25000</v>
      </c>
      <c r="G125" s="609">
        <f t="shared" si="76"/>
        <v>0</v>
      </c>
      <c r="H125" s="608"/>
      <c r="I125" s="610"/>
      <c r="J125" s="603"/>
      <c r="K125" s="605">
        <f t="shared" si="74"/>
        <v>0</v>
      </c>
      <c r="L125" s="609">
        <f t="shared" si="65"/>
        <v>0</v>
      </c>
      <c r="M125" s="611" t="str">
        <f t="shared" si="75"/>
        <v>-</v>
      </c>
      <c r="N125" s="612">
        <f t="shared" si="72"/>
        <v>0</v>
      </c>
      <c r="O125" s="609">
        <f t="shared" si="67"/>
        <v>0</v>
      </c>
      <c r="P125" s="613" t="str">
        <f t="shared" si="73"/>
        <v>-</v>
      </c>
      <c r="Q125" s="609" t="str">
        <f t="shared" si="68"/>
        <v>-</v>
      </c>
      <c r="R125" s="609">
        <f t="shared" si="69"/>
        <v>0</v>
      </c>
      <c r="S125" s="614" t="str">
        <f t="shared" si="70"/>
        <v>-</v>
      </c>
      <c r="T125" s="615" t="str">
        <f t="shared" si="71"/>
        <v>-</v>
      </c>
    </row>
    <row r="126" spans="1:20" ht="24.6" customHeight="1" x14ac:dyDescent="0.25">
      <c r="A126" s="230"/>
      <c r="B126" s="231"/>
      <c r="C126" s="232"/>
      <c r="D126" s="232"/>
      <c r="E126" s="232"/>
      <c r="F126" s="232"/>
      <c r="G126" s="233"/>
      <c r="H126" s="234"/>
      <c r="I126" s="232"/>
      <c r="J126" s="232"/>
      <c r="K126" s="232">
        <f t="shared" si="74"/>
        <v>0</v>
      </c>
      <c r="L126" s="232">
        <f t="shared" si="65"/>
        <v>0</v>
      </c>
      <c r="M126" s="234" t="str">
        <f t="shared" si="75"/>
        <v>-</v>
      </c>
      <c r="N126" s="232"/>
      <c r="O126" s="232">
        <f t="shared" si="67"/>
        <v>0</v>
      </c>
      <c r="P126" s="234"/>
      <c r="Q126" s="232"/>
      <c r="R126" s="232"/>
      <c r="S126" s="234"/>
      <c r="T126" s="234"/>
    </row>
    <row r="127" spans="1:20" ht="24.6" customHeight="1" x14ac:dyDescent="0.25">
      <c r="A127" s="230"/>
      <c r="B127" s="231"/>
      <c r="C127" s="232"/>
      <c r="D127" s="232"/>
      <c r="E127" s="232"/>
      <c r="F127" s="232"/>
      <c r="G127" s="233"/>
      <c r="H127" s="234"/>
      <c r="I127" s="232"/>
      <c r="J127" s="232"/>
      <c r="K127" s="232"/>
      <c r="L127" s="232"/>
      <c r="M127" s="234"/>
      <c r="N127" s="232"/>
      <c r="O127" s="232"/>
      <c r="P127" s="234"/>
      <c r="Q127" s="232"/>
      <c r="R127" s="232"/>
      <c r="S127" s="234"/>
      <c r="T127" s="234"/>
    </row>
    <row r="128" spans="1:20" ht="24.6" customHeight="1" thickBot="1" x14ac:dyDescent="0.3">
      <c r="A128" s="230"/>
      <c r="B128" s="231"/>
      <c r="C128" s="232"/>
      <c r="D128" s="232"/>
      <c r="E128" s="232"/>
      <c r="F128" s="232"/>
      <c r="G128" s="233"/>
      <c r="H128" s="234"/>
      <c r="I128" s="232"/>
      <c r="J128" s="232"/>
      <c r="K128" s="232"/>
      <c r="L128" s="232"/>
      <c r="M128" s="234"/>
      <c r="N128" s="232"/>
      <c r="O128" s="232"/>
      <c r="P128" s="234"/>
      <c r="Q128" s="232"/>
      <c r="R128" s="232"/>
      <c r="S128" s="234"/>
      <c r="T128" s="234"/>
    </row>
    <row r="129" spans="1:20" ht="28.5" customHeight="1" x14ac:dyDescent="0.25">
      <c r="A129" s="935" t="s">
        <v>1</v>
      </c>
      <c r="B129" s="935" t="s">
        <v>2</v>
      </c>
      <c r="C129" s="890" t="s">
        <v>206</v>
      </c>
      <c r="D129" s="891"/>
      <c r="E129" s="892"/>
      <c r="F129" s="890" t="s">
        <v>496</v>
      </c>
      <c r="G129" s="891"/>
      <c r="H129" s="891"/>
      <c r="I129" s="892"/>
      <c r="J129" s="935" t="s">
        <v>203</v>
      </c>
      <c r="K129" s="890" t="s">
        <v>191</v>
      </c>
      <c r="L129" s="891"/>
      <c r="M129" s="892"/>
      <c r="N129" s="890" t="s">
        <v>192</v>
      </c>
      <c r="O129" s="891"/>
      <c r="P129" s="892"/>
      <c r="Q129" s="890" t="s">
        <v>193</v>
      </c>
      <c r="R129" s="891"/>
      <c r="S129" s="892"/>
      <c r="T129" s="990" t="s">
        <v>190</v>
      </c>
    </row>
    <row r="130" spans="1:20" ht="91.5" customHeight="1" thickBot="1" x14ac:dyDescent="0.3">
      <c r="A130" s="937"/>
      <c r="B130" s="937"/>
      <c r="C130" s="235" t="s">
        <v>207</v>
      </c>
      <c r="D130" s="236" t="s">
        <v>204</v>
      </c>
      <c r="E130" s="237" t="s">
        <v>205</v>
      </c>
      <c r="F130" s="238" t="s">
        <v>324</v>
      </c>
      <c r="G130" s="236" t="s">
        <v>200</v>
      </c>
      <c r="H130" s="239" t="s">
        <v>201</v>
      </c>
      <c r="I130" s="240" t="s">
        <v>202</v>
      </c>
      <c r="J130" s="937"/>
      <c r="K130" s="235" t="s">
        <v>194</v>
      </c>
      <c r="L130" s="239" t="s">
        <v>195</v>
      </c>
      <c r="M130" s="241" t="s">
        <v>208</v>
      </c>
      <c r="N130" s="242" t="s">
        <v>196</v>
      </c>
      <c r="O130" s="239" t="s">
        <v>197</v>
      </c>
      <c r="P130" s="241" t="s">
        <v>209</v>
      </c>
      <c r="Q130" s="235" t="s">
        <v>198</v>
      </c>
      <c r="R130" s="239" t="s">
        <v>199</v>
      </c>
      <c r="S130" s="243" t="s">
        <v>210</v>
      </c>
      <c r="T130" s="991"/>
    </row>
    <row r="131" spans="1:20" ht="24.6" customHeight="1" x14ac:dyDescent="0.25">
      <c r="A131" s="244" t="s">
        <v>103</v>
      </c>
      <c r="B131" s="245" t="s">
        <v>16</v>
      </c>
      <c r="C131" s="459">
        <f>+D131+E131</f>
        <v>0</v>
      </c>
      <c r="D131" s="246"/>
      <c r="E131" s="247"/>
      <c r="F131" s="593">
        <v>15000</v>
      </c>
      <c r="G131" s="460">
        <f>+H131+I131</f>
        <v>0</v>
      </c>
      <c r="H131" s="597"/>
      <c r="I131" s="754"/>
      <c r="J131" s="753"/>
      <c r="K131" s="459">
        <f>+L131-E131</f>
        <v>0</v>
      </c>
      <c r="L131" s="460">
        <f>+J131-D131</f>
        <v>0</v>
      </c>
      <c r="M131" s="461" t="str">
        <f>IFERROR(K131/L131,"-")</f>
        <v>-</v>
      </c>
      <c r="N131" s="462">
        <f>+O131-C131</f>
        <v>0</v>
      </c>
      <c r="O131" s="460">
        <f>+K131</f>
        <v>0</v>
      </c>
      <c r="P131" s="463" t="str">
        <f>IFERROR(N131/O131,"-")</f>
        <v>-</v>
      </c>
      <c r="Q131" s="460" t="str">
        <f>IFERROR(N131-(J131-(J131*H131/G131)),"-")</f>
        <v>-</v>
      </c>
      <c r="R131" s="460">
        <f>+N131</f>
        <v>0</v>
      </c>
      <c r="S131" s="464" t="str">
        <f>IFERROR(Q131/R131,"-")</f>
        <v>-</v>
      </c>
      <c r="T131" s="465" t="str">
        <f>IFERROR(M131*P131*S131,"-")</f>
        <v>-</v>
      </c>
    </row>
    <row r="132" spans="1:20" ht="24.6" customHeight="1" x14ac:dyDescent="0.25">
      <c r="A132" s="248" t="s">
        <v>103</v>
      </c>
      <c r="B132" s="249" t="s">
        <v>214</v>
      </c>
      <c r="C132" s="466">
        <f t="shared" ref="C132:C146" si="77">+D132+E132</f>
        <v>30</v>
      </c>
      <c r="D132" s="250">
        <v>30</v>
      </c>
      <c r="E132" s="251"/>
      <c r="F132" s="594">
        <v>100000</v>
      </c>
      <c r="G132" s="468">
        <f t="shared" ref="G132:G137" si="78">+H132+I132</f>
        <v>24095</v>
      </c>
      <c r="H132" s="254">
        <v>23860</v>
      </c>
      <c r="I132" s="755">
        <v>235</v>
      </c>
      <c r="J132" s="747">
        <v>480</v>
      </c>
      <c r="K132" s="466">
        <f t="shared" ref="K132:K135" si="79">+L132-E132</f>
        <v>450</v>
      </c>
      <c r="L132" s="468">
        <f t="shared" ref="L132:L147" si="80">+J132-D132</f>
        <v>450</v>
      </c>
      <c r="M132" s="469">
        <f t="shared" ref="M132:M135" si="81">IFERROR(K132/L132,"-")</f>
        <v>1</v>
      </c>
      <c r="N132" s="470">
        <f>+O132-C132</f>
        <v>420</v>
      </c>
      <c r="O132" s="468">
        <f t="shared" ref="O132:O147" si="82">+K132</f>
        <v>450</v>
      </c>
      <c r="P132" s="471">
        <f>IFERROR(N132/O132,"-")</f>
        <v>0.93333333333333335</v>
      </c>
      <c r="Q132" s="468">
        <f t="shared" ref="Q132:Q146" si="83">IFERROR(N132-(J132-(J132*H132/G132)),"-")</f>
        <v>415.31853081552191</v>
      </c>
      <c r="R132" s="468">
        <f t="shared" ref="R132:R146" si="84">+N132</f>
        <v>420</v>
      </c>
      <c r="S132" s="472">
        <f t="shared" ref="S132:S146" si="85">IFERROR(Q132/R132,"-")</f>
        <v>0.98885364479886173</v>
      </c>
      <c r="T132" s="473">
        <f t="shared" ref="T132:T146" si="86">IFERROR(M132*P132*S132,"-")</f>
        <v>0.92293006847893766</v>
      </c>
    </row>
    <row r="133" spans="1:20" ht="24.6" customHeight="1" x14ac:dyDescent="0.25">
      <c r="A133" s="248" t="s">
        <v>103</v>
      </c>
      <c r="B133" s="249" t="s">
        <v>213</v>
      </c>
      <c r="C133" s="466">
        <f t="shared" si="77"/>
        <v>0</v>
      </c>
      <c r="D133" s="250"/>
      <c r="E133" s="251"/>
      <c r="F133" s="594">
        <v>80000</v>
      </c>
      <c r="G133" s="468">
        <f t="shared" si="78"/>
        <v>0</v>
      </c>
      <c r="H133" s="254"/>
      <c r="I133" s="755"/>
      <c r="J133" s="747"/>
      <c r="K133" s="466">
        <f t="shared" si="79"/>
        <v>0</v>
      </c>
      <c r="L133" s="468">
        <f t="shared" si="80"/>
        <v>0</v>
      </c>
      <c r="M133" s="469" t="str">
        <f t="shared" si="81"/>
        <v>-</v>
      </c>
      <c r="N133" s="470">
        <f t="shared" ref="N133:N146" si="87">+O133-C133</f>
        <v>0</v>
      </c>
      <c r="O133" s="468">
        <f t="shared" si="82"/>
        <v>0</v>
      </c>
      <c r="P133" s="471" t="str">
        <f t="shared" ref="P133:P146" si="88">IFERROR(N133/O133,"-")</f>
        <v>-</v>
      </c>
      <c r="Q133" s="468" t="str">
        <f t="shared" si="83"/>
        <v>-</v>
      </c>
      <c r="R133" s="468">
        <f t="shared" si="84"/>
        <v>0</v>
      </c>
      <c r="S133" s="472" t="str">
        <f t="shared" si="85"/>
        <v>-</v>
      </c>
      <c r="T133" s="473" t="str">
        <f t="shared" si="86"/>
        <v>-</v>
      </c>
    </row>
    <row r="134" spans="1:20" ht="24.6" customHeight="1" x14ac:dyDescent="0.25">
      <c r="A134" s="252" t="s">
        <v>103</v>
      </c>
      <c r="B134" s="249" t="s">
        <v>216</v>
      </c>
      <c r="C134" s="466">
        <f t="shared" si="77"/>
        <v>180</v>
      </c>
      <c r="D134" s="250">
        <v>30</v>
      </c>
      <c r="E134" s="251">
        <v>150</v>
      </c>
      <c r="F134" s="594">
        <v>220000</v>
      </c>
      <c r="G134" s="468">
        <f t="shared" si="78"/>
        <v>59296</v>
      </c>
      <c r="H134" s="254">
        <v>59136</v>
      </c>
      <c r="I134" s="755">
        <v>160</v>
      </c>
      <c r="J134" s="747">
        <v>480</v>
      </c>
      <c r="K134" s="466">
        <f t="shared" si="79"/>
        <v>300</v>
      </c>
      <c r="L134" s="468">
        <f t="shared" si="80"/>
        <v>450</v>
      </c>
      <c r="M134" s="469">
        <f t="shared" si="81"/>
        <v>0.66666666666666663</v>
      </c>
      <c r="N134" s="470">
        <f t="shared" si="87"/>
        <v>120</v>
      </c>
      <c r="O134" s="468">
        <f t="shared" si="82"/>
        <v>300</v>
      </c>
      <c r="P134" s="471">
        <f t="shared" si="88"/>
        <v>0.4</v>
      </c>
      <c r="Q134" s="468">
        <f t="shared" si="83"/>
        <v>118.70480302212627</v>
      </c>
      <c r="R134" s="468">
        <f t="shared" si="84"/>
        <v>120</v>
      </c>
      <c r="S134" s="472">
        <f t="shared" si="85"/>
        <v>0.98920669185105226</v>
      </c>
      <c r="T134" s="473">
        <f t="shared" si="86"/>
        <v>0.2637884511602806</v>
      </c>
    </row>
    <row r="135" spans="1:20" ht="24.6" customHeight="1" x14ac:dyDescent="0.25">
      <c r="A135" s="248" t="s">
        <v>103</v>
      </c>
      <c r="B135" s="249" t="s">
        <v>215</v>
      </c>
      <c r="C135" s="466">
        <f t="shared" si="77"/>
        <v>240</v>
      </c>
      <c r="D135" s="250">
        <v>30</v>
      </c>
      <c r="E135" s="251">
        <v>210</v>
      </c>
      <c r="F135" s="594">
        <v>50000</v>
      </c>
      <c r="G135" s="468">
        <f t="shared" si="78"/>
        <v>22641</v>
      </c>
      <c r="H135" s="254">
        <v>22464</v>
      </c>
      <c r="I135" s="755">
        <v>177</v>
      </c>
      <c r="J135" s="747">
        <v>480</v>
      </c>
      <c r="K135" s="466">
        <f t="shared" si="79"/>
        <v>240</v>
      </c>
      <c r="L135" s="468">
        <f t="shared" si="80"/>
        <v>450</v>
      </c>
      <c r="M135" s="469">
        <f t="shared" si="81"/>
        <v>0.53333333333333333</v>
      </c>
      <c r="N135" s="470">
        <f t="shared" si="87"/>
        <v>0</v>
      </c>
      <c r="O135" s="468">
        <f t="shared" si="82"/>
        <v>240</v>
      </c>
      <c r="P135" s="471">
        <f t="shared" si="88"/>
        <v>0</v>
      </c>
      <c r="Q135" s="468">
        <f t="shared" si="83"/>
        <v>-3.752484430899699</v>
      </c>
      <c r="R135" s="468">
        <f t="shared" si="84"/>
        <v>0</v>
      </c>
      <c r="S135" s="472" t="str">
        <f t="shared" si="85"/>
        <v>-</v>
      </c>
      <c r="T135" s="473" t="str">
        <f t="shared" si="86"/>
        <v>-</v>
      </c>
    </row>
    <row r="136" spans="1:20" ht="24.6" customHeight="1" x14ac:dyDescent="0.25">
      <c r="A136" s="248">
        <v>5</v>
      </c>
      <c r="B136" s="249" t="s">
        <v>22</v>
      </c>
      <c r="C136" s="466">
        <f t="shared" si="77"/>
        <v>0</v>
      </c>
      <c r="D136" s="250"/>
      <c r="E136" s="251"/>
      <c r="F136" s="594">
        <v>80000</v>
      </c>
      <c r="G136" s="468">
        <f t="shared" si="78"/>
        <v>0</v>
      </c>
      <c r="H136" s="467"/>
      <c r="I136" s="756"/>
      <c r="J136" s="747"/>
      <c r="K136" s="466">
        <f>+L136-E136</f>
        <v>0</v>
      </c>
      <c r="L136" s="468">
        <f t="shared" si="80"/>
        <v>0</v>
      </c>
      <c r="M136" s="469" t="str">
        <f>IFERROR(K136/L136,"-")</f>
        <v>-</v>
      </c>
      <c r="N136" s="470">
        <f t="shared" si="87"/>
        <v>0</v>
      </c>
      <c r="O136" s="468">
        <f t="shared" si="82"/>
        <v>0</v>
      </c>
      <c r="P136" s="471" t="str">
        <f t="shared" si="88"/>
        <v>-</v>
      </c>
      <c r="Q136" s="468" t="str">
        <f t="shared" si="83"/>
        <v>-</v>
      </c>
      <c r="R136" s="468">
        <f t="shared" si="84"/>
        <v>0</v>
      </c>
      <c r="S136" s="472" t="str">
        <f t="shared" si="85"/>
        <v>-</v>
      </c>
      <c r="T136" s="473" t="str">
        <f t="shared" si="86"/>
        <v>-</v>
      </c>
    </row>
    <row r="137" spans="1:20" ht="24.6" customHeight="1" x14ac:dyDescent="0.25">
      <c r="A137" s="248" t="s">
        <v>103</v>
      </c>
      <c r="B137" s="249" t="s">
        <v>23</v>
      </c>
      <c r="C137" s="466">
        <f t="shared" si="77"/>
        <v>0</v>
      </c>
      <c r="D137" s="250"/>
      <c r="E137" s="251"/>
      <c r="F137" s="594">
        <v>14000</v>
      </c>
      <c r="G137" s="468">
        <f t="shared" si="78"/>
        <v>0</v>
      </c>
      <c r="H137" s="254"/>
      <c r="I137" s="755"/>
      <c r="J137" s="747"/>
      <c r="K137" s="466">
        <f t="shared" ref="K137:K147" si="89">+L137-E137</f>
        <v>0</v>
      </c>
      <c r="L137" s="468">
        <f t="shared" si="80"/>
        <v>0</v>
      </c>
      <c r="M137" s="469" t="str">
        <f t="shared" ref="M137:M147" si="90">IFERROR(K137/L137,"-")</f>
        <v>-</v>
      </c>
      <c r="N137" s="470">
        <f t="shared" si="87"/>
        <v>0</v>
      </c>
      <c r="O137" s="468">
        <f t="shared" si="82"/>
        <v>0</v>
      </c>
      <c r="P137" s="471" t="str">
        <f t="shared" si="88"/>
        <v>-</v>
      </c>
      <c r="Q137" s="468" t="str">
        <f t="shared" si="83"/>
        <v>-</v>
      </c>
      <c r="R137" s="468">
        <f t="shared" si="84"/>
        <v>0</v>
      </c>
      <c r="S137" s="472" t="str">
        <f t="shared" si="85"/>
        <v>-</v>
      </c>
      <c r="T137" s="473" t="str">
        <f t="shared" si="86"/>
        <v>-</v>
      </c>
    </row>
    <row r="138" spans="1:20" ht="24.6" customHeight="1" x14ac:dyDescent="0.25">
      <c r="A138" s="248" t="s">
        <v>103</v>
      </c>
      <c r="B138" s="253" t="s">
        <v>211</v>
      </c>
      <c r="C138" s="474">
        <f t="shared" si="77"/>
        <v>810</v>
      </c>
      <c r="D138" s="250">
        <v>60</v>
      </c>
      <c r="E138" s="251">
        <v>750</v>
      </c>
      <c r="F138" s="594">
        <v>4500</v>
      </c>
      <c r="G138" s="468">
        <f>+H138+I138</f>
        <v>8108</v>
      </c>
      <c r="H138" s="254">
        <v>8068</v>
      </c>
      <c r="I138" s="251">
        <v>40</v>
      </c>
      <c r="J138" s="747">
        <v>960</v>
      </c>
      <c r="K138" s="474">
        <f t="shared" si="89"/>
        <v>150</v>
      </c>
      <c r="L138" s="250">
        <f t="shared" si="80"/>
        <v>900</v>
      </c>
      <c r="M138" s="475">
        <f t="shared" si="90"/>
        <v>0.16666666666666666</v>
      </c>
      <c r="N138" s="476">
        <f t="shared" si="87"/>
        <v>-660</v>
      </c>
      <c r="O138" s="250">
        <f t="shared" si="82"/>
        <v>150</v>
      </c>
      <c r="P138" s="477">
        <f t="shared" si="88"/>
        <v>-4.4000000000000004</v>
      </c>
      <c r="Q138" s="250">
        <f t="shared" si="83"/>
        <v>-664.73606314750862</v>
      </c>
      <c r="R138" s="250">
        <f t="shared" si="84"/>
        <v>-660</v>
      </c>
      <c r="S138" s="478">
        <f t="shared" si="85"/>
        <v>1.0071758532538009</v>
      </c>
      <c r="T138" s="479">
        <f t="shared" si="86"/>
        <v>-0.73859562571945403</v>
      </c>
    </row>
    <row r="139" spans="1:20" ht="24.6" customHeight="1" thickBot="1" x14ac:dyDescent="0.3">
      <c r="A139" s="255" t="s">
        <v>103</v>
      </c>
      <c r="B139" s="256" t="s">
        <v>212</v>
      </c>
      <c r="C139" s="480">
        <f t="shared" si="77"/>
        <v>920</v>
      </c>
      <c r="D139" s="257">
        <f>+E2377+60</f>
        <v>60</v>
      </c>
      <c r="E139" s="258">
        <v>860</v>
      </c>
      <c r="F139" s="598">
        <v>5000</v>
      </c>
      <c r="G139" s="490">
        <f t="shared" ref="G139:G146" si="91">+H139+I139</f>
        <v>765</v>
      </c>
      <c r="H139" s="259">
        <v>754</v>
      </c>
      <c r="I139" s="258">
        <v>11</v>
      </c>
      <c r="J139" s="748">
        <v>960</v>
      </c>
      <c r="K139" s="480">
        <f t="shared" si="89"/>
        <v>40</v>
      </c>
      <c r="L139" s="257">
        <f t="shared" si="80"/>
        <v>900</v>
      </c>
      <c r="M139" s="481">
        <f t="shared" si="90"/>
        <v>4.4444444444444446E-2</v>
      </c>
      <c r="N139" s="482">
        <f t="shared" si="87"/>
        <v>-880</v>
      </c>
      <c r="O139" s="257">
        <f t="shared" si="82"/>
        <v>40</v>
      </c>
      <c r="P139" s="483">
        <f t="shared" si="88"/>
        <v>-22</v>
      </c>
      <c r="Q139" s="257">
        <f t="shared" si="83"/>
        <v>-893.8039215686274</v>
      </c>
      <c r="R139" s="257">
        <f t="shared" si="84"/>
        <v>-880</v>
      </c>
      <c r="S139" s="484">
        <f t="shared" si="85"/>
        <v>1.0156862745098039</v>
      </c>
      <c r="T139" s="485">
        <f t="shared" si="86"/>
        <v>-0.99311546840958609</v>
      </c>
    </row>
    <row r="140" spans="1:20" ht="24.6" customHeight="1" x14ac:dyDescent="0.25">
      <c r="A140" s="252" t="s">
        <v>101</v>
      </c>
      <c r="B140" s="260" t="s">
        <v>29</v>
      </c>
      <c r="C140" s="466">
        <f t="shared" si="77"/>
        <v>0</v>
      </c>
      <c r="D140" s="250"/>
      <c r="E140" s="251"/>
      <c r="F140" s="749">
        <v>160000</v>
      </c>
      <c r="G140" s="751">
        <f t="shared" si="91"/>
        <v>0</v>
      </c>
      <c r="H140" s="749"/>
      <c r="I140" s="750"/>
      <c r="J140" s="752"/>
      <c r="K140" s="466">
        <f t="shared" si="89"/>
        <v>0</v>
      </c>
      <c r="L140" s="468">
        <f t="shared" si="80"/>
        <v>0</v>
      </c>
      <c r="M140" s="469" t="str">
        <f t="shared" si="90"/>
        <v>-</v>
      </c>
      <c r="N140" s="470">
        <f t="shared" si="87"/>
        <v>0</v>
      </c>
      <c r="O140" s="468">
        <f t="shared" si="82"/>
        <v>0</v>
      </c>
      <c r="P140" s="471" t="str">
        <f t="shared" si="88"/>
        <v>-</v>
      </c>
      <c r="Q140" s="468" t="str">
        <f t="shared" si="83"/>
        <v>-</v>
      </c>
      <c r="R140" s="468">
        <f t="shared" si="84"/>
        <v>0</v>
      </c>
      <c r="S140" s="486" t="str">
        <f t="shared" si="85"/>
        <v>-</v>
      </c>
      <c r="T140" s="487" t="str">
        <f t="shared" si="86"/>
        <v>-</v>
      </c>
    </row>
    <row r="141" spans="1:20" ht="24.6" customHeight="1" x14ac:dyDescent="0.25">
      <c r="A141" s="248" t="s">
        <v>101</v>
      </c>
      <c r="B141" s="260" t="s">
        <v>31</v>
      </c>
      <c r="C141" s="466">
        <f t="shared" si="77"/>
        <v>0</v>
      </c>
      <c r="D141" s="667"/>
      <c r="E141" s="251"/>
      <c r="F141" s="467">
        <v>50000</v>
      </c>
      <c r="G141" s="468">
        <f t="shared" si="91"/>
        <v>0</v>
      </c>
      <c r="H141" s="467"/>
      <c r="I141" s="600"/>
      <c r="J141" s="599"/>
      <c r="K141" s="466">
        <f t="shared" si="89"/>
        <v>0</v>
      </c>
      <c r="L141" s="468">
        <f t="shared" si="80"/>
        <v>0</v>
      </c>
      <c r="M141" s="469" t="str">
        <f t="shared" si="90"/>
        <v>-</v>
      </c>
      <c r="N141" s="470">
        <f t="shared" si="87"/>
        <v>0</v>
      </c>
      <c r="O141" s="468">
        <f t="shared" si="82"/>
        <v>0</v>
      </c>
      <c r="P141" s="471" t="str">
        <f t="shared" si="88"/>
        <v>-</v>
      </c>
      <c r="Q141" s="468" t="str">
        <f t="shared" si="83"/>
        <v>-</v>
      </c>
      <c r="R141" s="468">
        <f t="shared" si="84"/>
        <v>0</v>
      </c>
      <c r="S141" s="486" t="str">
        <f t="shared" si="85"/>
        <v>-</v>
      </c>
      <c r="T141" s="487" t="str">
        <f t="shared" si="86"/>
        <v>-</v>
      </c>
    </row>
    <row r="142" spans="1:20" ht="24.6" customHeight="1" thickBot="1" x14ac:dyDescent="0.3">
      <c r="A142" s="255" t="s">
        <v>101</v>
      </c>
      <c r="B142" s="261" t="s">
        <v>32</v>
      </c>
      <c r="C142" s="488">
        <f t="shared" si="77"/>
        <v>0</v>
      </c>
      <c r="D142" s="257"/>
      <c r="E142" s="258"/>
      <c r="F142" s="489">
        <v>110000</v>
      </c>
      <c r="G142" s="490">
        <f t="shared" si="91"/>
        <v>0</v>
      </c>
      <c r="H142" s="489"/>
      <c r="I142" s="601"/>
      <c r="J142" s="602"/>
      <c r="K142" s="488">
        <f t="shared" si="89"/>
        <v>0</v>
      </c>
      <c r="L142" s="490">
        <f t="shared" si="80"/>
        <v>0</v>
      </c>
      <c r="M142" s="491" t="str">
        <f t="shared" si="90"/>
        <v>-</v>
      </c>
      <c r="N142" s="492">
        <f t="shared" si="87"/>
        <v>0</v>
      </c>
      <c r="O142" s="490">
        <f t="shared" si="82"/>
        <v>0</v>
      </c>
      <c r="P142" s="493" t="str">
        <f t="shared" si="88"/>
        <v>-</v>
      </c>
      <c r="Q142" s="490" t="str">
        <f t="shared" si="83"/>
        <v>-</v>
      </c>
      <c r="R142" s="490">
        <f t="shared" si="84"/>
        <v>0</v>
      </c>
      <c r="S142" s="494" t="str">
        <f t="shared" si="85"/>
        <v>-</v>
      </c>
      <c r="T142" s="495" t="str">
        <f t="shared" si="86"/>
        <v>-</v>
      </c>
    </row>
    <row r="143" spans="1:20" ht="24.6" customHeight="1" x14ac:dyDescent="0.25">
      <c r="A143" s="248" t="s">
        <v>102</v>
      </c>
      <c r="B143" s="249" t="s">
        <v>218</v>
      </c>
      <c r="C143" s="466">
        <f t="shared" si="77"/>
        <v>0</v>
      </c>
      <c r="D143" s="250"/>
      <c r="E143" s="251"/>
      <c r="F143" s="467">
        <v>6500</v>
      </c>
      <c r="G143" s="468">
        <f t="shared" si="91"/>
        <v>0</v>
      </c>
      <c r="H143" s="467"/>
      <c r="I143" s="600"/>
      <c r="J143" s="599"/>
      <c r="K143" s="466">
        <f t="shared" si="89"/>
        <v>0</v>
      </c>
      <c r="L143" s="468">
        <f t="shared" si="80"/>
        <v>0</v>
      </c>
      <c r="M143" s="469" t="str">
        <f t="shared" si="90"/>
        <v>-</v>
      </c>
      <c r="N143" s="470">
        <f t="shared" si="87"/>
        <v>0</v>
      </c>
      <c r="O143" s="468">
        <f t="shared" si="82"/>
        <v>0</v>
      </c>
      <c r="P143" s="471" t="str">
        <f t="shared" si="88"/>
        <v>-</v>
      </c>
      <c r="Q143" s="468" t="str">
        <f t="shared" si="83"/>
        <v>-</v>
      </c>
      <c r="R143" s="468">
        <f t="shared" si="84"/>
        <v>0</v>
      </c>
      <c r="S143" s="486" t="str">
        <f t="shared" si="85"/>
        <v>-</v>
      </c>
      <c r="T143" s="487" t="str">
        <f t="shared" si="86"/>
        <v>-</v>
      </c>
    </row>
    <row r="144" spans="1:20" ht="24.6" customHeight="1" x14ac:dyDescent="0.25">
      <c r="A144" s="252" t="s">
        <v>102</v>
      </c>
      <c r="B144" s="249" t="s">
        <v>38</v>
      </c>
      <c r="C144" s="466">
        <f t="shared" si="77"/>
        <v>0</v>
      </c>
      <c r="D144" s="250"/>
      <c r="E144" s="251"/>
      <c r="F144" s="467">
        <v>2800</v>
      </c>
      <c r="G144" s="468">
        <f t="shared" si="91"/>
        <v>0</v>
      </c>
      <c r="H144" s="467"/>
      <c r="I144" s="600"/>
      <c r="J144" s="599"/>
      <c r="K144" s="466">
        <f t="shared" si="89"/>
        <v>0</v>
      </c>
      <c r="L144" s="468">
        <f t="shared" si="80"/>
        <v>0</v>
      </c>
      <c r="M144" s="469" t="str">
        <f t="shared" si="90"/>
        <v>-</v>
      </c>
      <c r="N144" s="470">
        <f t="shared" si="87"/>
        <v>0</v>
      </c>
      <c r="O144" s="468">
        <f t="shared" si="82"/>
        <v>0</v>
      </c>
      <c r="P144" s="471" t="str">
        <f t="shared" si="88"/>
        <v>-</v>
      </c>
      <c r="Q144" s="468" t="str">
        <f t="shared" si="83"/>
        <v>-</v>
      </c>
      <c r="R144" s="468">
        <f t="shared" si="84"/>
        <v>0</v>
      </c>
      <c r="S144" s="486" t="str">
        <f t="shared" si="85"/>
        <v>-</v>
      </c>
      <c r="T144" s="487" t="str">
        <f t="shared" si="86"/>
        <v>-</v>
      </c>
    </row>
    <row r="145" spans="1:20" ht="24.6" customHeight="1" x14ac:dyDescent="0.25">
      <c r="A145" s="248" t="s">
        <v>102</v>
      </c>
      <c r="B145" s="249" t="s">
        <v>39</v>
      </c>
      <c r="C145" s="466">
        <f t="shared" si="77"/>
        <v>30</v>
      </c>
      <c r="D145" s="250">
        <v>30</v>
      </c>
      <c r="E145" s="251"/>
      <c r="F145" s="467">
        <v>25000</v>
      </c>
      <c r="G145" s="468">
        <f t="shared" si="91"/>
        <v>23670</v>
      </c>
      <c r="H145" s="467">
        <v>23388</v>
      </c>
      <c r="I145" s="600">
        <v>282</v>
      </c>
      <c r="J145" s="599">
        <v>480</v>
      </c>
      <c r="K145" s="466">
        <f t="shared" si="89"/>
        <v>450</v>
      </c>
      <c r="L145" s="468">
        <f t="shared" si="80"/>
        <v>450</v>
      </c>
      <c r="M145" s="469">
        <f t="shared" si="90"/>
        <v>1</v>
      </c>
      <c r="N145" s="470">
        <f t="shared" si="87"/>
        <v>420</v>
      </c>
      <c r="O145" s="468">
        <f t="shared" si="82"/>
        <v>450</v>
      </c>
      <c r="P145" s="471">
        <f t="shared" si="88"/>
        <v>0.93333333333333335</v>
      </c>
      <c r="Q145" s="468">
        <f t="shared" si="83"/>
        <v>414.2813688212928</v>
      </c>
      <c r="R145" s="468">
        <f t="shared" si="84"/>
        <v>420</v>
      </c>
      <c r="S145" s="486">
        <f t="shared" si="85"/>
        <v>0.98638421147926858</v>
      </c>
      <c r="T145" s="487">
        <f t="shared" si="86"/>
        <v>0.92062526404731737</v>
      </c>
    </row>
    <row r="146" spans="1:20" ht="45" customHeight="1" thickBot="1" x14ac:dyDescent="0.3">
      <c r="A146" s="604" t="s">
        <v>102</v>
      </c>
      <c r="B146" s="261" t="s">
        <v>217</v>
      </c>
      <c r="C146" s="605">
        <f t="shared" si="77"/>
        <v>30</v>
      </c>
      <c r="D146" s="606">
        <v>30</v>
      </c>
      <c r="E146" s="607"/>
      <c r="F146" s="608">
        <v>25000</v>
      </c>
      <c r="G146" s="609">
        <f t="shared" si="91"/>
        <v>14500</v>
      </c>
      <c r="H146" s="608">
        <v>14400</v>
      </c>
      <c r="I146" s="610">
        <v>100</v>
      </c>
      <c r="J146" s="603">
        <v>480</v>
      </c>
      <c r="K146" s="605">
        <f t="shared" si="89"/>
        <v>450</v>
      </c>
      <c r="L146" s="609">
        <f t="shared" si="80"/>
        <v>450</v>
      </c>
      <c r="M146" s="611">
        <f t="shared" si="90"/>
        <v>1</v>
      </c>
      <c r="N146" s="612">
        <f t="shared" si="87"/>
        <v>420</v>
      </c>
      <c r="O146" s="609">
        <f t="shared" si="82"/>
        <v>450</v>
      </c>
      <c r="P146" s="613">
        <f t="shared" si="88"/>
        <v>0.93333333333333335</v>
      </c>
      <c r="Q146" s="609">
        <f t="shared" si="83"/>
        <v>416.68965517241378</v>
      </c>
      <c r="R146" s="609">
        <f t="shared" si="84"/>
        <v>420</v>
      </c>
      <c r="S146" s="614">
        <f t="shared" si="85"/>
        <v>0.99211822660098514</v>
      </c>
      <c r="T146" s="615">
        <f t="shared" si="86"/>
        <v>0.92597701149425282</v>
      </c>
    </row>
    <row r="147" spans="1:20" ht="24.6" customHeight="1" x14ac:dyDescent="0.25">
      <c r="A147" s="230"/>
      <c r="B147" s="231"/>
      <c r="C147" s="232"/>
      <c r="D147" s="232"/>
      <c r="E147" s="232"/>
      <c r="F147" s="232"/>
      <c r="G147" s="233"/>
      <c r="H147" s="234"/>
      <c r="I147" s="232"/>
      <c r="J147" s="232"/>
      <c r="K147" s="232">
        <f t="shared" si="89"/>
        <v>0</v>
      </c>
      <c r="L147" s="232">
        <f t="shared" si="80"/>
        <v>0</v>
      </c>
      <c r="M147" s="234" t="str">
        <f t="shared" si="90"/>
        <v>-</v>
      </c>
      <c r="N147" s="232"/>
      <c r="O147" s="232">
        <f t="shared" si="82"/>
        <v>0</v>
      </c>
      <c r="P147" s="234"/>
      <c r="Q147" s="232"/>
      <c r="R147" s="232"/>
      <c r="S147" s="234"/>
      <c r="T147" s="234"/>
    </row>
    <row r="148" spans="1:20" ht="24.6" customHeight="1" x14ac:dyDescent="0.25">
      <c r="A148" s="230"/>
      <c r="B148" s="231"/>
      <c r="C148" s="232"/>
      <c r="D148" s="232"/>
      <c r="E148" s="232"/>
      <c r="F148" s="232"/>
      <c r="G148" s="233"/>
      <c r="H148" s="234"/>
      <c r="I148" s="232"/>
      <c r="J148" s="232"/>
      <c r="K148" s="232"/>
      <c r="L148" s="232"/>
      <c r="M148" s="234"/>
      <c r="N148" s="232"/>
      <c r="O148" s="232"/>
      <c r="P148" s="234"/>
      <c r="Q148" s="232"/>
      <c r="R148" s="232"/>
      <c r="S148" s="234"/>
      <c r="T148" s="234"/>
    </row>
    <row r="149" spans="1:20" ht="24.6" customHeight="1" x14ac:dyDescent="0.25">
      <c r="A149" s="230"/>
      <c r="B149" s="231"/>
      <c r="C149" s="232"/>
      <c r="D149" s="232"/>
      <c r="E149" s="232"/>
      <c r="F149" s="232"/>
      <c r="G149" s="233"/>
      <c r="H149" s="234"/>
      <c r="I149" s="232"/>
      <c r="J149" s="232"/>
      <c r="K149" s="232"/>
      <c r="L149" s="232"/>
      <c r="M149" s="234"/>
      <c r="N149" s="232"/>
      <c r="O149" s="232"/>
      <c r="P149" s="234"/>
      <c r="Q149" s="232"/>
      <c r="R149" s="232"/>
      <c r="S149" s="234"/>
      <c r="T149" s="234"/>
    </row>
    <row r="150" spans="1:20" ht="24.6" customHeight="1" x14ac:dyDescent="0.25">
      <c r="A150" s="230"/>
      <c r="B150" s="231"/>
      <c r="C150" s="232"/>
      <c r="D150" s="232"/>
      <c r="E150" s="232"/>
      <c r="F150" s="232"/>
      <c r="G150" s="233"/>
      <c r="H150" s="234"/>
      <c r="I150" s="232"/>
      <c r="J150" s="232"/>
      <c r="K150" s="232"/>
      <c r="L150" s="232"/>
      <c r="M150" s="234"/>
      <c r="N150" s="232"/>
      <c r="O150" s="232"/>
      <c r="P150" s="234"/>
      <c r="Q150" s="232"/>
      <c r="R150" s="232"/>
      <c r="S150" s="234"/>
      <c r="T150" s="234"/>
    </row>
    <row r="151" spans="1:20" ht="24.6" customHeight="1" x14ac:dyDescent="0.25">
      <c r="A151" s="230"/>
      <c r="B151" s="231"/>
      <c r="C151" s="232"/>
      <c r="D151" s="232"/>
      <c r="E151" s="232"/>
      <c r="F151" s="232"/>
      <c r="G151" s="233"/>
      <c r="H151" s="234"/>
      <c r="I151" s="232"/>
      <c r="J151" s="232"/>
      <c r="K151" s="232"/>
      <c r="L151" s="232"/>
      <c r="M151" s="234"/>
      <c r="N151" s="232"/>
      <c r="O151" s="232"/>
      <c r="P151" s="234"/>
      <c r="Q151" s="232"/>
      <c r="R151" s="232"/>
      <c r="S151" s="234"/>
      <c r="T151" s="234"/>
    </row>
    <row r="152" spans="1:20" ht="24.6" customHeight="1" x14ac:dyDescent="0.25">
      <c r="A152" s="230"/>
      <c r="B152" s="231"/>
      <c r="C152" s="232"/>
      <c r="D152" s="232"/>
      <c r="E152" s="232"/>
      <c r="F152" s="232"/>
      <c r="G152" s="233"/>
      <c r="H152" s="234"/>
      <c r="I152" s="232"/>
      <c r="J152" s="232"/>
      <c r="K152" s="232"/>
      <c r="L152" s="232"/>
      <c r="M152" s="234"/>
      <c r="N152" s="232"/>
      <c r="O152" s="232"/>
      <c r="P152" s="234"/>
      <c r="Q152" s="232"/>
      <c r="R152" s="232"/>
      <c r="S152" s="234"/>
      <c r="T152" s="234"/>
    </row>
  </sheetData>
  <dataConsolidate topLabels="1">
    <dataRefs count="1">
      <dataRef ref="B14:H106" sheet="01 Prod Physique Boites" r:id="rId1"/>
    </dataRefs>
  </dataConsolidate>
  <mergeCells count="55">
    <mergeCell ref="K12:M12"/>
    <mergeCell ref="N12:P12"/>
    <mergeCell ref="Q12:S12"/>
    <mergeCell ref="T12:T13"/>
    <mergeCell ref="A12:A13"/>
    <mergeCell ref="B12:B13"/>
    <mergeCell ref="C12:E12"/>
    <mergeCell ref="F12:I12"/>
    <mergeCell ref="J12:J13"/>
    <mergeCell ref="K36:M36"/>
    <mergeCell ref="N36:P36"/>
    <mergeCell ref="Q36:S36"/>
    <mergeCell ref="T36:T37"/>
    <mergeCell ref="A36:A37"/>
    <mergeCell ref="B36:B37"/>
    <mergeCell ref="C36:E36"/>
    <mergeCell ref="F36:I36"/>
    <mergeCell ref="J36:J37"/>
    <mergeCell ref="K61:M61"/>
    <mergeCell ref="N61:P61"/>
    <mergeCell ref="Q61:S61"/>
    <mergeCell ref="T61:T62"/>
    <mergeCell ref="A61:A62"/>
    <mergeCell ref="B61:B62"/>
    <mergeCell ref="C61:E61"/>
    <mergeCell ref="F61:I61"/>
    <mergeCell ref="J61:J62"/>
    <mergeCell ref="Q85:S85"/>
    <mergeCell ref="T85:T86"/>
    <mergeCell ref="C85:E85"/>
    <mergeCell ref="F85:I85"/>
    <mergeCell ref="J85:J86"/>
    <mergeCell ref="K85:M85"/>
    <mergeCell ref="N85:P85"/>
    <mergeCell ref="T108:T109"/>
    <mergeCell ref="A9:T9"/>
    <mergeCell ref="A129:A130"/>
    <mergeCell ref="B129:B130"/>
    <mergeCell ref="C129:E129"/>
    <mergeCell ref="F129:I129"/>
    <mergeCell ref="J129:J130"/>
    <mergeCell ref="K129:M129"/>
    <mergeCell ref="N129:P129"/>
    <mergeCell ref="Q129:S129"/>
    <mergeCell ref="T129:T130"/>
    <mergeCell ref="A108:A109"/>
    <mergeCell ref="B108:B109"/>
    <mergeCell ref="C108:E108"/>
    <mergeCell ref="A85:A86"/>
    <mergeCell ref="B85:B86"/>
    <mergeCell ref="F108:I108"/>
    <mergeCell ref="J108:J109"/>
    <mergeCell ref="K108:M108"/>
    <mergeCell ref="N108:P108"/>
    <mergeCell ref="Q108:S108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7:T11"/>
  <sheetViews>
    <sheetView view="pageBreakPreview" zoomScale="40" zoomScaleNormal="70" zoomScaleSheetLayoutView="40" workbookViewId="0">
      <pane xSplit="2" topLeftCell="C1" activePane="topRight" state="frozen"/>
      <selection pane="topRight" activeCell="A10" sqref="A10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4" width="32.28515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5.7109375" style="262" customWidth="1"/>
    <col min="14" max="15" width="15.7109375" style="222" customWidth="1"/>
    <col min="16" max="16" width="15.7109375" style="262" customWidth="1"/>
    <col min="17" max="18" width="15.7109375" style="222" customWidth="1"/>
    <col min="19" max="19" width="14.710937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25">
      <c r="A9" s="879" t="s">
        <v>229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5.15" customHeight="1" x14ac:dyDescent="0.25"/>
  </sheetData>
  <dataConsolidate topLabels="1">
    <dataRefs count="1">
      <dataRef ref="B14:H106" sheet="01 Prod Physique Boites" r:id="rId1"/>
    </dataRefs>
  </dataConsolidate>
  <mergeCells count="1">
    <mergeCell ref="A9:T9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P1055"/>
  <sheetViews>
    <sheetView topLeftCell="A13" workbookViewId="0">
      <selection activeCell="K37" sqref="K37"/>
    </sheetView>
  </sheetViews>
  <sheetFormatPr baseColWidth="10" defaultRowHeight="15" x14ac:dyDescent="0.25"/>
  <cols>
    <col min="3" max="3" width="14.42578125" customWidth="1"/>
    <col min="4" max="4" width="31.42578125" customWidth="1"/>
    <col min="5" max="5" width="9.7109375" customWidth="1"/>
    <col min="6" max="6" width="9.140625" customWidth="1"/>
    <col min="8" max="8" width="8.85546875" customWidth="1"/>
    <col min="11" max="11" width="9.5703125" customWidth="1"/>
    <col min="12" max="12" width="8.7109375" customWidth="1"/>
    <col min="14" max="14" width="12.140625" customWidth="1"/>
    <col min="15" max="15" width="13.140625" customWidth="1"/>
  </cols>
  <sheetData>
    <row r="2" spans="2:15" x14ac:dyDescent="0.25"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2:15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2:15" x14ac:dyDescent="0.25"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2:15" x14ac:dyDescent="0.25"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2:15" x14ac:dyDescent="0.25"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2:15" x14ac:dyDescent="0.25"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2:15" x14ac:dyDescent="0.25"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2:15" x14ac:dyDescent="0.25"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2:15" x14ac:dyDescent="0.25"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2:15" ht="20.25" x14ac:dyDescent="0.25">
      <c r="B11" s="1" t="s">
        <v>0</v>
      </c>
      <c r="C11" s="1"/>
      <c r="D11" s="1"/>
      <c r="E11" s="1"/>
      <c r="F11" s="76"/>
      <c r="G11" s="76"/>
      <c r="H11" s="76"/>
      <c r="I11" s="76"/>
      <c r="J11" s="76"/>
      <c r="K11" s="76"/>
    </row>
    <row r="13" spans="2:15" x14ac:dyDescent="0.25">
      <c r="B13" s="1052" t="s">
        <v>96</v>
      </c>
      <c r="C13" s="1052"/>
      <c r="D13" s="1052"/>
      <c r="E13" s="1052"/>
      <c r="F13" s="1052"/>
      <c r="G13" s="1052"/>
      <c r="H13" s="1052"/>
      <c r="I13" s="1052"/>
      <c r="J13" s="1052"/>
      <c r="K13" s="1052"/>
      <c r="L13" s="1052"/>
      <c r="M13" s="1052"/>
      <c r="N13" s="1052"/>
      <c r="O13" s="1052"/>
    </row>
    <row r="14" spans="2:15" x14ac:dyDescent="0.25">
      <c r="B14" s="1053" t="s">
        <v>138</v>
      </c>
      <c r="C14" s="1054"/>
      <c r="D14" s="1054"/>
      <c r="E14" s="1054"/>
      <c r="F14" s="1054"/>
      <c r="G14" s="1054"/>
      <c r="H14" s="1054"/>
      <c r="I14" s="1054"/>
      <c r="J14" s="1054"/>
      <c r="K14" s="1054"/>
      <c r="L14" s="1054"/>
      <c r="M14" s="1054"/>
      <c r="N14" s="1054"/>
      <c r="O14" s="1054"/>
    </row>
    <row r="16" spans="2:15" ht="15.75" thickBot="1" x14ac:dyDescent="0.3"/>
    <row r="17" spans="2:16" x14ac:dyDescent="0.25">
      <c r="B17" s="1026" t="s">
        <v>1</v>
      </c>
      <c r="C17" s="1028" t="s">
        <v>2</v>
      </c>
      <c r="D17" s="1031" t="s">
        <v>3</v>
      </c>
      <c r="E17" s="1034" t="s">
        <v>4</v>
      </c>
      <c r="F17" s="1035"/>
      <c r="G17" s="1035"/>
      <c r="H17" s="1035"/>
      <c r="I17" s="1035"/>
      <c r="J17" s="1035"/>
      <c r="K17" s="1035"/>
      <c r="L17" s="1036"/>
      <c r="M17" s="1037" t="s">
        <v>5</v>
      </c>
      <c r="N17" s="1038"/>
      <c r="O17" s="1039"/>
      <c r="P17" s="1031" t="s">
        <v>6</v>
      </c>
    </row>
    <row r="18" spans="2:16" x14ac:dyDescent="0.25">
      <c r="B18" s="1027"/>
      <c r="C18" s="1029"/>
      <c r="D18" s="1032"/>
      <c r="E18" s="1040" t="s">
        <v>7</v>
      </c>
      <c r="F18" s="1042" t="s">
        <v>139</v>
      </c>
      <c r="G18" s="1042"/>
      <c r="H18" s="1043"/>
      <c r="I18" s="1044" t="s">
        <v>8</v>
      </c>
      <c r="J18" s="1042"/>
      <c r="K18" s="1042"/>
      <c r="L18" s="1043" t="s">
        <v>9</v>
      </c>
      <c r="M18" s="1046" t="s">
        <v>10</v>
      </c>
      <c r="N18" s="1048" t="s">
        <v>11</v>
      </c>
      <c r="O18" s="1050" t="s">
        <v>12</v>
      </c>
      <c r="P18" s="1032"/>
    </row>
    <row r="19" spans="2:16" ht="15.75" thickBot="1" x14ac:dyDescent="0.3">
      <c r="B19" s="1027"/>
      <c r="C19" s="1030"/>
      <c r="D19" s="1033"/>
      <c r="E19" s="1041"/>
      <c r="F19" s="2" t="s">
        <v>13</v>
      </c>
      <c r="G19" s="2" t="s">
        <v>14</v>
      </c>
      <c r="H19" s="163" t="s">
        <v>15</v>
      </c>
      <c r="I19" s="142" t="s">
        <v>13</v>
      </c>
      <c r="J19" s="2" t="s">
        <v>14</v>
      </c>
      <c r="K19" s="2" t="s">
        <v>15</v>
      </c>
      <c r="L19" s="1045"/>
      <c r="M19" s="1047"/>
      <c r="N19" s="1049"/>
      <c r="O19" s="1051"/>
      <c r="P19" s="1033"/>
    </row>
    <row r="20" spans="2:16" x14ac:dyDescent="0.25">
      <c r="B20" s="1010" t="s">
        <v>53</v>
      </c>
      <c r="C20" s="29"/>
      <c r="D20" s="117" t="s">
        <v>54</v>
      </c>
      <c r="E20" s="98">
        <v>0</v>
      </c>
      <c r="F20" s="4">
        <f>+G20+H20</f>
        <v>0</v>
      </c>
      <c r="G20" s="4">
        <v>0</v>
      </c>
      <c r="H20" s="8">
        <v>0</v>
      </c>
      <c r="I20" s="6">
        <f>J20+K20</f>
        <v>0</v>
      </c>
      <c r="J20" s="4">
        <f>G20</f>
        <v>0</v>
      </c>
      <c r="K20" s="4">
        <f>H20</f>
        <v>0</v>
      </c>
      <c r="L20" s="33" t="e">
        <f>+J20/E20</f>
        <v>#DIV/0!</v>
      </c>
      <c r="M20" s="104">
        <v>1.3652</v>
      </c>
      <c r="N20" s="31">
        <f>G20*M20</f>
        <v>0</v>
      </c>
      <c r="O20" s="86">
        <f>M20*J20</f>
        <v>0</v>
      </c>
      <c r="P20" s="1012"/>
    </row>
    <row r="21" spans="2:16" x14ac:dyDescent="0.25">
      <c r="B21" s="1011"/>
      <c r="C21" s="32"/>
      <c r="D21" s="118" t="s">
        <v>109</v>
      </c>
      <c r="E21" s="99">
        <v>0</v>
      </c>
      <c r="F21" s="9">
        <f>+G21+H21</f>
        <v>0</v>
      </c>
      <c r="G21" s="9">
        <v>0</v>
      </c>
      <c r="H21" s="10">
        <v>0</v>
      </c>
      <c r="I21" s="6">
        <f>J21+K21</f>
        <v>0</v>
      </c>
      <c r="J21" s="4">
        <f>+G21</f>
        <v>0</v>
      </c>
      <c r="K21" s="4">
        <f>+H21</f>
        <v>0</v>
      </c>
      <c r="L21" s="33"/>
      <c r="M21" s="105">
        <v>5.9917999999999996</v>
      </c>
      <c r="N21" s="34">
        <f>M21*G21</f>
        <v>0</v>
      </c>
      <c r="O21" s="87">
        <f>M21*J21</f>
        <v>0</v>
      </c>
      <c r="P21" s="1013"/>
    </row>
    <row r="22" spans="2:16" x14ac:dyDescent="0.25">
      <c r="B22" s="1011"/>
      <c r="C22" s="35"/>
      <c r="D22" s="119" t="s">
        <v>55</v>
      </c>
      <c r="E22" s="99">
        <v>0</v>
      </c>
      <c r="F22" s="9">
        <f t="shared" ref="F22:F26" si="0">+G22+H22</f>
        <v>173942</v>
      </c>
      <c r="G22" s="9">
        <v>172500</v>
      </c>
      <c r="H22" s="10">
        <v>1442</v>
      </c>
      <c r="I22" s="6">
        <f t="shared" ref="I22:I26" si="1">J22+K22</f>
        <v>173942</v>
      </c>
      <c r="J22" s="4">
        <f t="shared" ref="J22:J26" si="2">+G22</f>
        <v>172500</v>
      </c>
      <c r="K22" s="4">
        <f t="shared" ref="K22:K26" si="3">+H22</f>
        <v>1442</v>
      </c>
      <c r="L22" s="33" t="e">
        <f t="shared" ref="L22" si="4">+J22/E22</f>
        <v>#DIV/0!</v>
      </c>
      <c r="M22" s="106">
        <v>2.3807999999999998</v>
      </c>
      <c r="N22" s="36">
        <f>G22*M22</f>
        <v>410687.99999999994</v>
      </c>
      <c r="O22" s="88">
        <f>M22*J22</f>
        <v>410687.99999999994</v>
      </c>
      <c r="P22" s="1013"/>
    </row>
    <row r="23" spans="2:16" x14ac:dyDescent="0.25">
      <c r="B23" s="1011"/>
      <c r="C23" s="35"/>
      <c r="D23" s="119" t="s">
        <v>56</v>
      </c>
      <c r="E23" s="99">
        <v>0</v>
      </c>
      <c r="F23" s="9">
        <f t="shared" si="0"/>
        <v>0</v>
      </c>
      <c r="G23" s="9">
        <v>0</v>
      </c>
      <c r="H23" s="10">
        <v>0</v>
      </c>
      <c r="I23" s="6">
        <f t="shared" si="1"/>
        <v>0</v>
      </c>
      <c r="J23" s="4">
        <f t="shared" si="2"/>
        <v>0</v>
      </c>
      <c r="K23" s="4">
        <f t="shared" si="3"/>
        <v>0</v>
      </c>
      <c r="L23" s="33"/>
      <c r="M23" s="106">
        <v>2.1457999999999999</v>
      </c>
      <c r="N23" s="36">
        <f t="shared" ref="N23:N26" si="5">G23*M23</f>
        <v>0</v>
      </c>
      <c r="O23" s="88">
        <f>M23*J23</f>
        <v>0</v>
      </c>
      <c r="P23" s="1013"/>
    </row>
    <row r="24" spans="2:16" x14ac:dyDescent="0.25">
      <c r="B24" s="1011"/>
      <c r="C24" s="35"/>
      <c r="D24" s="119" t="s">
        <v>106</v>
      </c>
      <c r="E24" s="99">
        <v>0</v>
      </c>
      <c r="F24" s="9">
        <f t="shared" si="0"/>
        <v>0</v>
      </c>
      <c r="G24" s="9">
        <v>0</v>
      </c>
      <c r="H24" s="10">
        <v>0</v>
      </c>
      <c r="I24" s="6">
        <f t="shared" si="1"/>
        <v>0</v>
      </c>
      <c r="J24" s="4">
        <f t="shared" si="2"/>
        <v>0</v>
      </c>
      <c r="K24" s="4">
        <f t="shared" si="3"/>
        <v>0</v>
      </c>
      <c r="L24" s="33" t="e">
        <f t="shared" ref="L24:L25" si="6">+J24/E24</f>
        <v>#DIV/0!</v>
      </c>
      <c r="M24" s="143">
        <v>4.0426000000000002</v>
      </c>
      <c r="N24" s="36">
        <f t="shared" si="5"/>
        <v>0</v>
      </c>
      <c r="O24" s="88">
        <f>M24*J24</f>
        <v>0</v>
      </c>
      <c r="P24" s="1013"/>
    </row>
    <row r="25" spans="2:16" x14ac:dyDescent="0.25">
      <c r="B25" s="1011"/>
      <c r="C25" s="35"/>
      <c r="D25" s="119" t="s">
        <v>110</v>
      </c>
      <c r="E25" s="99">
        <v>0</v>
      </c>
      <c r="F25" s="9">
        <f t="shared" si="0"/>
        <v>0</v>
      </c>
      <c r="G25" s="9">
        <v>0</v>
      </c>
      <c r="H25" s="10">
        <v>0</v>
      </c>
      <c r="I25" s="6">
        <f t="shared" si="1"/>
        <v>0</v>
      </c>
      <c r="J25" s="4">
        <f t="shared" si="2"/>
        <v>0</v>
      </c>
      <c r="K25" s="4">
        <f t="shared" si="3"/>
        <v>0</v>
      </c>
      <c r="L25" s="33" t="e">
        <f t="shared" si="6"/>
        <v>#DIV/0!</v>
      </c>
      <c r="M25" s="143">
        <v>3.8715000000000002</v>
      </c>
      <c r="N25" s="36">
        <f t="shared" si="5"/>
        <v>0</v>
      </c>
      <c r="O25" s="88">
        <f t="shared" ref="O25:O26" si="7">M25*J25</f>
        <v>0</v>
      </c>
      <c r="P25" s="1013"/>
    </row>
    <row r="26" spans="2:16" ht="15.75" thickBot="1" x14ac:dyDescent="0.3">
      <c r="B26" s="1011"/>
      <c r="C26" s="82"/>
      <c r="D26" s="120" t="s">
        <v>57</v>
      </c>
      <c r="E26" s="108">
        <v>0</v>
      </c>
      <c r="F26" s="12">
        <f t="shared" si="0"/>
        <v>0</v>
      </c>
      <c r="G26" s="12">
        <v>0</v>
      </c>
      <c r="H26" s="13">
        <v>0</v>
      </c>
      <c r="I26" s="21">
        <f t="shared" si="1"/>
        <v>0</v>
      </c>
      <c r="J26" s="4">
        <f t="shared" si="2"/>
        <v>0</v>
      </c>
      <c r="K26" s="4">
        <f t="shared" si="3"/>
        <v>0</v>
      </c>
      <c r="L26" s="81"/>
      <c r="M26" s="127">
        <v>12.284700000000001</v>
      </c>
      <c r="N26" s="36">
        <f t="shared" si="5"/>
        <v>0</v>
      </c>
      <c r="O26" s="128">
        <f t="shared" si="7"/>
        <v>0</v>
      </c>
      <c r="P26" s="1013"/>
    </row>
    <row r="27" spans="2:16" ht="15.75" thickBot="1" x14ac:dyDescent="0.3">
      <c r="B27" s="1011"/>
      <c r="C27" s="1016" t="s">
        <v>104</v>
      </c>
      <c r="D27" s="1017"/>
      <c r="E27" s="129"/>
      <c r="F27" s="130">
        <f>SUM(F20:F26)</f>
        <v>173942</v>
      </c>
      <c r="G27" s="130">
        <f>SUM(G20:G26)</f>
        <v>172500</v>
      </c>
      <c r="H27" s="131">
        <f>SUM(H20:H26)</f>
        <v>1442</v>
      </c>
      <c r="I27" s="132">
        <f>+J27+K27</f>
        <v>173942</v>
      </c>
      <c r="J27" s="133">
        <f>SUM(J20:J26)</f>
        <v>172500</v>
      </c>
      <c r="K27" s="133">
        <f>SUM(K20:K26)</f>
        <v>1442</v>
      </c>
      <c r="L27" s="134"/>
      <c r="M27" s="135"/>
      <c r="N27" s="136"/>
      <c r="O27" s="137">
        <f>SUM(O20:O26)</f>
        <v>410687.99999999994</v>
      </c>
      <c r="P27" s="1014"/>
    </row>
    <row r="28" spans="2:16" x14ac:dyDescent="0.25">
      <c r="B28" s="1011"/>
      <c r="C28" s="32"/>
      <c r="D28" s="118" t="s">
        <v>58</v>
      </c>
      <c r="E28" s="98">
        <v>0</v>
      </c>
      <c r="F28" s="4">
        <f t="shared" ref="F28:F31" si="8">+G28+H28</f>
        <v>0</v>
      </c>
      <c r="G28" s="4">
        <v>0</v>
      </c>
      <c r="H28" s="8">
        <v>0</v>
      </c>
      <c r="I28" s="6">
        <f t="shared" ref="I28:I32" si="9">J28+K28</f>
        <v>0</v>
      </c>
      <c r="J28" s="4">
        <f>G28</f>
        <v>0</v>
      </c>
      <c r="K28" s="4">
        <f>H28</f>
        <v>0</v>
      </c>
      <c r="L28" s="33" t="e">
        <f t="shared" ref="L28" si="10">+J28/E28</f>
        <v>#DIV/0!</v>
      </c>
      <c r="M28" s="105">
        <v>12.029500000000001</v>
      </c>
      <c r="N28" s="34">
        <f>M28*G28</f>
        <v>0</v>
      </c>
      <c r="O28" s="87">
        <f t="shared" ref="O28:O30" si="11">M28*J28</f>
        <v>0</v>
      </c>
      <c r="P28" s="1013"/>
    </row>
    <row r="29" spans="2:16" x14ac:dyDescent="0.25">
      <c r="B29" s="1011"/>
      <c r="C29" s="35"/>
      <c r="D29" s="119" t="s">
        <v>59</v>
      </c>
      <c r="E29" s="99">
        <v>0</v>
      </c>
      <c r="F29" s="9">
        <f t="shared" si="8"/>
        <v>0</v>
      </c>
      <c r="G29" s="9">
        <v>0</v>
      </c>
      <c r="H29" s="10">
        <v>0</v>
      </c>
      <c r="I29" s="6">
        <f t="shared" si="9"/>
        <v>0</v>
      </c>
      <c r="J29" s="4">
        <f>G29</f>
        <v>0</v>
      </c>
      <c r="K29" s="4">
        <f>H29</f>
        <v>0</v>
      </c>
      <c r="L29" s="33"/>
      <c r="M29" s="106">
        <v>0</v>
      </c>
      <c r="N29" s="36"/>
      <c r="O29" s="88">
        <f t="shared" si="11"/>
        <v>0</v>
      </c>
      <c r="P29" s="1013"/>
    </row>
    <row r="30" spans="2:16" x14ac:dyDescent="0.25">
      <c r="B30" s="1011"/>
      <c r="C30" s="35"/>
      <c r="D30" s="119" t="s">
        <v>97</v>
      </c>
      <c r="E30" s="99">
        <v>0</v>
      </c>
      <c r="F30" s="9">
        <f t="shared" si="8"/>
        <v>0</v>
      </c>
      <c r="G30" s="9">
        <v>0</v>
      </c>
      <c r="H30" s="10">
        <v>0</v>
      </c>
      <c r="I30" s="6">
        <f t="shared" si="9"/>
        <v>0</v>
      </c>
      <c r="J30" s="4">
        <f t="shared" ref="J30:J32" si="12">G30</f>
        <v>0</v>
      </c>
      <c r="K30" s="4">
        <f t="shared" ref="K30:K32" si="13">H30</f>
        <v>0</v>
      </c>
      <c r="L30" s="33" t="e">
        <f t="shared" ref="L30:L32" si="14">+J30/E30</f>
        <v>#DIV/0!</v>
      </c>
      <c r="M30" s="106">
        <v>19.688600000000001</v>
      </c>
      <c r="N30" s="36">
        <f>M30*G30</f>
        <v>0</v>
      </c>
      <c r="O30" s="88">
        <f t="shared" si="11"/>
        <v>0</v>
      </c>
      <c r="P30" s="1013"/>
    </row>
    <row r="31" spans="2:16" x14ac:dyDescent="0.25">
      <c r="B31" s="1011"/>
      <c r="C31" s="35"/>
      <c r="D31" s="119" t="s">
        <v>61</v>
      </c>
      <c r="E31" s="99">
        <v>0</v>
      </c>
      <c r="F31" s="9">
        <f t="shared" si="8"/>
        <v>0</v>
      </c>
      <c r="G31" s="9">
        <v>0</v>
      </c>
      <c r="H31" s="10">
        <v>0</v>
      </c>
      <c r="I31" s="6">
        <f t="shared" si="9"/>
        <v>0</v>
      </c>
      <c r="J31" s="4">
        <f t="shared" si="12"/>
        <v>0</v>
      </c>
      <c r="K31" s="4">
        <f t="shared" si="13"/>
        <v>0</v>
      </c>
      <c r="L31" s="33" t="e">
        <f t="shared" si="14"/>
        <v>#DIV/0!</v>
      </c>
      <c r="M31" s="106">
        <v>1.2824</v>
      </c>
      <c r="N31" s="151">
        <f>M31*G31</f>
        <v>0</v>
      </c>
      <c r="O31" s="88">
        <f>M31*J31</f>
        <v>0</v>
      </c>
      <c r="P31" s="1013"/>
    </row>
    <row r="32" spans="2:16" ht="15.75" thickBot="1" x14ac:dyDescent="0.3">
      <c r="B32" s="1011"/>
      <c r="C32" s="82"/>
      <c r="D32" s="120" t="s">
        <v>60</v>
      </c>
      <c r="E32" s="108">
        <v>0</v>
      </c>
      <c r="F32" s="12">
        <v>0</v>
      </c>
      <c r="G32" s="12">
        <v>0</v>
      </c>
      <c r="H32" s="13">
        <v>0</v>
      </c>
      <c r="I32" s="21">
        <f t="shared" si="9"/>
        <v>0</v>
      </c>
      <c r="J32" s="4">
        <f t="shared" si="12"/>
        <v>0</v>
      </c>
      <c r="K32" s="4">
        <f t="shared" si="13"/>
        <v>0</v>
      </c>
      <c r="L32" s="81" t="e">
        <f t="shared" si="14"/>
        <v>#DIV/0!</v>
      </c>
      <c r="M32" s="107">
        <v>18.2316</v>
      </c>
      <c r="N32" s="75"/>
      <c r="O32" s="89">
        <f t="shared" ref="O32" si="15">M32*J32</f>
        <v>0</v>
      </c>
      <c r="P32" s="1015"/>
    </row>
    <row r="33" spans="2:16" ht="15.75" thickBot="1" x14ac:dyDescent="0.3">
      <c r="B33" s="995" t="s">
        <v>105</v>
      </c>
      <c r="C33" s="996"/>
      <c r="D33" s="996"/>
      <c r="E33" s="124"/>
      <c r="F33" s="125">
        <f>+G33+H33</f>
        <v>0</v>
      </c>
      <c r="G33" s="125">
        <f>SUM(G28:G32)</f>
        <v>0</v>
      </c>
      <c r="H33" s="126">
        <f>SUM(H28:H32)</f>
        <v>0</v>
      </c>
      <c r="I33" s="121">
        <f>J33+K33</f>
        <v>0</v>
      </c>
      <c r="J33" s="122">
        <f>SUM(J28:J32)</f>
        <v>0</v>
      </c>
      <c r="K33" s="123">
        <f>SUM(K28:K32)</f>
        <v>0</v>
      </c>
      <c r="L33" s="138"/>
      <c r="M33" s="139"/>
      <c r="N33" s="140"/>
      <c r="O33" s="141">
        <f>SUM(O28:O32)</f>
        <v>0</v>
      </c>
      <c r="P33" s="161"/>
    </row>
    <row r="34" spans="2:16" ht="15.75" thickBot="1" x14ac:dyDescent="0.3">
      <c r="B34" s="995" t="s">
        <v>98</v>
      </c>
      <c r="C34" s="996"/>
      <c r="D34" s="996"/>
      <c r="E34" s="1018"/>
      <c r="F34" s="1018"/>
      <c r="G34" s="1018"/>
      <c r="H34" s="1018"/>
      <c r="I34" s="996"/>
      <c r="J34" s="996"/>
      <c r="K34" s="996"/>
      <c r="L34" s="996"/>
      <c r="M34" s="996"/>
      <c r="N34" s="1019"/>
      <c r="O34" s="83">
        <f>O27+O33</f>
        <v>410687.99999999994</v>
      </c>
      <c r="P34" s="161"/>
    </row>
    <row r="35" spans="2:16" x14ac:dyDescent="0.25">
      <c r="B35" s="1010" t="s">
        <v>62</v>
      </c>
      <c r="C35" s="37" t="s">
        <v>63</v>
      </c>
      <c r="D35" s="28" t="s">
        <v>64</v>
      </c>
      <c r="E35" s="38">
        <v>0</v>
      </c>
      <c r="F35" s="14">
        <f>+G35+H35</f>
        <v>0</v>
      </c>
      <c r="G35" s="14">
        <v>0</v>
      </c>
      <c r="H35" s="5">
        <v>0</v>
      </c>
      <c r="I35" s="17">
        <f t="shared" ref="I35:I41" si="16">J35+K35</f>
        <v>0</v>
      </c>
      <c r="J35" s="4">
        <f>G35</f>
        <v>0</v>
      </c>
      <c r="K35" s="4">
        <f>H35</f>
        <v>0</v>
      </c>
      <c r="L35" s="30" t="e">
        <f>+J35/E35</f>
        <v>#DIV/0!</v>
      </c>
      <c r="M35" s="146">
        <v>2.2141000000000002</v>
      </c>
      <c r="N35" s="15">
        <f>+M35*G35</f>
        <v>0</v>
      </c>
      <c r="O35" s="90">
        <f>+M35*J35</f>
        <v>0</v>
      </c>
      <c r="P35" s="1021"/>
    </row>
    <row r="36" spans="2:16" x14ac:dyDescent="0.25">
      <c r="B36" s="1011"/>
      <c r="C36" s="39"/>
      <c r="D36" s="22" t="s">
        <v>65</v>
      </c>
      <c r="E36" s="3">
        <v>0</v>
      </c>
      <c r="F36" s="9">
        <f t="shared" ref="F36:F41" si="17">+G36+H36</f>
        <v>0</v>
      </c>
      <c r="G36" s="4">
        <v>0</v>
      </c>
      <c r="H36" s="8">
        <v>0</v>
      </c>
      <c r="I36" s="6">
        <f t="shared" si="16"/>
        <v>0</v>
      </c>
      <c r="J36" s="4">
        <f>+G36</f>
        <v>0</v>
      </c>
      <c r="K36" s="4">
        <f>+H36</f>
        <v>0</v>
      </c>
      <c r="L36" s="40" t="e">
        <f t="shared" ref="L36:L37" si="18">+J36/E36</f>
        <v>#DIV/0!</v>
      </c>
      <c r="M36" s="145">
        <v>2.4565999999999999</v>
      </c>
      <c r="N36" s="11">
        <f t="shared" ref="N36:N38" si="19">+M36*G36</f>
        <v>0</v>
      </c>
      <c r="O36" s="91">
        <f t="shared" ref="O36:O38" si="20">+M36*J36</f>
        <v>0</v>
      </c>
      <c r="P36" s="1022"/>
    </row>
    <row r="37" spans="2:16" x14ac:dyDescent="0.25">
      <c r="B37" s="1011"/>
      <c r="C37" s="39"/>
      <c r="D37" s="23" t="s">
        <v>126</v>
      </c>
      <c r="E37" s="3">
        <v>0</v>
      </c>
      <c r="F37" s="9">
        <f t="shared" si="17"/>
        <v>0</v>
      </c>
      <c r="G37" s="4">
        <v>0</v>
      </c>
      <c r="H37" s="8">
        <v>0</v>
      </c>
      <c r="I37" s="6">
        <f t="shared" si="16"/>
        <v>0</v>
      </c>
      <c r="J37" s="4">
        <f t="shared" ref="J37:J41" si="21">+G37</f>
        <v>0</v>
      </c>
      <c r="K37" s="4">
        <f t="shared" ref="K37:K41" si="22">+H37</f>
        <v>0</v>
      </c>
      <c r="L37" s="40" t="e">
        <f t="shared" si="18"/>
        <v>#DIV/0!</v>
      </c>
      <c r="M37" s="145">
        <v>2.2907000000000002</v>
      </c>
      <c r="N37" s="11">
        <f t="shared" si="19"/>
        <v>0</v>
      </c>
      <c r="O37" s="91">
        <f t="shared" si="20"/>
        <v>0</v>
      </c>
      <c r="P37" s="1022"/>
    </row>
    <row r="38" spans="2:16" x14ac:dyDescent="0.25">
      <c r="B38" s="1011"/>
      <c r="C38" s="39"/>
      <c r="D38" s="22" t="s">
        <v>131</v>
      </c>
      <c r="E38" s="3"/>
      <c r="F38" s="9">
        <f t="shared" si="17"/>
        <v>0</v>
      </c>
      <c r="G38" s="4">
        <v>0</v>
      </c>
      <c r="H38" s="8">
        <v>0</v>
      </c>
      <c r="I38" s="6">
        <f t="shared" si="16"/>
        <v>0</v>
      </c>
      <c r="J38" s="4">
        <f t="shared" si="21"/>
        <v>0</v>
      </c>
      <c r="K38" s="4">
        <f t="shared" si="22"/>
        <v>0</v>
      </c>
      <c r="L38" s="33"/>
      <c r="M38" s="150">
        <v>2.544</v>
      </c>
      <c r="N38" s="11">
        <f t="shared" si="19"/>
        <v>0</v>
      </c>
      <c r="O38" s="91">
        <f t="shared" si="20"/>
        <v>0</v>
      </c>
      <c r="P38" s="1022"/>
    </row>
    <row r="39" spans="2:16" x14ac:dyDescent="0.25">
      <c r="B39" s="1011"/>
      <c r="C39" s="39" t="s">
        <v>66</v>
      </c>
      <c r="D39" s="22" t="s">
        <v>133</v>
      </c>
      <c r="E39" s="3">
        <v>0</v>
      </c>
      <c r="F39" s="9">
        <f t="shared" si="17"/>
        <v>40072</v>
      </c>
      <c r="G39" s="4">
        <v>38500</v>
      </c>
      <c r="H39" s="8">
        <v>1572</v>
      </c>
      <c r="I39" s="6">
        <f t="shared" si="16"/>
        <v>40072</v>
      </c>
      <c r="J39" s="4">
        <f t="shared" si="21"/>
        <v>38500</v>
      </c>
      <c r="K39" s="4">
        <f t="shared" si="22"/>
        <v>1572</v>
      </c>
      <c r="L39" s="33" t="e">
        <f>+J39/E39</f>
        <v>#DIV/0!</v>
      </c>
      <c r="M39" s="144">
        <v>2.2141000000000002</v>
      </c>
      <c r="N39" s="7">
        <f>+M39*G39</f>
        <v>85242.85</v>
      </c>
      <c r="O39" s="85">
        <f>+M39*J39</f>
        <v>85242.85</v>
      </c>
      <c r="P39" s="1022"/>
    </row>
    <row r="40" spans="2:16" x14ac:dyDescent="0.25">
      <c r="B40" s="1011"/>
      <c r="C40" s="39"/>
      <c r="D40" s="22" t="s">
        <v>65</v>
      </c>
      <c r="E40" s="3">
        <v>0</v>
      </c>
      <c r="F40" s="9">
        <f t="shared" si="17"/>
        <v>0</v>
      </c>
      <c r="G40" s="4">
        <v>0</v>
      </c>
      <c r="H40" s="8">
        <v>0</v>
      </c>
      <c r="I40" s="6">
        <f t="shared" si="16"/>
        <v>0</v>
      </c>
      <c r="J40" s="4">
        <f t="shared" si="21"/>
        <v>0</v>
      </c>
      <c r="K40" s="4">
        <f t="shared" si="22"/>
        <v>0</v>
      </c>
      <c r="L40" s="40" t="e">
        <f t="shared" ref="L40:L41" si="23">+J40/E40</f>
        <v>#DIV/0!</v>
      </c>
      <c r="M40" s="145">
        <v>2.4565999999999999</v>
      </c>
      <c r="N40" s="11">
        <f t="shared" ref="N40:N41" si="24">+M40*G40</f>
        <v>0</v>
      </c>
      <c r="O40" s="91">
        <f t="shared" ref="O40" si="25">+M40*J40</f>
        <v>0</v>
      </c>
      <c r="P40" s="1022"/>
    </row>
    <row r="41" spans="2:16" ht="15.75" thickBot="1" x14ac:dyDescent="0.3">
      <c r="B41" s="1011"/>
      <c r="C41" s="39"/>
      <c r="D41" s="22" t="s">
        <v>126</v>
      </c>
      <c r="E41" s="3">
        <v>0</v>
      </c>
      <c r="F41" s="9">
        <f t="shared" si="17"/>
        <v>0</v>
      </c>
      <c r="G41" s="4">
        <v>0</v>
      </c>
      <c r="H41" s="8">
        <v>0</v>
      </c>
      <c r="I41" s="6">
        <f t="shared" si="16"/>
        <v>0</v>
      </c>
      <c r="J41" s="4">
        <f t="shared" si="21"/>
        <v>0</v>
      </c>
      <c r="K41" s="4">
        <f t="shared" si="22"/>
        <v>0</v>
      </c>
      <c r="L41" s="40" t="e">
        <f t="shared" si="23"/>
        <v>#DIV/0!</v>
      </c>
      <c r="M41" s="145">
        <v>2.2907000000000002</v>
      </c>
      <c r="N41" s="11">
        <f t="shared" si="24"/>
        <v>0</v>
      </c>
      <c r="O41" s="154">
        <f>+M41*J41</f>
        <v>0</v>
      </c>
      <c r="P41" s="1023"/>
    </row>
    <row r="42" spans="2:16" ht="15.75" thickBot="1" x14ac:dyDescent="0.3">
      <c r="B42" s="1011"/>
      <c r="C42" s="41" t="s">
        <v>29</v>
      </c>
      <c r="D42" s="27" t="str">
        <f>+C42</f>
        <v>TOTAL 1/2</v>
      </c>
      <c r="E42" s="42">
        <f>SUM(E35:E41)</f>
        <v>0</v>
      </c>
      <c r="F42" s="43">
        <f>SUM(F35:F41)</f>
        <v>40072</v>
      </c>
      <c r="G42" s="43">
        <f>SUM(G35:G41)</f>
        <v>38500</v>
      </c>
      <c r="H42" s="44">
        <f>SUM(H35:H41)</f>
        <v>1572</v>
      </c>
      <c r="I42" s="45">
        <f>SUM(I39:I41)</f>
        <v>40072</v>
      </c>
      <c r="J42" s="43">
        <f>SUM(J35:J41)</f>
        <v>38500</v>
      </c>
      <c r="K42" s="43">
        <f>SUM(K35:K41)</f>
        <v>1572</v>
      </c>
      <c r="L42" s="46" t="e">
        <f>+J42/E42</f>
        <v>#DIV/0!</v>
      </c>
      <c r="M42" s="47"/>
      <c r="N42" s="48">
        <f>SUM(N39:N41)</f>
        <v>85242.85</v>
      </c>
      <c r="O42" s="49">
        <f>SUM(O35:O41)</f>
        <v>85242.85</v>
      </c>
      <c r="P42" s="162"/>
    </row>
    <row r="43" spans="2:16" x14ac:dyDescent="0.25">
      <c r="B43" s="1011"/>
      <c r="C43" s="1024" t="s">
        <v>67</v>
      </c>
      <c r="D43" s="22" t="s">
        <v>64</v>
      </c>
      <c r="E43" s="3">
        <v>0</v>
      </c>
      <c r="F43" s="4">
        <f>G43+H43</f>
        <v>109220</v>
      </c>
      <c r="G43" s="4">
        <f>60000+45750</f>
        <v>105750</v>
      </c>
      <c r="H43" s="8">
        <f>1780+1690</f>
        <v>3470</v>
      </c>
      <c r="I43" s="16">
        <f>J43+K43</f>
        <v>109220</v>
      </c>
      <c r="J43" s="4">
        <f>G43</f>
        <v>105750</v>
      </c>
      <c r="K43" s="4">
        <f>H43</f>
        <v>3470</v>
      </c>
      <c r="L43" s="50" t="e">
        <f>+J43/E43</f>
        <v>#DIV/0!</v>
      </c>
      <c r="M43" s="144">
        <v>4.1712999999999996</v>
      </c>
      <c r="N43" s="7">
        <f>+M43*G43</f>
        <v>441114.97499999998</v>
      </c>
      <c r="O43" s="93">
        <f>+M43*J43</f>
        <v>441114.97499999998</v>
      </c>
      <c r="P43" s="1021"/>
    </row>
    <row r="44" spans="2:16" x14ac:dyDescent="0.25">
      <c r="B44" s="1011"/>
      <c r="C44" s="1025"/>
      <c r="D44" s="22" t="s">
        <v>65</v>
      </c>
      <c r="E44" s="3">
        <v>0</v>
      </c>
      <c r="F44" s="4">
        <f>G44+H44</f>
        <v>0</v>
      </c>
      <c r="G44" s="4">
        <v>0</v>
      </c>
      <c r="H44" s="8">
        <v>0</v>
      </c>
      <c r="I44" s="6">
        <f>+R1088+F44</f>
        <v>0</v>
      </c>
      <c r="J44" s="4">
        <f>G44</f>
        <v>0</v>
      </c>
      <c r="K44" s="4">
        <f>H44</f>
        <v>0</v>
      </c>
      <c r="L44" s="51" t="e">
        <f t="shared" ref="L44:L48" si="26">+J44/E44</f>
        <v>#DIV/0!</v>
      </c>
      <c r="M44" s="145">
        <v>4.8285999999999998</v>
      </c>
      <c r="N44" s="11">
        <f t="shared" ref="N44:N46" si="27">+M44*G44</f>
        <v>0</v>
      </c>
      <c r="O44" s="94">
        <f t="shared" ref="O44:O46" si="28">+M44*J44</f>
        <v>0</v>
      </c>
      <c r="P44" s="1022"/>
    </row>
    <row r="45" spans="2:16" x14ac:dyDescent="0.25">
      <c r="B45" s="1011"/>
      <c r="C45" s="1025"/>
      <c r="D45" s="22" t="s">
        <v>127</v>
      </c>
      <c r="E45" s="3"/>
      <c r="F45" s="4">
        <f>G45+H45</f>
        <v>0</v>
      </c>
      <c r="G45" s="4">
        <v>0</v>
      </c>
      <c r="H45" s="8">
        <v>0</v>
      </c>
      <c r="I45" s="6">
        <f>+R1089+F45</f>
        <v>0</v>
      </c>
      <c r="J45" s="4">
        <f t="shared" ref="J45:J46" si="29">G45</f>
        <v>0</v>
      </c>
      <c r="K45" s="4">
        <f t="shared" ref="K45:K46" si="30">H45</f>
        <v>0</v>
      </c>
      <c r="L45" s="51" t="e">
        <f t="shared" si="26"/>
        <v>#DIV/0!</v>
      </c>
      <c r="M45" s="144">
        <v>4.5023</v>
      </c>
      <c r="N45" s="11">
        <f t="shared" si="27"/>
        <v>0</v>
      </c>
      <c r="O45" s="94">
        <f t="shared" si="28"/>
        <v>0</v>
      </c>
      <c r="P45" s="1022"/>
    </row>
    <row r="46" spans="2:16" ht="15.75" thickBot="1" x14ac:dyDescent="0.3">
      <c r="B46" s="1011"/>
      <c r="C46" s="1025"/>
      <c r="D46" s="22" t="s">
        <v>111</v>
      </c>
      <c r="E46" s="3">
        <v>0</v>
      </c>
      <c r="F46" s="4">
        <f t="shared" ref="F46" si="31">G46+H46</f>
        <v>0</v>
      </c>
      <c r="G46" s="4">
        <v>0</v>
      </c>
      <c r="H46" s="8">
        <v>0</v>
      </c>
      <c r="I46" s="6">
        <f>+R1089+F46</f>
        <v>0</v>
      </c>
      <c r="J46" s="4">
        <f t="shared" si="29"/>
        <v>0</v>
      </c>
      <c r="K46" s="4">
        <f t="shared" si="30"/>
        <v>0</v>
      </c>
      <c r="L46" s="51" t="e">
        <f t="shared" si="26"/>
        <v>#DIV/0!</v>
      </c>
      <c r="M46" s="144">
        <v>4.4065000000000003</v>
      </c>
      <c r="N46" s="11">
        <f t="shared" si="27"/>
        <v>0</v>
      </c>
      <c r="O46" s="94">
        <f t="shared" si="28"/>
        <v>0</v>
      </c>
      <c r="P46" s="1022"/>
    </row>
    <row r="47" spans="2:16" ht="15.75" thickBot="1" x14ac:dyDescent="0.3">
      <c r="B47" s="1011"/>
      <c r="C47" s="41" t="s">
        <v>31</v>
      </c>
      <c r="D47" s="18" t="str">
        <f>+C47</f>
        <v>TOTAL 4/4</v>
      </c>
      <c r="E47" s="42">
        <f t="shared" ref="E47:K47" si="32">SUM(E43:E46)</f>
        <v>0</v>
      </c>
      <c r="F47" s="43">
        <f t="shared" si="32"/>
        <v>109220</v>
      </c>
      <c r="G47" s="43">
        <f t="shared" si="32"/>
        <v>105750</v>
      </c>
      <c r="H47" s="44">
        <f t="shared" si="32"/>
        <v>3470</v>
      </c>
      <c r="I47" s="45">
        <f t="shared" si="32"/>
        <v>109220</v>
      </c>
      <c r="J47" s="43">
        <f t="shared" si="32"/>
        <v>105750</v>
      </c>
      <c r="K47" s="43">
        <f t="shared" si="32"/>
        <v>3470</v>
      </c>
      <c r="L47" s="46" t="e">
        <f t="shared" si="26"/>
        <v>#DIV/0!</v>
      </c>
      <c r="M47" s="47"/>
      <c r="N47" s="48">
        <f>SUM(N43:N46)</f>
        <v>441114.97499999998</v>
      </c>
      <c r="O47" s="92">
        <f>SUM(O43:O46)</f>
        <v>441114.97499999998</v>
      </c>
      <c r="P47" s="1023"/>
    </row>
    <row r="48" spans="2:16" ht="15.75" thickBot="1" x14ac:dyDescent="0.3">
      <c r="B48" s="1020"/>
      <c r="C48" s="41" t="s">
        <v>68</v>
      </c>
      <c r="D48" s="27" t="s">
        <v>64</v>
      </c>
      <c r="E48" s="25">
        <v>0</v>
      </c>
      <c r="F48" s="20">
        <f>G48+H48</f>
        <v>0</v>
      </c>
      <c r="G48" s="20">
        <v>0</v>
      </c>
      <c r="H48" s="24">
        <v>0</v>
      </c>
      <c r="I48" s="19">
        <f>J48+K48</f>
        <v>0</v>
      </c>
      <c r="J48" s="4">
        <f>G48</f>
        <v>0</v>
      </c>
      <c r="K48" s="4">
        <f>H48</f>
        <v>0</v>
      </c>
      <c r="L48" s="52" t="e">
        <f t="shared" si="26"/>
        <v>#DIV/0!</v>
      </c>
      <c r="M48" s="149">
        <v>1.4086000000000001</v>
      </c>
      <c r="N48" s="26">
        <f t="shared" ref="N48" si="33">+M48*G48</f>
        <v>0</v>
      </c>
      <c r="O48" s="95">
        <f t="shared" ref="O48" si="34">+M48*J48</f>
        <v>0</v>
      </c>
      <c r="P48" s="53"/>
    </row>
    <row r="49" spans="2:16" ht="15.75" thickBot="1" x14ac:dyDescent="0.3">
      <c r="B49" s="995" t="s">
        <v>95</v>
      </c>
      <c r="C49" s="996"/>
      <c r="D49" s="996"/>
      <c r="E49" s="996"/>
      <c r="F49" s="996"/>
      <c r="G49" s="996"/>
      <c r="H49" s="996"/>
      <c r="I49" s="110">
        <f>J49+K49</f>
        <v>149292</v>
      </c>
      <c r="J49" s="110">
        <f>J42+J47+J48</f>
        <v>144250</v>
      </c>
      <c r="K49" s="110">
        <f>K42+K47+K48</f>
        <v>5042</v>
      </c>
      <c r="L49" s="111"/>
      <c r="M49" s="112"/>
      <c r="N49" s="109"/>
      <c r="O49" s="77">
        <f>+O48+O47+O42</f>
        <v>526357.82499999995</v>
      </c>
      <c r="P49" s="84"/>
    </row>
    <row r="50" spans="2:16" x14ac:dyDescent="0.25">
      <c r="B50" s="997" t="s">
        <v>69</v>
      </c>
      <c r="C50" s="1000" t="s">
        <v>70</v>
      </c>
      <c r="D50" s="54" t="s">
        <v>71</v>
      </c>
      <c r="E50" s="55">
        <v>0</v>
      </c>
      <c r="F50" s="56">
        <f>G50+H50</f>
        <v>0</v>
      </c>
      <c r="G50" s="56">
        <v>0</v>
      </c>
      <c r="H50" s="57">
        <v>0</v>
      </c>
      <c r="I50" s="78">
        <f>J50+K50</f>
        <v>0</v>
      </c>
      <c r="J50" s="4">
        <f>G50</f>
        <v>0</v>
      </c>
      <c r="K50" s="4">
        <f>H50</f>
        <v>0</v>
      </c>
      <c r="L50" s="58" t="e">
        <f t="shared" ref="L50" si="35">+J50/E50</f>
        <v>#DIV/0!</v>
      </c>
      <c r="M50" s="59">
        <v>32.946300000000001</v>
      </c>
      <c r="N50" s="60">
        <f>+M50*G50</f>
        <v>0</v>
      </c>
      <c r="O50" s="60">
        <f>M50*J50</f>
        <v>0</v>
      </c>
      <c r="P50" s="1002"/>
    </row>
    <row r="51" spans="2:16" x14ac:dyDescent="0.25">
      <c r="B51" s="998"/>
      <c r="C51" s="1001"/>
      <c r="D51" s="61" t="s">
        <v>72</v>
      </c>
      <c r="E51" s="62">
        <v>0</v>
      </c>
      <c r="F51" s="63">
        <f>G51+H51</f>
        <v>0</v>
      </c>
      <c r="G51" s="63">
        <v>0</v>
      </c>
      <c r="H51" s="64">
        <v>0</v>
      </c>
      <c r="I51" s="79">
        <f>J51+K51</f>
        <v>0</v>
      </c>
      <c r="J51" s="4">
        <f>G51</f>
        <v>0</v>
      </c>
      <c r="K51" s="4">
        <f>H51</f>
        <v>0</v>
      </c>
      <c r="L51" s="65" t="e">
        <f>+J51/E51</f>
        <v>#DIV/0!</v>
      </c>
      <c r="M51" s="66">
        <v>35.398400000000002</v>
      </c>
      <c r="N51" s="67">
        <f>+M51*G51</f>
        <v>0</v>
      </c>
      <c r="O51" s="67">
        <f>M51*J51</f>
        <v>0</v>
      </c>
      <c r="P51" s="1003"/>
    </row>
    <row r="52" spans="2:16" x14ac:dyDescent="0.25">
      <c r="B52" s="998"/>
      <c r="C52" s="1001"/>
      <c r="D52" s="61" t="s">
        <v>73</v>
      </c>
      <c r="E52" s="62">
        <v>0</v>
      </c>
      <c r="F52" s="63">
        <f t="shared" ref="F52:F55" si="36">G52+H52</f>
        <v>0</v>
      </c>
      <c r="G52" s="63">
        <v>0</v>
      </c>
      <c r="H52" s="64">
        <v>0</v>
      </c>
      <c r="I52" s="79">
        <f t="shared" ref="I52:I61" si="37">J52+K52</f>
        <v>0</v>
      </c>
      <c r="J52" s="4">
        <f t="shared" ref="J52:J77" si="38">G52</f>
        <v>0</v>
      </c>
      <c r="K52" s="4">
        <f t="shared" ref="K52:K77" si="39">H52</f>
        <v>0</v>
      </c>
      <c r="L52" s="65" t="e">
        <f t="shared" ref="L52:L65" si="40">+J52/E52</f>
        <v>#DIV/0!</v>
      </c>
      <c r="M52" s="66">
        <v>32.946300000000001</v>
      </c>
      <c r="N52" s="67">
        <f t="shared" ref="N52:N72" si="41">+M52*G52</f>
        <v>0</v>
      </c>
      <c r="O52" s="67">
        <f t="shared" ref="O52:O60" si="42">M52*J52</f>
        <v>0</v>
      </c>
      <c r="P52" s="1003"/>
    </row>
    <row r="53" spans="2:16" x14ac:dyDescent="0.25">
      <c r="B53" s="998"/>
      <c r="C53" s="1001" t="s">
        <v>74</v>
      </c>
      <c r="D53" s="61" t="s">
        <v>75</v>
      </c>
      <c r="E53" s="62">
        <v>0</v>
      </c>
      <c r="F53" s="63">
        <f t="shared" si="36"/>
        <v>0</v>
      </c>
      <c r="G53" s="63">
        <v>0</v>
      </c>
      <c r="H53" s="64">
        <v>0</v>
      </c>
      <c r="I53" s="79">
        <f t="shared" si="37"/>
        <v>0</v>
      </c>
      <c r="J53" s="4">
        <f t="shared" si="38"/>
        <v>0</v>
      </c>
      <c r="K53" s="4">
        <f t="shared" si="39"/>
        <v>0</v>
      </c>
      <c r="L53" s="65" t="e">
        <f t="shared" si="40"/>
        <v>#DIV/0!</v>
      </c>
      <c r="M53" s="66">
        <v>55.4758</v>
      </c>
      <c r="N53" s="67">
        <f t="shared" si="41"/>
        <v>0</v>
      </c>
      <c r="O53" s="67">
        <f t="shared" si="42"/>
        <v>0</v>
      </c>
      <c r="P53" s="1003"/>
    </row>
    <row r="54" spans="2:16" x14ac:dyDescent="0.25">
      <c r="B54" s="998"/>
      <c r="C54" s="1001"/>
      <c r="D54" s="61" t="s">
        <v>134</v>
      </c>
      <c r="E54" s="62">
        <v>0</v>
      </c>
      <c r="F54" s="63">
        <f t="shared" si="36"/>
        <v>0</v>
      </c>
      <c r="G54" s="63">
        <v>0</v>
      </c>
      <c r="H54" s="64">
        <v>0</v>
      </c>
      <c r="I54" s="79">
        <f t="shared" si="37"/>
        <v>0</v>
      </c>
      <c r="J54" s="4">
        <f t="shared" si="38"/>
        <v>0</v>
      </c>
      <c r="K54" s="4">
        <f t="shared" si="39"/>
        <v>0</v>
      </c>
      <c r="L54" s="65" t="e">
        <f t="shared" si="40"/>
        <v>#DIV/0!</v>
      </c>
      <c r="M54" s="66">
        <v>53.515999999999998</v>
      </c>
      <c r="N54" s="67">
        <f t="shared" si="41"/>
        <v>0</v>
      </c>
      <c r="O54" s="67">
        <f t="shared" si="42"/>
        <v>0</v>
      </c>
      <c r="P54" s="1003"/>
    </row>
    <row r="55" spans="2:16" x14ac:dyDescent="0.25">
      <c r="B55" s="998"/>
      <c r="C55" s="1001"/>
      <c r="D55" s="61" t="s">
        <v>72</v>
      </c>
      <c r="E55" s="62">
        <v>0</v>
      </c>
      <c r="F55" s="63">
        <f t="shared" si="36"/>
        <v>0</v>
      </c>
      <c r="G55" s="63">
        <v>0</v>
      </c>
      <c r="H55" s="64">
        <v>0</v>
      </c>
      <c r="I55" s="79">
        <f t="shared" si="37"/>
        <v>0</v>
      </c>
      <c r="J55" s="4">
        <f t="shared" si="38"/>
        <v>0</v>
      </c>
      <c r="K55" s="4">
        <f t="shared" si="39"/>
        <v>0</v>
      </c>
      <c r="L55" s="65" t="e">
        <f t="shared" si="40"/>
        <v>#DIV/0!</v>
      </c>
      <c r="M55" s="66">
        <v>58.836300000000001</v>
      </c>
      <c r="N55" s="67">
        <f t="shared" si="41"/>
        <v>0</v>
      </c>
      <c r="O55" s="67">
        <f t="shared" si="42"/>
        <v>0</v>
      </c>
      <c r="P55" s="1003"/>
    </row>
    <row r="56" spans="2:16" x14ac:dyDescent="0.25">
      <c r="B56" s="998"/>
      <c r="C56" s="1005" t="s">
        <v>76</v>
      </c>
      <c r="D56" s="61" t="s">
        <v>77</v>
      </c>
      <c r="E56" s="62">
        <v>0</v>
      </c>
      <c r="F56" s="63">
        <f>G56+H56</f>
        <v>0</v>
      </c>
      <c r="G56" s="63">
        <v>0</v>
      </c>
      <c r="H56" s="64">
        <v>0</v>
      </c>
      <c r="I56" s="79">
        <f t="shared" si="37"/>
        <v>0</v>
      </c>
      <c r="J56" s="4">
        <f t="shared" si="38"/>
        <v>0</v>
      </c>
      <c r="K56" s="4">
        <f t="shared" si="39"/>
        <v>0</v>
      </c>
      <c r="L56" s="65" t="e">
        <f t="shared" si="40"/>
        <v>#DIV/0!</v>
      </c>
      <c r="M56" s="66">
        <v>25.687200000000001</v>
      </c>
      <c r="N56" s="67">
        <f t="shared" si="41"/>
        <v>0</v>
      </c>
      <c r="O56" s="67">
        <f t="shared" si="42"/>
        <v>0</v>
      </c>
      <c r="P56" s="1003"/>
    </row>
    <row r="57" spans="2:16" x14ac:dyDescent="0.25">
      <c r="B57" s="998"/>
      <c r="C57" s="1006"/>
      <c r="D57" s="61" t="s">
        <v>117</v>
      </c>
      <c r="E57" s="62">
        <v>0</v>
      </c>
      <c r="F57" s="63">
        <f>G57+H57</f>
        <v>0</v>
      </c>
      <c r="G57" s="63">
        <v>0</v>
      </c>
      <c r="H57" s="64">
        <v>0</v>
      </c>
      <c r="I57" s="79">
        <f t="shared" si="37"/>
        <v>0</v>
      </c>
      <c r="J57" s="4">
        <f t="shared" si="38"/>
        <v>0</v>
      </c>
      <c r="K57" s="4">
        <f t="shared" si="39"/>
        <v>0</v>
      </c>
      <c r="L57" s="65" t="e">
        <f t="shared" si="40"/>
        <v>#DIV/0!</v>
      </c>
      <c r="M57" s="66">
        <v>25.033899999999999</v>
      </c>
      <c r="N57" s="67">
        <f t="shared" si="41"/>
        <v>0</v>
      </c>
      <c r="O57" s="67">
        <f t="shared" si="42"/>
        <v>0</v>
      </c>
      <c r="P57" s="1003"/>
    </row>
    <row r="58" spans="2:16" x14ac:dyDescent="0.25">
      <c r="B58" s="998"/>
      <c r="C58" s="1005" t="s">
        <v>78</v>
      </c>
      <c r="D58" s="61" t="s">
        <v>79</v>
      </c>
      <c r="E58" s="62">
        <v>0</v>
      </c>
      <c r="F58" s="63">
        <f t="shared" ref="F58:F77" si="43">G58+H58</f>
        <v>0</v>
      </c>
      <c r="G58" s="63">
        <v>0</v>
      </c>
      <c r="H58" s="64">
        <v>0</v>
      </c>
      <c r="I58" s="79">
        <f t="shared" si="37"/>
        <v>0</v>
      </c>
      <c r="J58" s="4">
        <f t="shared" si="38"/>
        <v>0</v>
      </c>
      <c r="K58" s="4">
        <f>H58</f>
        <v>0</v>
      </c>
      <c r="L58" s="65" t="e">
        <f t="shared" si="40"/>
        <v>#DIV/0!</v>
      </c>
      <c r="M58" s="66">
        <v>41.992699999999999</v>
      </c>
      <c r="N58" s="67">
        <f t="shared" si="41"/>
        <v>0</v>
      </c>
      <c r="O58" s="67">
        <f t="shared" si="42"/>
        <v>0</v>
      </c>
      <c r="P58" s="1003"/>
    </row>
    <row r="59" spans="2:16" x14ac:dyDescent="0.25">
      <c r="B59" s="998"/>
      <c r="C59" s="1006"/>
      <c r="D59" s="61" t="s">
        <v>72</v>
      </c>
      <c r="E59" s="62">
        <v>0</v>
      </c>
      <c r="F59" s="63">
        <f t="shared" si="43"/>
        <v>0</v>
      </c>
      <c r="G59" s="63">
        <v>0</v>
      </c>
      <c r="H59" s="64">
        <v>0</v>
      </c>
      <c r="I59" s="79">
        <f t="shared" si="37"/>
        <v>0</v>
      </c>
      <c r="J59" s="4">
        <f t="shared" si="38"/>
        <v>0</v>
      </c>
      <c r="K59" s="4">
        <f t="shared" si="39"/>
        <v>0</v>
      </c>
      <c r="L59" s="65" t="e">
        <f t="shared" si="40"/>
        <v>#DIV/0!</v>
      </c>
      <c r="M59" s="66">
        <v>42.283799999999999</v>
      </c>
      <c r="N59" s="67">
        <f t="shared" si="41"/>
        <v>0</v>
      </c>
      <c r="O59" s="67">
        <f t="shared" si="42"/>
        <v>0</v>
      </c>
      <c r="P59" s="1003"/>
    </row>
    <row r="60" spans="2:16" x14ac:dyDescent="0.25">
      <c r="B60" s="998"/>
      <c r="C60" s="160" t="s">
        <v>80</v>
      </c>
      <c r="D60" s="61" t="s">
        <v>81</v>
      </c>
      <c r="E60" s="62">
        <v>0</v>
      </c>
      <c r="F60" s="63">
        <f t="shared" si="43"/>
        <v>0</v>
      </c>
      <c r="G60" s="63">
        <v>0</v>
      </c>
      <c r="H60" s="64">
        <v>0</v>
      </c>
      <c r="I60" s="79">
        <f t="shared" si="37"/>
        <v>0</v>
      </c>
      <c r="J60" s="4">
        <f t="shared" si="38"/>
        <v>0</v>
      </c>
      <c r="K60" s="4">
        <f t="shared" si="39"/>
        <v>0</v>
      </c>
      <c r="L60" s="65" t="e">
        <f t="shared" si="40"/>
        <v>#DIV/0!</v>
      </c>
      <c r="M60" s="66">
        <v>4.3535000000000004</v>
      </c>
      <c r="N60" s="67">
        <f t="shared" si="41"/>
        <v>0</v>
      </c>
      <c r="O60" s="67">
        <f t="shared" si="42"/>
        <v>0</v>
      </c>
      <c r="P60" s="1003"/>
    </row>
    <row r="61" spans="2:16" x14ac:dyDescent="0.25">
      <c r="B61" s="998"/>
      <c r="C61" s="1001" t="s">
        <v>82</v>
      </c>
      <c r="D61" s="61" t="s">
        <v>77</v>
      </c>
      <c r="E61" s="62">
        <v>0</v>
      </c>
      <c r="F61" s="63">
        <f t="shared" si="43"/>
        <v>0</v>
      </c>
      <c r="G61" s="63">
        <v>0</v>
      </c>
      <c r="H61" s="64">
        <v>0</v>
      </c>
      <c r="I61" s="79">
        <f t="shared" si="37"/>
        <v>0</v>
      </c>
      <c r="J61" s="4">
        <f t="shared" si="38"/>
        <v>0</v>
      </c>
      <c r="K61" s="4">
        <f t="shared" si="39"/>
        <v>0</v>
      </c>
      <c r="L61" s="65" t="e">
        <f t="shared" si="40"/>
        <v>#DIV/0!</v>
      </c>
      <c r="M61" s="66">
        <v>4.6184000000000003</v>
      </c>
      <c r="N61" s="67">
        <f t="shared" si="41"/>
        <v>0</v>
      </c>
      <c r="O61" s="67">
        <f>M61*J61</f>
        <v>0</v>
      </c>
      <c r="P61" s="1003"/>
    </row>
    <row r="62" spans="2:16" x14ac:dyDescent="0.25">
      <c r="B62" s="998"/>
      <c r="C62" s="1001"/>
      <c r="D62" s="61" t="s">
        <v>119</v>
      </c>
      <c r="E62" s="62">
        <v>0</v>
      </c>
      <c r="F62" s="63">
        <f t="shared" si="43"/>
        <v>0</v>
      </c>
      <c r="G62" s="63">
        <v>0</v>
      </c>
      <c r="H62" s="64">
        <v>0</v>
      </c>
      <c r="I62" s="79">
        <f>J62+K62</f>
        <v>0</v>
      </c>
      <c r="J62" s="4">
        <f t="shared" si="38"/>
        <v>0</v>
      </c>
      <c r="K62" s="4">
        <f t="shared" si="39"/>
        <v>0</v>
      </c>
      <c r="L62" s="65" t="e">
        <f t="shared" si="40"/>
        <v>#DIV/0!</v>
      </c>
      <c r="M62" s="153">
        <v>4.6184000000000003</v>
      </c>
      <c r="N62" s="67">
        <f t="shared" si="41"/>
        <v>0</v>
      </c>
      <c r="O62" s="67">
        <f>M62*J62</f>
        <v>0</v>
      </c>
      <c r="P62" s="1003"/>
    </row>
    <row r="63" spans="2:16" x14ac:dyDescent="0.25">
      <c r="B63" s="998"/>
      <c r="C63" s="1001"/>
      <c r="D63" s="61" t="s">
        <v>123</v>
      </c>
      <c r="E63" s="62">
        <v>0</v>
      </c>
      <c r="F63" s="63">
        <f t="shared" si="43"/>
        <v>0</v>
      </c>
      <c r="G63" s="63">
        <v>0</v>
      </c>
      <c r="H63" s="64">
        <v>0</v>
      </c>
      <c r="I63" s="79">
        <f t="shared" ref="I63:I77" si="44">J63+K63</f>
        <v>0</v>
      </c>
      <c r="J63" s="4">
        <f t="shared" si="38"/>
        <v>0</v>
      </c>
      <c r="K63" s="4">
        <f>H63</f>
        <v>0</v>
      </c>
      <c r="L63" s="65" t="e">
        <f t="shared" si="40"/>
        <v>#DIV/0!</v>
      </c>
      <c r="M63" s="153">
        <v>4.6184000000000003</v>
      </c>
      <c r="N63" s="67">
        <f t="shared" si="41"/>
        <v>0</v>
      </c>
      <c r="O63" s="67">
        <f t="shared" ref="O63:O68" si="45">M63*J63</f>
        <v>0</v>
      </c>
      <c r="P63" s="1003"/>
    </row>
    <row r="64" spans="2:16" x14ac:dyDescent="0.25">
      <c r="B64" s="998"/>
      <c r="C64" s="1001"/>
      <c r="D64" s="61" t="s">
        <v>124</v>
      </c>
      <c r="E64" s="62">
        <v>0</v>
      </c>
      <c r="F64" s="63">
        <f t="shared" si="43"/>
        <v>24100</v>
      </c>
      <c r="G64" s="63">
        <v>23100</v>
      </c>
      <c r="H64" s="64">
        <v>1000</v>
      </c>
      <c r="I64" s="79">
        <f t="shared" si="44"/>
        <v>24100</v>
      </c>
      <c r="J64" s="4">
        <f t="shared" si="38"/>
        <v>23100</v>
      </c>
      <c r="K64" s="4">
        <f t="shared" si="39"/>
        <v>1000</v>
      </c>
      <c r="L64" s="65" t="e">
        <f t="shared" si="40"/>
        <v>#DIV/0!</v>
      </c>
      <c r="M64" s="153">
        <v>4.7636000000000003</v>
      </c>
      <c r="N64" s="67">
        <f t="shared" si="41"/>
        <v>110039.16</v>
      </c>
      <c r="O64" s="67">
        <f t="shared" si="45"/>
        <v>110039.16</v>
      </c>
      <c r="P64" s="1003"/>
    </row>
    <row r="65" spans="2:16" x14ac:dyDescent="0.25">
      <c r="B65" s="998"/>
      <c r="C65" s="1001"/>
      <c r="D65" s="61" t="s">
        <v>83</v>
      </c>
      <c r="E65" s="62">
        <v>0</v>
      </c>
      <c r="F65" s="63">
        <f t="shared" si="43"/>
        <v>0</v>
      </c>
      <c r="G65" s="63">
        <v>0</v>
      </c>
      <c r="H65" s="64">
        <v>0</v>
      </c>
      <c r="I65" s="79">
        <f t="shared" si="44"/>
        <v>0</v>
      </c>
      <c r="J65" s="4">
        <f t="shared" si="38"/>
        <v>0</v>
      </c>
      <c r="K65" s="4">
        <f t="shared" si="39"/>
        <v>0</v>
      </c>
      <c r="L65" s="65" t="e">
        <f t="shared" si="40"/>
        <v>#DIV/0!</v>
      </c>
      <c r="M65" s="66">
        <v>4.8738000000000001</v>
      </c>
      <c r="N65" s="67">
        <f t="shared" si="41"/>
        <v>0</v>
      </c>
      <c r="O65" s="67">
        <f t="shared" si="45"/>
        <v>0</v>
      </c>
      <c r="P65" s="1003"/>
    </row>
    <row r="66" spans="2:16" x14ac:dyDescent="0.25">
      <c r="B66" s="998"/>
      <c r="C66" s="160" t="s">
        <v>128</v>
      </c>
      <c r="D66" s="61" t="s">
        <v>124</v>
      </c>
      <c r="E66" s="62"/>
      <c r="F66" s="63">
        <f t="shared" si="43"/>
        <v>0</v>
      </c>
      <c r="G66" s="63">
        <v>0</v>
      </c>
      <c r="H66" s="64">
        <v>0</v>
      </c>
      <c r="I66" s="79">
        <f t="shared" si="44"/>
        <v>0</v>
      </c>
      <c r="J66" s="4">
        <f t="shared" si="38"/>
        <v>0</v>
      </c>
      <c r="K66" s="4">
        <f t="shared" si="39"/>
        <v>0</v>
      </c>
      <c r="L66" s="65"/>
      <c r="M66" s="66">
        <v>4.8738000000000001</v>
      </c>
      <c r="N66" s="67">
        <f t="shared" si="41"/>
        <v>0</v>
      </c>
      <c r="O66" s="67">
        <f t="shared" si="45"/>
        <v>0</v>
      </c>
      <c r="P66" s="1003"/>
    </row>
    <row r="67" spans="2:16" x14ac:dyDescent="0.25">
      <c r="B67" s="998"/>
      <c r="C67" s="1001" t="s">
        <v>84</v>
      </c>
      <c r="D67" s="61" t="s">
        <v>77</v>
      </c>
      <c r="E67" s="62">
        <v>0</v>
      </c>
      <c r="F67" s="63">
        <f t="shared" si="43"/>
        <v>34900</v>
      </c>
      <c r="G67" s="63">
        <v>34750</v>
      </c>
      <c r="H67" s="64">
        <v>150</v>
      </c>
      <c r="I67" s="79">
        <f t="shared" si="44"/>
        <v>34900</v>
      </c>
      <c r="J67" s="4">
        <f t="shared" si="38"/>
        <v>34750</v>
      </c>
      <c r="K67" s="4">
        <f t="shared" si="39"/>
        <v>150</v>
      </c>
      <c r="L67" s="65" t="e">
        <f t="shared" ref="L67:L77" si="46">+J67/E67</f>
        <v>#DIV/0!</v>
      </c>
      <c r="M67" s="66">
        <v>4.9344999999999999</v>
      </c>
      <c r="N67" s="67">
        <f t="shared" si="41"/>
        <v>171473.875</v>
      </c>
      <c r="O67" s="67">
        <f t="shared" si="45"/>
        <v>171473.875</v>
      </c>
      <c r="P67" s="1003"/>
    </row>
    <row r="68" spans="2:16" x14ac:dyDescent="0.25">
      <c r="B68" s="998"/>
      <c r="C68" s="1001"/>
      <c r="D68" s="61" t="s">
        <v>135</v>
      </c>
      <c r="E68" s="62"/>
      <c r="F68" s="63">
        <f t="shared" si="43"/>
        <v>0</v>
      </c>
      <c r="G68" s="63">
        <v>0</v>
      </c>
      <c r="H68" s="64">
        <v>0</v>
      </c>
      <c r="I68" s="79">
        <f t="shared" si="44"/>
        <v>0</v>
      </c>
      <c r="J68" s="4">
        <f t="shared" si="38"/>
        <v>0</v>
      </c>
      <c r="K68" s="4">
        <f t="shared" si="39"/>
        <v>0</v>
      </c>
      <c r="L68" s="65" t="e">
        <f t="shared" si="46"/>
        <v>#DIV/0!</v>
      </c>
      <c r="M68" s="66">
        <v>4.9344999999999999</v>
      </c>
      <c r="N68" s="67">
        <f t="shared" si="41"/>
        <v>0</v>
      </c>
      <c r="O68" s="67">
        <f t="shared" si="45"/>
        <v>0</v>
      </c>
      <c r="P68" s="1003"/>
    </row>
    <row r="69" spans="2:16" x14ac:dyDescent="0.25">
      <c r="B69" s="998"/>
      <c r="C69" s="1001"/>
      <c r="D69" s="61" t="s">
        <v>129</v>
      </c>
      <c r="E69" s="62">
        <v>0</v>
      </c>
      <c r="F69" s="63">
        <f t="shared" si="43"/>
        <v>0</v>
      </c>
      <c r="G69" s="155">
        <v>0</v>
      </c>
      <c r="H69" s="156">
        <v>0</v>
      </c>
      <c r="I69" s="157">
        <f t="shared" si="44"/>
        <v>0</v>
      </c>
      <c r="J69" s="4">
        <f t="shared" si="38"/>
        <v>0</v>
      </c>
      <c r="K69" s="4">
        <f>H69</f>
        <v>0</v>
      </c>
      <c r="L69" s="158" t="e">
        <f t="shared" si="46"/>
        <v>#DIV/0!</v>
      </c>
      <c r="M69" s="66">
        <v>4.9344999999999999</v>
      </c>
      <c r="N69" s="159">
        <f t="shared" si="41"/>
        <v>0</v>
      </c>
      <c r="O69" s="67">
        <f>M69*J69</f>
        <v>0</v>
      </c>
      <c r="P69" s="1003"/>
    </row>
    <row r="70" spans="2:16" x14ac:dyDescent="0.25">
      <c r="B70" s="998"/>
      <c r="C70" s="1001" t="s">
        <v>85</v>
      </c>
      <c r="D70" s="61" t="s">
        <v>77</v>
      </c>
      <c r="E70" s="62">
        <v>0</v>
      </c>
      <c r="F70" s="63">
        <f t="shared" si="43"/>
        <v>18900</v>
      </c>
      <c r="G70" s="63">
        <v>18000</v>
      </c>
      <c r="H70" s="64">
        <v>900</v>
      </c>
      <c r="I70" s="79">
        <f t="shared" si="44"/>
        <v>18900</v>
      </c>
      <c r="J70" s="4">
        <f t="shared" si="38"/>
        <v>18000</v>
      </c>
      <c r="K70" s="4">
        <f t="shared" si="39"/>
        <v>900</v>
      </c>
      <c r="L70" s="65" t="e">
        <f t="shared" si="46"/>
        <v>#DIV/0!</v>
      </c>
      <c r="M70" s="148">
        <v>5.5069999999999997</v>
      </c>
      <c r="N70" s="67">
        <f t="shared" si="41"/>
        <v>99126</v>
      </c>
      <c r="O70" s="67">
        <f>M70*J70</f>
        <v>99126</v>
      </c>
      <c r="P70" s="1003"/>
    </row>
    <row r="71" spans="2:16" x14ac:dyDescent="0.25">
      <c r="B71" s="998"/>
      <c r="C71" s="1001"/>
      <c r="D71" s="61" t="s">
        <v>112</v>
      </c>
      <c r="E71" s="62">
        <v>0</v>
      </c>
      <c r="F71" s="63">
        <f t="shared" si="43"/>
        <v>0</v>
      </c>
      <c r="G71" s="63">
        <v>0</v>
      </c>
      <c r="H71" s="64">
        <v>0</v>
      </c>
      <c r="I71" s="79">
        <f t="shared" si="44"/>
        <v>0</v>
      </c>
      <c r="J71" s="4">
        <f t="shared" si="38"/>
        <v>0</v>
      </c>
      <c r="K71" s="4">
        <f t="shared" si="39"/>
        <v>0</v>
      </c>
      <c r="L71" s="65" t="e">
        <f t="shared" si="46"/>
        <v>#DIV/0!</v>
      </c>
      <c r="M71" s="147">
        <v>5.6550000000000002</v>
      </c>
      <c r="N71" s="67">
        <f t="shared" si="41"/>
        <v>0</v>
      </c>
      <c r="O71" s="67">
        <f>M71*J71</f>
        <v>0</v>
      </c>
      <c r="P71" s="1003"/>
    </row>
    <row r="72" spans="2:16" x14ac:dyDescent="0.25">
      <c r="B72" s="998"/>
      <c r="C72" s="1001"/>
      <c r="D72" s="61" t="s">
        <v>118</v>
      </c>
      <c r="E72" s="62">
        <v>0</v>
      </c>
      <c r="F72" s="63">
        <f t="shared" si="43"/>
        <v>0</v>
      </c>
      <c r="G72" s="63">
        <v>0</v>
      </c>
      <c r="H72" s="64">
        <v>0</v>
      </c>
      <c r="I72" s="79">
        <f t="shared" si="44"/>
        <v>0</v>
      </c>
      <c r="J72" s="4">
        <f t="shared" si="38"/>
        <v>0</v>
      </c>
      <c r="K72" s="4">
        <f t="shared" si="39"/>
        <v>0</v>
      </c>
      <c r="L72" s="65" t="e">
        <f t="shared" si="46"/>
        <v>#DIV/0!</v>
      </c>
      <c r="M72" s="152">
        <v>5.6550000000000002</v>
      </c>
      <c r="N72" s="67">
        <f t="shared" si="41"/>
        <v>0</v>
      </c>
      <c r="O72" s="67">
        <f>M72*J72</f>
        <v>0</v>
      </c>
      <c r="P72" s="1003"/>
    </row>
    <row r="73" spans="2:16" x14ac:dyDescent="0.25">
      <c r="B73" s="998"/>
      <c r="C73" s="1001"/>
      <c r="D73" s="61" t="s">
        <v>121</v>
      </c>
      <c r="E73" s="62">
        <v>0</v>
      </c>
      <c r="F73" s="63">
        <f t="shared" si="43"/>
        <v>6000</v>
      </c>
      <c r="G73" s="63">
        <v>5500</v>
      </c>
      <c r="H73" s="64">
        <v>500</v>
      </c>
      <c r="I73" s="79">
        <f t="shared" si="44"/>
        <v>6000</v>
      </c>
      <c r="J73" s="4">
        <f t="shared" si="38"/>
        <v>5500</v>
      </c>
      <c r="K73" s="4">
        <f t="shared" si="39"/>
        <v>500</v>
      </c>
      <c r="L73" s="65" t="e">
        <f t="shared" si="46"/>
        <v>#DIV/0!</v>
      </c>
      <c r="M73" s="66">
        <v>5.7885299999999997</v>
      </c>
      <c r="N73" s="67">
        <f>+M73*G73</f>
        <v>31836.914999999997</v>
      </c>
      <c r="O73" s="67">
        <f>M73*J73</f>
        <v>31836.914999999997</v>
      </c>
      <c r="P73" s="1003"/>
    </row>
    <row r="74" spans="2:16" x14ac:dyDescent="0.25">
      <c r="B74" s="998"/>
      <c r="C74" s="1001"/>
      <c r="D74" s="61" t="s">
        <v>136</v>
      </c>
      <c r="E74" s="62">
        <v>0</v>
      </c>
      <c r="F74" s="63">
        <f t="shared" si="43"/>
        <v>0</v>
      </c>
      <c r="G74" s="63">
        <v>0</v>
      </c>
      <c r="H74" s="64">
        <v>0</v>
      </c>
      <c r="I74" s="79">
        <f t="shared" si="44"/>
        <v>0</v>
      </c>
      <c r="J74" s="4">
        <f t="shared" si="38"/>
        <v>0</v>
      </c>
      <c r="K74" s="4">
        <f t="shared" si="39"/>
        <v>0</v>
      </c>
      <c r="L74" s="65" t="e">
        <f t="shared" si="46"/>
        <v>#DIV/0!</v>
      </c>
      <c r="M74" s="152">
        <v>5.6550000000000002</v>
      </c>
      <c r="N74" s="67">
        <f t="shared" ref="N74:N76" si="47">+M74*G74</f>
        <v>0</v>
      </c>
      <c r="O74" s="67">
        <f t="shared" ref="O74:O77" si="48">M74*J74</f>
        <v>0</v>
      </c>
      <c r="P74" s="1003"/>
    </row>
    <row r="75" spans="2:16" x14ac:dyDescent="0.25">
      <c r="B75" s="998"/>
      <c r="C75" s="160" t="s">
        <v>86</v>
      </c>
      <c r="D75" s="61" t="s">
        <v>77</v>
      </c>
      <c r="E75" s="62">
        <v>0</v>
      </c>
      <c r="F75" s="63">
        <f t="shared" si="43"/>
        <v>0</v>
      </c>
      <c r="G75" s="63">
        <v>0</v>
      </c>
      <c r="H75" s="64">
        <v>0</v>
      </c>
      <c r="I75" s="79">
        <f t="shared" si="44"/>
        <v>0</v>
      </c>
      <c r="J75" s="4">
        <f t="shared" si="38"/>
        <v>0</v>
      </c>
      <c r="K75" s="4">
        <f>H75</f>
        <v>0</v>
      </c>
      <c r="L75" s="65" t="e">
        <f t="shared" si="46"/>
        <v>#DIV/0!</v>
      </c>
      <c r="M75" s="66">
        <v>3.2963</v>
      </c>
      <c r="N75" s="67">
        <f t="shared" si="47"/>
        <v>0</v>
      </c>
      <c r="O75" s="67">
        <f t="shared" si="48"/>
        <v>0</v>
      </c>
      <c r="P75" s="1003"/>
    </row>
    <row r="76" spans="2:16" x14ac:dyDescent="0.25">
      <c r="B76" s="998"/>
      <c r="C76" s="160" t="s">
        <v>87</v>
      </c>
      <c r="D76" s="61" t="s">
        <v>77</v>
      </c>
      <c r="E76" s="62">
        <v>0</v>
      </c>
      <c r="F76" s="63">
        <f t="shared" si="43"/>
        <v>0</v>
      </c>
      <c r="G76" s="63">
        <v>0</v>
      </c>
      <c r="H76" s="64">
        <v>0</v>
      </c>
      <c r="I76" s="79">
        <f t="shared" si="44"/>
        <v>0</v>
      </c>
      <c r="J76" s="4">
        <f t="shared" si="38"/>
        <v>0</v>
      </c>
      <c r="K76" s="4">
        <f t="shared" si="39"/>
        <v>0</v>
      </c>
      <c r="L76" s="65" t="e">
        <f t="shared" si="46"/>
        <v>#DIV/0!</v>
      </c>
      <c r="M76" s="66">
        <v>3.2963</v>
      </c>
      <c r="N76" s="67">
        <f t="shared" si="47"/>
        <v>0</v>
      </c>
      <c r="O76" s="67">
        <f t="shared" si="48"/>
        <v>0</v>
      </c>
      <c r="P76" s="1003"/>
    </row>
    <row r="77" spans="2:16" ht="15.75" thickBot="1" x14ac:dyDescent="0.3">
      <c r="B77" s="998"/>
      <c r="C77" s="68" t="s">
        <v>88</v>
      </c>
      <c r="D77" s="69" t="s">
        <v>89</v>
      </c>
      <c r="E77" s="70">
        <v>0</v>
      </c>
      <c r="F77" s="71">
        <f t="shared" si="43"/>
        <v>0</v>
      </c>
      <c r="G77" s="71">
        <v>0</v>
      </c>
      <c r="H77" s="72">
        <v>0</v>
      </c>
      <c r="I77" s="80">
        <f t="shared" si="44"/>
        <v>0</v>
      </c>
      <c r="J77" s="4">
        <f t="shared" si="38"/>
        <v>0</v>
      </c>
      <c r="K77" s="4">
        <f t="shared" si="39"/>
        <v>0</v>
      </c>
      <c r="L77" s="65" t="e">
        <f t="shared" si="46"/>
        <v>#DIV/0!</v>
      </c>
      <c r="M77" s="73">
        <v>2.3201000000000001</v>
      </c>
      <c r="N77" s="74">
        <f t="shared" ref="N77" si="49">M77*G77</f>
        <v>0</v>
      </c>
      <c r="O77" s="74">
        <f t="shared" si="48"/>
        <v>0</v>
      </c>
      <c r="P77" s="1004"/>
    </row>
    <row r="78" spans="2:16" ht="15.75" thickBot="1" x14ac:dyDescent="0.3">
      <c r="B78" s="999"/>
      <c r="C78" s="1007" t="s">
        <v>99</v>
      </c>
      <c r="D78" s="1008"/>
      <c r="E78" s="1008"/>
      <c r="F78" s="1008"/>
      <c r="G78" s="1008"/>
      <c r="H78" s="1009"/>
      <c r="I78" s="116">
        <f>J78+K78</f>
        <v>83900</v>
      </c>
      <c r="J78" s="115">
        <f>SUM(J50:J77)</f>
        <v>81350</v>
      </c>
      <c r="K78" s="115">
        <f>SUM(K50:K77)</f>
        <v>2550</v>
      </c>
      <c r="L78" s="114"/>
      <c r="M78" s="113"/>
      <c r="N78" s="114"/>
      <c r="O78" s="97">
        <f>SUM(O50:O77)</f>
        <v>412475.95</v>
      </c>
      <c r="P78" s="96"/>
    </row>
    <row r="79" spans="2:16" ht="15.75" thickBot="1" x14ac:dyDescent="0.3"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2"/>
    </row>
    <row r="80" spans="2:16" ht="15.75" thickBot="1" x14ac:dyDescent="0.3">
      <c r="B80" s="992" t="s">
        <v>100</v>
      </c>
      <c r="C80" s="993"/>
      <c r="D80" s="993"/>
      <c r="E80" s="993"/>
      <c r="F80" s="993"/>
      <c r="G80" s="993"/>
      <c r="H80" s="993"/>
      <c r="I80" s="993"/>
      <c r="J80" s="993"/>
      <c r="K80" s="993"/>
      <c r="L80" s="993"/>
      <c r="M80" s="993"/>
      <c r="N80" s="994"/>
      <c r="O80" s="103">
        <f>+O78+O49+O34</f>
        <v>1349521.7749999999</v>
      </c>
      <c r="P80" s="96"/>
    </row>
    <row r="81" spans="2:16" ht="15.75" thickBot="1" x14ac:dyDescent="0.3"/>
    <row r="82" spans="2:16" x14ac:dyDescent="0.25">
      <c r="B82" s="1026" t="s">
        <v>1</v>
      </c>
      <c r="C82" s="1028" t="s">
        <v>2</v>
      </c>
      <c r="D82" s="1031" t="s">
        <v>3</v>
      </c>
      <c r="E82" s="1034" t="s">
        <v>4</v>
      </c>
      <c r="F82" s="1035"/>
      <c r="G82" s="1035"/>
      <c r="H82" s="1035"/>
      <c r="I82" s="1035"/>
      <c r="J82" s="1035"/>
      <c r="K82" s="1035"/>
      <c r="L82" s="1036"/>
      <c r="M82" s="1037" t="s">
        <v>5</v>
      </c>
      <c r="N82" s="1038"/>
      <c r="O82" s="1039"/>
      <c r="P82" s="1031" t="s">
        <v>6</v>
      </c>
    </row>
    <row r="83" spans="2:16" x14ac:dyDescent="0.25">
      <c r="B83" s="1027"/>
      <c r="C83" s="1029"/>
      <c r="D83" s="1032"/>
      <c r="E83" s="1040" t="s">
        <v>7</v>
      </c>
      <c r="F83" s="1042" t="s">
        <v>140</v>
      </c>
      <c r="G83" s="1042"/>
      <c r="H83" s="1043"/>
      <c r="I83" s="1044" t="s">
        <v>8</v>
      </c>
      <c r="J83" s="1042"/>
      <c r="K83" s="1042"/>
      <c r="L83" s="1043" t="s">
        <v>9</v>
      </c>
      <c r="M83" s="1046" t="s">
        <v>10</v>
      </c>
      <c r="N83" s="1048" t="s">
        <v>11</v>
      </c>
      <c r="O83" s="1050" t="s">
        <v>12</v>
      </c>
      <c r="P83" s="1032"/>
    </row>
    <row r="84" spans="2:16" ht="15.75" thickBot="1" x14ac:dyDescent="0.3">
      <c r="B84" s="1027"/>
      <c r="C84" s="1030"/>
      <c r="D84" s="1033"/>
      <c r="E84" s="1041"/>
      <c r="F84" s="2" t="s">
        <v>13</v>
      </c>
      <c r="G84" s="2" t="s">
        <v>14</v>
      </c>
      <c r="H84" s="164" t="s">
        <v>15</v>
      </c>
      <c r="I84" s="142" t="s">
        <v>13</v>
      </c>
      <c r="J84" s="2" t="s">
        <v>14</v>
      </c>
      <c r="K84" s="2" t="s">
        <v>15</v>
      </c>
      <c r="L84" s="1045"/>
      <c r="M84" s="1047"/>
      <c r="N84" s="1049"/>
      <c r="O84" s="1051"/>
      <c r="P84" s="1033"/>
    </row>
    <row r="85" spans="2:16" x14ac:dyDescent="0.25">
      <c r="B85" s="1010" t="s">
        <v>53</v>
      </c>
      <c r="C85" s="29"/>
      <c r="D85" s="117" t="s">
        <v>54</v>
      </c>
      <c r="E85" s="98">
        <v>0</v>
      </c>
      <c r="F85" s="4">
        <f>+G85+H85</f>
        <v>0</v>
      </c>
      <c r="G85" s="4">
        <v>0</v>
      </c>
      <c r="H85" s="8">
        <v>0</v>
      </c>
      <c r="I85" s="6">
        <f>J85+K85</f>
        <v>0</v>
      </c>
      <c r="J85" s="4">
        <f>G85+J20</f>
        <v>0</v>
      </c>
      <c r="K85" s="4">
        <f>H85+K20</f>
        <v>0</v>
      </c>
      <c r="L85" s="33" t="e">
        <f>+J85/E85</f>
        <v>#DIV/0!</v>
      </c>
      <c r="M85" s="104">
        <v>1.3652</v>
      </c>
      <c r="N85" s="31">
        <f>G85*M85</f>
        <v>0</v>
      </c>
      <c r="O85" s="86">
        <f>M85*J85</f>
        <v>0</v>
      </c>
      <c r="P85" s="1012"/>
    </row>
    <row r="86" spans="2:16" x14ac:dyDescent="0.25">
      <c r="B86" s="1011"/>
      <c r="C86" s="32"/>
      <c r="D86" s="118" t="s">
        <v>109</v>
      </c>
      <c r="E86" s="99">
        <v>0</v>
      </c>
      <c r="F86" s="9">
        <f>+G86+H86</f>
        <v>0</v>
      </c>
      <c r="G86" s="9">
        <v>0</v>
      </c>
      <c r="H86" s="10">
        <v>0</v>
      </c>
      <c r="I86" s="6">
        <f>J86+K86</f>
        <v>0</v>
      </c>
      <c r="J86" s="4">
        <f>+G86+J21</f>
        <v>0</v>
      </c>
      <c r="K86" s="4">
        <f>+H86+K21</f>
        <v>0</v>
      </c>
      <c r="L86" s="33"/>
      <c r="M86" s="105">
        <v>5.9917999999999996</v>
      </c>
      <c r="N86" s="34">
        <f>M86*G86</f>
        <v>0</v>
      </c>
      <c r="O86" s="87">
        <f>M86*J86</f>
        <v>0</v>
      </c>
      <c r="P86" s="1013"/>
    </row>
    <row r="87" spans="2:16" x14ac:dyDescent="0.25">
      <c r="B87" s="1011"/>
      <c r="C87" s="35"/>
      <c r="D87" s="119" t="s">
        <v>55</v>
      </c>
      <c r="E87" s="99">
        <v>0</v>
      </c>
      <c r="F87" s="9">
        <f t="shared" ref="F87:F91" si="50">+G87+H87</f>
        <v>173895</v>
      </c>
      <c r="G87" s="9">
        <v>172500</v>
      </c>
      <c r="H87" s="10">
        <v>1395</v>
      </c>
      <c r="I87" s="6">
        <f t="shared" ref="I87:I91" si="51">J87+K87</f>
        <v>347837</v>
      </c>
      <c r="J87" s="4">
        <f t="shared" ref="J87:J91" si="52">+G87+J22</f>
        <v>345000</v>
      </c>
      <c r="K87" s="4">
        <f t="shared" ref="K87:K91" si="53">+H87+K22</f>
        <v>2837</v>
      </c>
      <c r="L87" s="33" t="e">
        <f t="shared" ref="L87" si="54">+J87/E87</f>
        <v>#DIV/0!</v>
      </c>
      <c r="M87" s="106">
        <v>2.3807999999999998</v>
      </c>
      <c r="N87" s="36">
        <f>G87*M87</f>
        <v>410687.99999999994</v>
      </c>
      <c r="O87" s="88">
        <f>M87*J87</f>
        <v>821375.99999999988</v>
      </c>
      <c r="P87" s="1013"/>
    </row>
    <row r="88" spans="2:16" x14ac:dyDescent="0.25">
      <c r="B88" s="1011"/>
      <c r="C88" s="35"/>
      <c r="D88" s="119" t="s">
        <v>56</v>
      </c>
      <c r="E88" s="99">
        <v>0</v>
      </c>
      <c r="F88" s="9">
        <f t="shared" si="50"/>
        <v>0</v>
      </c>
      <c r="G88" s="9">
        <v>0</v>
      </c>
      <c r="H88" s="10">
        <v>0</v>
      </c>
      <c r="I88" s="6">
        <f t="shared" si="51"/>
        <v>0</v>
      </c>
      <c r="J88" s="4">
        <f t="shared" si="52"/>
        <v>0</v>
      </c>
      <c r="K88" s="4">
        <f t="shared" si="53"/>
        <v>0</v>
      </c>
      <c r="L88" s="33"/>
      <c r="M88" s="106">
        <v>2.1457999999999999</v>
      </c>
      <c r="N88" s="36">
        <f t="shared" ref="N88:N91" si="55">G88*M88</f>
        <v>0</v>
      </c>
      <c r="O88" s="88">
        <f>M88*J88</f>
        <v>0</v>
      </c>
      <c r="P88" s="1013"/>
    </row>
    <row r="89" spans="2:16" x14ac:dyDescent="0.25">
      <c r="B89" s="1011"/>
      <c r="C89" s="35"/>
      <c r="D89" s="119" t="s">
        <v>106</v>
      </c>
      <c r="E89" s="99">
        <v>0</v>
      </c>
      <c r="F89" s="9">
        <f t="shared" si="50"/>
        <v>0</v>
      </c>
      <c r="G89" s="9">
        <v>0</v>
      </c>
      <c r="H89" s="10">
        <v>0</v>
      </c>
      <c r="I89" s="6">
        <f t="shared" si="51"/>
        <v>0</v>
      </c>
      <c r="J89" s="4">
        <f t="shared" si="52"/>
        <v>0</v>
      </c>
      <c r="K89" s="4">
        <f t="shared" si="53"/>
        <v>0</v>
      </c>
      <c r="L89" s="33" t="e">
        <f t="shared" ref="L89:L90" si="56">+J89/E89</f>
        <v>#DIV/0!</v>
      </c>
      <c r="M89" s="143">
        <v>4.0426000000000002</v>
      </c>
      <c r="N89" s="36">
        <f t="shared" si="55"/>
        <v>0</v>
      </c>
      <c r="O89" s="88">
        <f>M89*J89</f>
        <v>0</v>
      </c>
      <c r="P89" s="1013"/>
    </row>
    <row r="90" spans="2:16" x14ac:dyDescent="0.25">
      <c r="B90" s="1011"/>
      <c r="C90" s="35"/>
      <c r="D90" s="119" t="s">
        <v>110</v>
      </c>
      <c r="E90" s="99">
        <v>0</v>
      </c>
      <c r="F90" s="9">
        <f t="shared" si="50"/>
        <v>0</v>
      </c>
      <c r="G90" s="9">
        <v>0</v>
      </c>
      <c r="H90" s="10">
        <v>0</v>
      </c>
      <c r="I90" s="6">
        <f t="shared" si="51"/>
        <v>0</v>
      </c>
      <c r="J90" s="4">
        <f t="shared" si="52"/>
        <v>0</v>
      </c>
      <c r="K90" s="4">
        <f t="shared" si="53"/>
        <v>0</v>
      </c>
      <c r="L90" s="33" t="e">
        <f t="shared" si="56"/>
        <v>#DIV/0!</v>
      </c>
      <c r="M90" s="143">
        <v>3.8715000000000002</v>
      </c>
      <c r="N90" s="36">
        <f t="shared" si="55"/>
        <v>0</v>
      </c>
      <c r="O90" s="88">
        <f t="shared" ref="O90:O91" si="57">M90*J90</f>
        <v>0</v>
      </c>
      <c r="P90" s="1013"/>
    </row>
    <row r="91" spans="2:16" ht="15.75" thickBot="1" x14ac:dyDescent="0.3">
      <c r="B91" s="1011"/>
      <c r="C91" s="82"/>
      <c r="D91" s="120" t="s">
        <v>57</v>
      </c>
      <c r="E91" s="108">
        <v>0</v>
      </c>
      <c r="F91" s="12">
        <f t="shared" si="50"/>
        <v>0</v>
      </c>
      <c r="G91" s="12">
        <v>0</v>
      </c>
      <c r="H91" s="13">
        <v>0</v>
      </c>
      <c r="I91" s="21">
        <f t="shared" si="51"/>
        <v>0</v>
      </c>
      <c r="J91" s="4">
        <f t="shared" si="52"/>
        <v>0</v>
      </c>
      <c r="K91" s="4">
        <f t="shared" si="53"/>
        <v>0</v>
      </c>
      <c r="L91" s="81"/>
      <c r="M91" s="127">
        <v>12.284700000000001</v>
      </c>
      <c r="N91" s="36">
        <f t="shared" si="55"/>
        <v>0</v>
      </c>
      <c r="O91" s="128">
        <f t="shared" si="57"/>
        <v>0</v>
      </c>
      <c r="P91" s="1013"/>
    </row>
    <row r="92" spans="2:16" ht="15.75" thickBot="1" x14ac:dyDescent="0.3">
      <c r="B92" s="1011"/>
      <c r="C92" s="1016" t="s">
        <v>104</v>
      </c>
      <c r="D92" s="1017"/>
      <c r="E92" s="129"/>
      <c r="F92" s="130">
        <f>SUM(F85:F91)</f>
        <v>173895</v>
      </c>
      <c r="G92" s="130">
        <f>SUM(G85:G91)</f>
        <v>172500</v>
      </c>
      <c r="H92" s="131">
        <f>SUM(H85:H91)</f>
        <v>1395</v>
      </c>
      <c r="I92" s="132">
        <f>+J92+K92</f>
        <v>347837</v>
      </c>
      <c r="J92" s="133">
        <f>SUM(J85:J91)</f>
        <v>345000</v>
      </c>
      <c r="K92" s="133">
        <f>SUM(K85:K91)</f>
        <v>2837</v>
      </c>
      <c r="L92" s="134"/>
      <c r="M92" s="135"/>
      <c r="N92" s="136"/>
      <c r="O92" s="137">
        <f>SUM(O85:O91)</f>
        <v>821375.99999999988</v>
      </c>
      <c r="P92" s="1014"/>
    </row>
    <row r="93" spans="2:16" x14ac:dyDescent="0.25">
      <c r="B93" s="1011"/>
      <c r="C93" s="32"/>
      <c r="D93" s="118" t="s">
        <v>58</v>
      </c>
      <c r="E93" s="98">
        <v>0</v>
      </c>
      <c r="F93" s="4">
        <f t="shared" ref="F93:F96" si="58">+G93+H93</f>
        <v>0</v>
      </c>
      <c r="G93" s="4">
        <v>0</v>
      </c>
      <c r="H93" s="8">
        <v>0</v>
      </c>
      <c r="I93" s="6">
        <f t="shared" ref="I93:I97" si="59">J93+K93</f>
        <v>0</v>
      </c>
      <c r="J93" s="4">
        <f>G93+J28</f>
        <v>0</v>
      </c>
      <c r="K93" s="4">
        <f>H93+K28</f>
        <v>0</v>
      </c>
      <c r="L93" s="33" t="e">
        <f t="shared" ref="L93" si="60">+J93/E93</f>
        <v>#DIV/0!</v>
      </c>
      <c r="M93" s="105">
        <v>12.029500000000001</v>
      </c>
      <c r="N93" s="34">
        <f>M93*G93</f>
        <v>0</v>
      </c>
      <c r="O93" s="87">
        <f t="shared" ref="O93:O95" si="61">M93*J93</f>
        <v>0</v>
      </c>
      <c r="P93" s="1013"/>
    </row>
    <row r="94" spans="2:16" x14ac:dyDescent="0.25">
      <c r="B94" s="1011"/>
      <c r="C94" s="35"/>
      <c r="D94" s="119" t="s">
        <v>59</v>
      </c>
      <c r="E94" s="99">
        <v>0</v>
      </c>
      <c r="F94" s="9">
        <f t="shared" si="58"/>
        <v>0</v>
      </c>
      <c r="G94" s="9">
        <v>0</v>
      </c>
      <c r="H94" s="10">
        <v>0</v>
      </c>
      <c r="I94" s="6">
        <f t="shared" si="59"/>
        <v>0</v>
      </c>
      <c r="J94" s="4">
        <f>G94+J29</f>
        <v>0</v>
      </c>
      <c r="K94" s="4">
        <f>H94+K29</f>
        <v>0</v>
      </c>
      <c r="L94" s="33"/>
      <c r="M94" s="106">
        <v>0</v>
      </c>
      <c r="N94" s="36"/>
      <c r="O94" s="88">
        <f t="shared" si="61"/>
        <v>0</v>
      </c>
      <c r="P94" s="1013"/>
    </row>
    <row r="95" spans="2:16" x14ac:dyDescent="0.25">
      <c r="B95" s="1011"/>
      <c r="C95" s="35"/>
      <c r="D95" s="119" t="s">
        <v>97</v>
      </c>
      <c r="E95" s="99">
        <v>0</v>
      </c>
      <c r="F95" s="9">
        <f t="shared" si="58"/>
        <v>0</v>
      </c>
      <c r="G95" s="9">
        <v>0</v>
      </c>
      <c r="H95" s="10">
        <v>0</v>
      </c>
      <c r="I95" s="6">
        <f t="shared" si="59"/>
        <v>0</v>
      </c>
      <c r="J95" s="4">
        <f t="shared" ref="J95:J97" si="62">G95+J30</f>
        <v>0</v>
      </c>
      <c r="K95" s="4">
        <f t="shared" ref="K95:K97" si="63">H95+K30</f>
        <v>0</v>
      </c>
      <c r="L95" s="33" t="e">
        <f t="shared" ref="L95:L97" si="64">+J95/E95</f>
        <v>#DIV/0!</v>
      </c>
      <c r="M95" s="106">
        <v>19.688600000000001</v>
      </c>
      <c r="N95" s="36">
        <f>M95*G95</f>
        <v>0</v>
      </c>
      <c r="O95" s="88">
        <f t="shared" si="61"/>
        <v>0</v>
      </c>
      <c r="P95" s="1013"/>
    </row>
    <row r="96" spans="2:16" x14ac:dyDescent="0.25">
      <c r="B96" s="1011"/>
      <c r="C96" s="35"/>
      <c r="D96" s="119" t="s">
        <v>61</v>
      </c>
      <c r="E96" s="99">
        <v>0</v>
      </c>
      <c r="F96" s="9">
        <f t="shared" si="58"/>
        <v>0</v>
      </c>
      <c r="G96" s="9">
        <v>0</v>
      </c>
      <c r="H96" s="10">
        <v>0</v>
      </c>
      <c r="I96" s="6">
        <f t="shared" si="59"/>
        <v>0</v>
      </c>
      <c r="J96" s="4">
        <f t="shared" si="62"/>
        <v>0</v>
      </c>
      <c r="K96" s="4">
        <f t="shared" si="63"/>
        <v>0</v>
      </c>
      <c r="L96" s="33" t="e">
        <f t="shared" si="64"/>
        <v>#DIV/0!</v>
      </c>
      <c r="M96" s="106">
        <v>1.2824</v>
      </c>
      <c r="N96" s="151">
        <f>M96*G96</f>
        <v>0</v>
      </c>
      <c r="O96" s="88">
        <f>M96*J96</f>
        <v>0</v>
      </c>
      <c r="P96" s="1013"/>
    </row>
    <row r="97" spans="2:16" ht="15.75" thickBot="1" x14ac:dyDescent="0.3">
      <c r="B97" s="1011"/>
      <c r="C97" s="82"/>
      <c r="D97" s="120" t="s">
        <v>60</v>
      </c>
      <c r="E97" s="108">
        <v>0</v>
      </c>
      <c r="F97" s="12">
        <v>0</v>
      </c>
      <c r="G97" s="12">
        <v>0</v>
      </c>
      <c r="H97" s="13">
        <v>0</v>
      </c>
      <c r="I97" s="21">
        <f t="shared" si="59"/>
        <v>0</v>
      </c>
      <c r="J97" s="4">
        <f t="shared" si="62"/>
        <v>0</v>
      </c>
      <c r="K97" s="4">
        <f t="shared" si="63"/>
        <v>0</v>
      </c>
      <c r="L97" s="81" t="e">
        <f t="shared" si="64"/>
        <v>#DIV/0!</v>
      </c>
      <c r="M97" s="107">
        <v>18.2316</v>
      </c>
      <c r="N97" s="75"/>
      <c r="O97" s="89">
        <f t="shared" ref="O97" si="65">M97*J97</f>
        <v>0</v>
      </c>
      <c r="P97" s="1015"/>
    </row>
    <row r="98" spans="2:16" ht="15.75" thickBot="1" x14ac:dyDescent="0.3">
      <c r="B98" s="995" t="s">
        <v>105</v>
      </c>
      <c r="C98" s="996"/>
      <c r="D98" s="996"/>
      <c r="E98" s="124"/>
      <c r="F98" s="125">
        <f>+G98+H98</f>
        <v>0</v>
      </c>
      <c r="G98" s="125">
        <f>SUM(G93:G97)</f>
        <v>0</v>
      </c>
      <c r="H98" s="126">
        <f>SUM(H93:H97)</f>
        <v>0</v>
      </c>
      <c r="I98" s="121">
        <f>J98+K98</f>
        <v>0</v>
      </c>
      <c r="J98" s="122">
        <f>SUM(J93:J97)</f>
        <v>0</v>
      </c>
      <c r="K98" s="123">
        <f>SUM(K93:K97)</f>
        <v>0</v>
      </c>
      <c r="L98" s="138"/>
      <c r="M98" s="139"/>
      <c r="N98" s="140"/>
      <c r="O98" s="141">
        <f>SUM(O93:O97)</f>
        <v>0</v>
      </c>
      <c r="P98" s="165"/>
    </row>
    <row r="99" spans="2:16" ht="15.75" thickBot="1" x14ac:dyDescent="0.3">
      <c r="B99" s="995" t="s">
        <v>98</v>
      </c>
      <c r="C99" s="996"/>
      <c r="D99" s="996"/>
      <c r="E99" s="1018"/>
      <c r="F99" s="1018"/>
      <c r="G99" s="1018"/>
      <c r="H99" s="1018"/>
      <c r="I99" s="996"/>
      <c r="J99" s="996"/>
      <c r="K99" s="996"/>
      <c r="L99" s="996"/>
      <c r="M99" s="996"/>
      <c r="N99" s="1019"/>
      <c r="O99" s="83">
        <f>O92+O98</f>
        <v>821375.99999999988</v>
      </c>
      <c r="P99" s="165"/>
    </row>
    <row r="100" spans="2:16" x14ac:dyDescent="0.25">
      <c r="B100" s="1010" t="s">
        <v>62</v>
      </c>
      <c r="C100" s="37" t="s">
        <v>63</v>
      </c>
      <c r="D100" s="28" t="s">
        <v>64</v>
      </c>
      <c r="E100" s="38">
        <v>0</v>
      </c>
      <c r="F100" s="14">
        <f>+G100+H100</f>
        <v>0</v>
      </c>
      <c r="G100" s="14">
        <v>0</v>
      </c>
      <c r="H100" s="5">
        <v>0</v>
      </c>
      <c r="I100" s="17">
        <f t="shared" ref="I100:I106" si="66">J100+K100</f>
        <v>0</v>
      </c>
      <c r="J100" s="4">
        <f>G100+J35</f>
        <v>0</v>
      </c>
      <c r="K100" s="4">
        <f>H100+K35</f>
        <v>0</v>
      </c>
      <c r="L100" s="30" t="e">
        <f>+J100/E100</f>
        <v>#DIV/0!</v>
      </c>
      <c r="M100" s="146">
        <v>2.2141000000000002</v>
      </c>
      <c r="N100" s="15">
        <f>+M100*G100</f>
        <v>0</v>
      </c>
      <c r="O100" s="90">
        <f>+M100*J100</f>
        <v>0</v>
      </c>
      <c r="P100" s="1021"/>
    </row>
    <row r="101" spans="2:16" x14ac:dyDescent="0.25">
      <c r="B101" s="1011"/>
      <c r="C101" s="39"/>
      <c r="D101" s="22" t="s">
        <v>65</v>
      </c>
      <c r="E101" s="3">
        <v>0</v>
      </c>
      <c r="F101" s="9">
        <f t="shared" ref="F101:F106" si="67">+G101+H101</f>
        <v>0</v>
      </c>
      <c r="G101" s="4">
        <v>0</v>
      </c>
      <c r="H101" s="8">
        <v>0</v>
      </c>
      <c r="I101" s="6">
        <f t="shared" si="66"/>
        <v>0</v>
      </c>
      <c r="J101" s="4">
        <f>+G101+J36</f>
        <v>0</v>
      </c>
      <c r="K101" s="4">
        <f>+H101+K36</f>
        <v>0</v>
      </c>
      <c r="L101" s="40" t="e">
        <f t="shared" ref="L101:L102" si="68">+J101/E101</f>
        <v>#DIV/0!</v>
      </c>
      <c r="M101" s="145">
        <v>2.4565999999999999</v>
      </c>
      <c r="N101" s="11">
        <f t="shared" ref="N101:N103" si="69">+M101*G101</f>
        <v>0</v>
      </c>
      <c r="O101" s="91">
        <f t="shared" ref="O101:O103" si="70">+M101*J101</f>
        <v>0</v>
      </c>
      <c r="P101" s="1022"/>
    </row>
    <row r="102" spans="2:16" x14ac:dyDescent="0.25">
      <c r="B102" s="1011"/>
      <c r="C102" s="39"/>
      <c r="D102" s="23" t="s">
        <v>126</v>
      </c>
      <c r="E102" s="3">
        <v>0</v>
      </c>
      <c r="F102" s="9">
        <f t="shared" si="67"/>
        <v>0</v>
      </c>
      <c r="G102" s="4">
        <v>0</v>
      </c>
      <c r="H102" s="8">
        <v>0</v>
      </c>
      <c r="I102" s="6">
        <f t="shared" si="66"/>
        <v>0</v>
      </c>
      <c r="J102" s="4">
        <f t="shared" ref="J102:J106" si="71">+G102+J37</f>
        <v>0</v>
      </c>
      <c r="K102" s="4">
        <f t="shared" ref="K102:K106" si="72">+H102+K37</f>
        <v>0</v>
      </c>
      <c r="L102" s="40" t="e">
        <f t="shared" si="68"/>
        <v>#DIV/0!</v>
      </c>
      <c r="M102" s="145">
        <v>2.2907000000000002</v>
      </c>
      <c r="N102" s="11">
        <f t="shared" si="69"/>
        <v>0</v>
      </c>
      <c r="O102" s="91">
        <f t="shared" si="70"/>
        <v>0</v>
      </c>
      <c r="P102" s="1022"/>
    </row>
    <row r="103" spans="2:16" x14ac:dyDescent="0.25">
      <c r="B103" s="1011"/>
      <c r="C103" s="39"/>
      <c r="D103" s="22" t="s">
        <v>131</v>
      </c>
      <c r="E103" s="3"/>
      <c r="F103" s="9">
        <f t="shared" si="67"/>
        <v>0</v>
      </c>
      <c r="G103" s="4">
        <v>0</v>
      </c>
      <c r="H103" s="8">
        <v>0</v>
      </c>
      <c r="I103" s="6">
        <f t="shared" si="66"/>
        <v>0</v>
      </c>
      <c r="J103" s="4">
        <f t="shared" si="71"/>
        <v>0</v>
      </c>
      <c r="K103" s="4">
        <f t="shared" si="72"/>
        <v>0</v>
      </c>
      <c r="L103" s="33"/>
      <c r="M103" s="150">
        <v>2.544</v>
      </c>
      <c r="N103" s="11">
        <f t="shared" si="69"/>
        <v>0</v>
      </c>
      <c r="O103" s="91">
        <f t="shared" si="70"/>
        <v>0</v>
      </c>
      <c r="P103" s="1022"/>
    </row>
    <row r="104" spans="2:16" x14ac:dyDescent="0.25">
      <c r="B104" s="1011"/>
      <c r="C104" s="39" t="s">
        <v>66</v>
      </c>
      <c r="D104" s="22" t="s">
        <v>133</v>
      </c>
      <c r="E104" s="3">
        <v>0</v>
      </c>
      <c r="F104" s="9">
        <f t="shared" si="67"/>
        <v>0</v>
      </c>
      <c r="G104" s="4">
        <v>0</v>
      </c>
      <c r="H104" s="8">
        <v>0</v>
      </c>
      <c r="I104" s="6">
        <f t="shared" si="66"/>
        <v>40072</v>
      </c>
      <c r="J104" s="4">
        <f t="shared" si="71"/>
        <v>38500</v>
      </c>
      <c r="K104" s="4">
        <f t="shared" si="72"/>
        <v>1572</v>
      </c>
      <c r="L104" s="33" t="e">
        <f>+J104/E104</f>
        <v>#DIV/0!</v>
      </c>
      <c r="M104" s="144">
        <v>2.2141000000000002</v>
      </c>
      <c r="N104" s="7">
        <f>+M104*G104</f>
        <v>0</v>
      </c>
      <c r="O104" s="85">
        <f>+M104*J104</f>
        <v>85242.85</v>
      </c>
      <c r="P104" s="1022"/>
    </row>
    <row r="105" spans="2:16" x14ac:dyDescent="0.25">
      <c r="B105" s="1011"/>
      <c r="C105" s="39"/>
      <c r="D105" s="22" t="s">
        <v>65</v>
      </c>
      <c r="E105" s="3">
        <v>0</v>
      </c>
      <c r="F105" s="9">
        <f t="shared" si="67"/>
        <v>0</v>
      </c>
      <c r="G105" s="4">
        <v>0</v>
      </c>
      <c r="H105" s="8">
        <v>0</v>
      </c>
      <c r="I105" s="6">
        <f t="shared" si="66"/>
        <v>0</v>
      </c>
      <c r="J105" s="4">
        <f t="shared" si="71"/>
        <v>0</v>
      </c>
      <c r="K105" s="4">
        <f t="shared" si="72"/>
        <v>0</v>
      </c>
      <c r="L105" s="40" t="e">
        <f t="shared" ref="L105:L106" si="73">+J105/E105</f>
        <v>#DIV/0!</v>
      </c>
      <c r="M105" s="145">
        <v>2.4565999999999999</v>
      </c>
      <c r="N105" s="11">
        <f t="shared" ref="N105:N106" si="74">+M105*G105</f>
        <v>0</v>
      </c>
      <c r="O105" s="91">
        <f t="shared" ref="O105" si="75">+M105*J105</f>
        <v>0</v>
      </c>
      <c r="P105" s="1022"/>
    </row>
    <row r="106" spans="2:16" ht="15.75" thickBot="1" x14ac:dyDescent="0.3">
      <c r="B106" s="1011"/>
      <c r="C106" s="39"/>
      <c r="D106" s="22" t="s">
        <v>126</v>
      </c>
      <c r="E106" s="3">
        <v>0</v>
      </c>
      <c r="F106" s="9">
        <f t="shared" si="67"/>
        <v>0</v>
      </c>
      <c r="G106" s="4">
        <v>0</v>
      </c>
      <c r="H106" s="8">
        <v>0</v>
      </c>
      <c r="I106" s="6">
        <f t="shared" si="66"/>
        <v>0</v>
      </c>
      <c r="J106" s="4">
        <f t="shared" si="71"/>
        <v>0</v>
      </c>
      <c r="K106" s="4">
        <f t="shared" si="72"/>
        <v>0</v>
      </c>
      <c r="L106" s="40" t="e">
        <f t="shared" si="73"/>
        <v>#DIV/0!</v>
      </c>
      <c r="M106" s="145">
        <v>2.2907000000000002</v>
      </c>
      <c r="N106" s="11">
        <f t="shared" si="74"/>
        <v>0</v>
      </c>
      <c r="O106" s="154">
        <f>+M106*J106</f>
        <v>0</v>
      </c>
      <c r="P106" s="1023"/>
    </row>
    <row r="107" spans="2:16" ht="15.75" thickBot="1" x14ac:dyDescent="0.3">
      <c r="B107" s="1011"/>
      <c r="C107" s="41" t="s">
        <v>29</v>
      </c>
      <c r="D107" s="27" t="str">
        <f>+C107</f>
        <v>TOTAL 1/2</v>
      </c>
      <c r="E107" s="42">
        <f>SUM(E100:E106)</f>
        <v>0</v>
      </c>
      <c r="F107" s="43">
        <f>SUM(F100:F106)</f>
        <v>0</v>
      </c>
      <c r="G107" s="43">
        <f>SUM(G100:G106)</f>
        <v>0</v>
      </c>
      <c r="H107" s="44">
        <f>SUM(H100:H106)</f>
        <v>0</v>
      </c>
      <c r="I107" s="45">
        <f>SUM(I104:I106)</f>
        <v>40072</v>
      </c>
      <c r="J107" s="43">
        <f>SUM(J100:J106)</f>
        <v>38500</v>
      </c>
      <c r="K107" s="43">
        <f>SUM(K100:K106)</f>
        <v>1572</v>
      </c>
      <c r="L107" s="46" t="e">
        <f>+J107/E107</f>
        <v>#DIV/0!</v>
      </c>
      <c r="M107" s="47"/>
      <c r="N107" s="48">
        <f>SUM(N104:N106)</f>
        <v>0</v>
      </c>
      <c r="O107" s="49">
        <f>SUM(O100:O106)</f>
        <v>85242.85</v>
      </c>
      <c r="P107" s="166"/>
    </row>
    <row r="108" spans="2:16" x14ac:dyDescent="0.25">
      <c r="B108" s="1011"/>
      <c r="C108" s="1024" t="s">
        <v>67</v>
      </c>
      <c r="D108" s="22" t="s">
        <v>64</v>
      </c>
      <c r="E108" s="3">
        <v>0</v>
      </c>
      <c r="F108" s="4">
        <f>G108+H108</f>
        <v>0</v>
      </c>
      <c r="G108" s="4">
        <v>0</v>
      </c>
      <c r="H108" s="8">
        <v>0</v>
      </c>
      <c r="I108" s="16">
        <f>J108+K108</f>
        <v>109220</v>
      </c>
      <c r="J108" s="4">
        <f>G108+J43</f>
        <v>105750</v>
      </c>
      <c r="K108" s="4">
        <f>H108+K43</f>
        <v>3470</v>
      </c>
      <c r="L108" s="50" t="e">
        <f>+J108/E108</f>
        <v>#DIV/0!</v>
      </c>
      <c r="M108" s="144">
        <v>4.1712999999999996</v>
      </c>
      <c r="N108" s="7">
        <f>+M108*G108</f>
        <v>0</v>
      </c>
      <c r="O108" s="93">
        <f>+M108*J108</f>
        <v>441114.97499999998</v>
      </c>
      <c r="P108" s="1021"/>
    </row>
    <row r="109" spans="2:16" x14ac:dyDescent="0.25">
      <c r="B109" s="1011"/>
      <c r="C109" s="1025"/>
      <c r="D109" s="22" t="s">
        <v>65</v>
      </c>
      <c r="E109" s="3">
        <v>0</v>
      </c>
      <c r="F109" s="4">
        <f>G109+H109</f>
        <v>0</v>
      </c>
      <c r="G109" s="4">
        <v>0</v>
      </c>
      <c r="H109" s="8">
        <v>0</v>
      </c>
      <c r="I109" s="6">
        <f>+R1153+F109</f>
        <v>0</v>
      </c>
      <c r="J109" s="4">
        <f>G109+J44</f>
        <v>0</v>
      </c>
      <c r="K109" s="4">
        <f>H109+K44</f>
        <v>0</v>
      </c>
      <c r="L109" s="51" t="e">
        <f t="shared" ref="L109:L113" si="76">+J109/E109</f>
        <v>#DIV/0!</v>
      </c>
      <c r="M109" s="145">
        <v>4.8285999999999998</v>
      </c>
      <c r="N109" s="11">
        <f t="shared" ref="N109:N111" si="77">+M109*G109</f>
        <v>0</v>
      </c>
      <c r="O109" s="94">
        <f t="shared" ref="O109:O111" si="78">+M109*J109</f>
        <v>0</v>
      </c>
      <c r="P109" s="1022"/>
    </row>
    <row r="110" spans="2:16" x14ac:dyDescent="0.25">
      <c r="B110" s="1011"/>
      <c r="C110" s="1025"/>
      <c r="D110" s="22" t="s">
        <v>127</v>
      </c>
      <c r="E110" s="3"/>
      <c r="F110" s="4">
        <f>G110+H110</f>
        <v>0</v>
      </c>
      <c r="G110" s="4">
        <v>0</v>
      </c>
      <c r="H110" s="8">
        <v>0</v>
      </c>
      <c r="I110" s="6">
        <f>+R1154+F110</f>
        <v>0</v>
      </c>
      <c r="J110" s="4">
        <f t="shared" ref="J110:J111" si="79">G110+J45</f>
        <v>0</v>
      </c>
      <c r="K110" s="4">
        <f t="shared" ref="K110:K111" si="80">H110+K45</f>
        <v>0</v>
      </c>
      <c r="L110" s="51" t="e">
        <f t="shared" si="76"/>
        <v>#DIV/0!</v>
      </c>
      <c r="M110" s="144">
        <v>4.5023</v>
      </c>
      <c r="N110" s="11">
        <f t="shared" si="77"/>
        <v>0</v>
      </c>
      <c r="O110" s="94">
        <f t="shared" si="78"/>
        <v>0</v>
      </c>
      <c r="P110" s="1022"/>
    </row>
    <row r="111" spans="2:16" ht="15.75" thickBot="1" x14ac:dyDescent="0.3">
      <c r="B111" s="1011"/>
      <c r="C111" s="1025"/>
      <c r="D111" s="22" t="s">
        <v>111</v>
      </c>
      <c r="E111" s="3">
        <v>0</v>
      </c>
      <c r="F111" s="4">
        <f t="shared" ref="F111" si="81">G111+H111</f>
        <v>0</v>
      </c>
      <c r="G111" s="4">
        <v>0</v>
      </c>
      <c r="H111" s="8">
        <v>0</v>
      </c>
      <c r="I111" s="6">
        <f>+R1154+F111</f>
        <v>0</v>
      </c>
      <c r="J111" s="4">
        <f t="shared" si="79"/>
        <v>0</v>
      </c>
      <c r="K111" s="4">
        <f t="shared" si="80"/>
        <v>0</v>
      </c>
      <c r="L111" s="51" t="e">
        <f t="shared" si="76"/>
        <v>#DIV/0!</v>
      </c>
      <c r="M111" s="144">
        <v>4.4065000000000003</v>
      </c>
      <c r="N111" s="11">
        <f t="shared" si="77"/>
        <v>0</v>
      </c>
      <c r="O111" s="94">
        <f t="shared" si="78"/>
        <v>0</v>
      </c>
      <c r="P111" s="1022"/>
    </row>
    <row r="112" spans="2:16" ht="15.75" thickBot="1" x14ac:dyDescent="0.3">
      <c r="B112" s="1011"/>
      <c r="C112" s="41" t="s">
        <v>31</v>
      </c>
      <c r="D112" s="18" t="str">
        <f>+C112</f>
        <v>TOTAL 4/4</v>
      </c>
      <c r="E112" s="42">
        <f t="shared" ref="E112:K112" si="82">SUM(E108:E111)</f>
        <v>0</v>
      </c>
      <c r="F112" s="43">
        <f t="shared" si="82"/>
        <v>0</v>
      </c>
      <c r="G112" s="43">
        <f t="shared" si="82"/>
        <v>0</v>
      </c>
      <c r="H112" s="44">
        <f t="shared" si="82"/>
        <v>0</v>
      </c>
      <c r="I112" s="45">
        <f t="shared" si="82"/>
        <v>109220</v>
      </c>
      <c r="J112" s="43">
        <f t="shared" si="82"/>
        <v>105750</v>
      </c>
      <c r="K112" s="43">
        <f t="shared" si="82"/>
        <v>3470</v>
      </c>
      <c r="L112" s="46" t="e">
        <f t="shared" si="76"/>
        <v>#DIV/0!</v>
      </c>
      <c r="M112" s="47"/>
      <c r="N112" s="48">
        <f>SUM(N108:N111)</f>
        <v>0</v>
      </c>
      <c r="O112" s="92">
        <f>SUM(O108:O111)</f>
        <v>441114.97499999998</v>
      </c>
      <c r="P112" s="1023"/>
    </row>
    <row r="113" spans="2:16" ht="15.75" thickBot="1" x14ac:dyDescent="0.3">
      <c r="B113" s="1020"/>
      <c r="C113" s="41" t="s">
        <v>68</v>
      </c>
      <c r="D113" s="27" t="s">
        <v>64</v>
      </c>
      <c r="E113" s="25">
        <v>0</v>
      </c>
      <c r="F113" s="20">
        <f>G113+H113</f>
        <v>0</v>
      </c>
      <c r="G113" s="20">
        <v>0</v>
      </c>
      <c r="H113" s="24">
        <v>0</v>
      </c>
      <c r="I113" s="19">
        <f>J113+K113</f>
        <v>0</v>
      </c>
      <c r="J113" s="4">
        <f>G113+J48</f>
        <v>0</v>
      </c>
      <c r="K113" s="4">
        <f>H113+K48</f>
        <v>0</v>
      </c>
      <c r="L113" s="52" t="e">
        <f t="shared" si="76"/>
        <v>#DIV/0!</v>
      </c>
      <c r="M113" s="149">
        <v>1.4086000000000001</v>
      </c>
      <c r="N113" s="26">
        <f t="shared" ref="N113" si="83">+M113*G113</f>
        <v>0</v>
      </c>
      <c r="O113" s="95">
        <f t="shared" ref="O113" si="84">+M113*J113</f>
        <v>0</v>
      </c>
      <c r="P113" s="53"/>
    </row>
    <row r="114" spans="2:16" ht="15.75" thickBot="1" x14ac:dyDescent="0.3">
      <c r="B114" s="995" t="s">
        <v>95</v>
      </c>
      <c r="C114" s="996"/>
      <c r="D114" s="996"/>
      <c r="E114" s="996"/>
      <c r="F114" s="996"/>
      <c r="G114" s="996"/>
      <c r="H114" s="996"/>
      <c r="I114" s="110">
        <f>J114+K114</f>
        <v>149292</v>
      </c>
      <c r="J114" s="110">
        <f>J107+J112+J113</f>
        <v>144250</v>
      </c>
      <c r="K114" s="110">
        <f>K107+K112+K113</f>
        <v>5042</v>
      </c>
      <c r="L114" s="111"/>
      <c r="M114" s="112"/>
      <c r="N114" s="109"/>
      <c r="O114" s="77">
        <f>+O113+O112+O107</f>
        <v>526357.82499999995</v>
      </c>
      <c r="P114" s="84"/>
    </row>
    <row r="115" spans="2:16" x14ac:dyDescent="0.25">
      <c r="B115" s="997" t="s">
        <v>69</v>
      </c>
      <c r="C115" s="1000" t="s">
        <v>70</v>
      </c>
      <c r="D115" s="54" t="s">
        <v>71</v>
      </c>
      <c r="E115" s="55">
        <v>0</v>
      </c>
      <c r="F115" s="56">
        <f>G115+H115</f>
        <v>0</v>
      </c>
      <c r="G115" s="56">
        <v>0</v>
      </c>
      <c r="H115" s="57">
        <v>0</v>
      </c>
      <c r="I115" s="78">
        <f>J115+K115</f>
        <v>0</v>
      </c>
      <c r="J115" s="4">
        <f>G115+J50</f>
        <v>0</v>
      </c>
      <c r="K115" s="4">
        <f>H115+K50</f>
        <v>0</v>
      </c>
      <c r="L115" s="58" t="e">
        <f t="shared" ref="L115" si="85">+J115/E115</f>
        <v>#DIV/0!</v>
      </c>
      <c r="M115" s="59">
        <v>32.946300000000001</v>
      </c>
      <c r="N115" s="60">
        <f>+M115*G115</f>
        <v>0</v>
      </c>
      <c r="O115" s="60">
        <f>M115*J115</f>
        <v>0</v>
      </c>
      <c r="P115" s="1002"/>
    </row>
    <row r="116" spans="2:16" x14ac:dyDescent="0.25">
      <c r="B116" s="998"/>
      <c r="C116" s="1001"/>
      <c r="D116" s="61" t="s">
        <v>72</v>
      </c>
      <c r="E116" s="62">
        <v>0</v>
      </c>
      <c r="F116" s="63">
        <f>G116+H116</f>
        <v>0</v>
      </c>
      <c r="G116" s="63">
        <v>0</v>
      </c>
      <c r="H116" s="64">
        <v>0</v>
      </c>
      <c r="I116" s="79">
        <f>J116+K116</f>
        <v>0</v>
      </c>
      <c r="J116" s="4">
        <f>G116+J51</f>
        <v>0</v>
      </c>
      <c r="K116" s="4">
        <f>H116+K51</f>
        <v>0</v>
      </c>
      <c r="L116" s="65" t="e">
        <f>+J116/E116</f>
        <v>#DIV/0!</v>
      </c>
      <c r="M116" s="66">
        <v>35.398400000000002</v>
      </c>
      <c r="N116" s="67">
        <f>+M116*G116</f>
        <v>0</v>
      </c>
      <c r="O116" s="67">
        <f>M116*J116</f>
        <v>0</v>
      </c>
      <c r="P116" s="1003"/>
    </row>
    <row r="117" spans="2:16" x14ac:dyDescent="0.25">
      <c r="B117" s="998"/>
      <c r="C117" s="1001"/>
      <c r="D117" s="61" t="s">
        <v>73</v>
      </c>
      <c r="E117" s="62">
        <v>0</v>
      </c>
      <c r="F117" s="63">
        <f t="shared" ref="F117:F120" si="86">G117+H117</f>
        <v>0</v>
      </c>
      <c r="G117" s="63">
        <v>0</v>
      </c>
      <c r="H117" s="64">
        <v>0</v>
      </c>
      <c r="I117" s="79">
        <f t="shared" ref="I117:I126" si="87">J117+K117</f>
        <v>0</v>
      </c>
      <c r="J117" s="4">
        <f t="shared" ref="J117:J142" si="88">G117+J52</f>
        <v>0</v>
      </c>
      <c r="K117" s="4">
        <f t="shared" ref="K117:K121" si="89">H117+K52</f>
        <v>0</v>
      </c>
      <c r="L117" s="65" t="e">
        <f t="shared" ref="L117:L130" si="90">+J117/E117</f>
        <v>#DIV/0!</v>
      </c>
      <c r="M117" s="66">
        <v>32.946300000000001</v>
      </c>
      <c r="N117" s="67">
        <f t="shared" ref="N117:N137" si="91">+M117*G117</f>
        <v>0</v>
      </c>
      <c r="O117" s="67">
        <f t="shared" ref="O117:O125" si="92">M117*J117</f>
        <v>0</v>
      </c>
      <c r="P117" s="1003"/>
    </row>
    <row r="118" spans="2:16" x14ac:dyDescent="0.25">
      <c r="B118" s="998"/>
      <c r="C118" s="1001" t="s">
        <v>74</v>
      </c>
      <c r="D118" s="61" t="s">
        <v>75</v>
      </c>
      <c r="E118" s="62">
        <v>0</v>
      </c>
      <c r="F118" s="63">
        <f t="shared" si="86"/>
        <v>4976</v>
      </c>
      <c r="G118" s="63">
        <v>4800</v>
      </c>
      <c r="H118" s="64">
        <v>176</v>
      </c>
      <c r="I118" s="79">
        <f t="shared" si="87"/>
        <v>4976</v>
      </c>
      <c r="J118" s="4">
        <f t="shared" si="88"/>
        <v>4800</v>
      </c>
      <c r="K118" s="4">
        <f t="shared" si="89"/>
        <v>176</v>
      </c>
      <c r="L118" s="65" t="e">
        <f t="shared" si="90"/>
        <v>#DIV/0!</v>
      </c>
      <c r="M118" s="66">
        <v>55.4758</v>
      </c>
      <c r="N118" s="67">
        <f t="shared" si="91"/>
        <v>266283.84000000003</v>
      </c>
      <c r="O118" s="67">
        <f t="shared" si="92"/>
        <v>266283.84000000003</v>
      </c>
      <c r="P118" s="1003"/>
    </row>
    <row r="119" spans="2:16" x14ac:dyDescent="0.25">
      <c r="B119" s="998"/>
      <c r="C119" s="1001"/>
      <c r="D119" s="61" t="s">
        <v>134</v>
      </c>
      <c r="E119" s="62">
        <v>0</v>
      </c>
      <c r="F119" s="63">
        <f t="shared" si="86"/>
        <v>0</v>
      </c>
      <c r="G119" s="63">
        <v>0</v>
      </c>
      <c r="H119" s="64">
        <v>0</v>
      </c>
      <c r="I119" s="79">
        <f t="shared" si="87"/>
        <v>0</v>
      </c>
      <c r="J119" s="4">
        <f t="shared" si="88"/>
        <v>0</v>
      </c>
      <c r="K119" s="4">
        <f t="shared" si="89"/>
        <v>0</v>
      </c>
      <c r="L119" s="65" t="e">
        <f t="shared" si="90"/>
        <v>#DIV/0!</v>
      </c>
      <c r="M119" s="66">
        <v>53.515999999999998</v>
      </c>
      <c r="N119" s="67">
        <f t="shared" si="91"/>
        <v>0</v>
      </c>
      <c r="O119" s="67">
        <f t="shared" si="92"/>
        <v>0</v>
      </c>
      <c r="P119" s="1003"/>
    </row>
    <row r="120" spans="2:16" x14ac:dyDescent="0.25">
      <c r="B120" s="998"/>
      <c r="C120" s="1001"/>
      <c r="D120" s="61" t="s">
        <v>72</v>
      </c>
      <c r="E120" s="62">
        <v>0</v>
      </c>
      <c r="F120" s="63">
        <f t="shared" si="86"/>
        <v>0</v>
      </c>
      <c r="G120" s="63">
        <v>0</v>
      </c>
      <c r="H120" s="64">
        <v>0</v>
      </c>
      <c r="I120" s="79">
        <f t="shared" si="87"/>
        <v>0</v>
      </c>
      <c r="J120" s="4">
        <f t="shared" si="88"/>
        <v>0</v>
      </c>
      <c r="K120" s="4">
        <f t="shared" si="89"/>
        <v>0</v>
      </c>
      <c r="L120" s="65" t="e">
        <f t="shared" si="90"/>
        <v>#DIV/0!</v>
      </c>
      <c r="M120" s="66">
        <v>58.836300000000001</v>
      </c>
      <c r="N120" s="67">
        <f t="shared" si="91"/>
        <v>0</v>
      </c>
      <c r="O120" s="67">
        <f t="shared" si="92"/>
        <v>0</v>
      </c>
      <c r="P120" s="1003"/>
    </row>
    <row r="121" spans="2:16" x14ac:dyDescent="0.25">
      <c r="B121" s="998"/>
      <c r="C121" s="1005" t="s">
        <v>76</v>
      </c>
      <c r="D121" s="61" t="s">
        <v>77</v>
      </c>
      <c r="E121" s="62">
        <v>0</v>
      </c>
      <c r="F121" s="63">
        <f>G121+H121</f>
        <v>0</v>
      </c>
      <c r="G121" s="63">
        <v>0</v>
      </c>
      <c r="H121" s="64">
        <v>0</v>
      </c>
      <c r="I121" s="79">
        <f t="shared" si="87"/>
        <v>0</v>
      </c>
      <c r="J121" s="4">
        <f t="shared" si="88"/>
        <v>0</v>
      </c>
      <c r="K121" s="4">
        <f t="shared" si="89"/>
        <v>0</v>
      </c>
      <c r="L121" s="65" t="e">
        <f t="shared" si="90"/>
        <v>#DIV/0!</v>
      </c>
      <c r="M121" s="66">
        <v>25.687200000000001</v>
      </c>
      <c r="N121" s="67">
        <f t="shared" si="91"/>
        <v>0</v>
      </c>
      <c r="O121" s="67">
        <f t="shared" si="92"/>
        <v>0</v>
      </c>
      <c r="P121" s="1003"/>
    </row>
    <row r="122" spans="2:16" x14ac:dyDescent="0.25">
      <c r="B122" s="998"/>
      <c r="C122" s="1006"/>
      <c r="D122" s="61" t="s">
        <v>117</v>
      </c>
      <c r="E122" s="62">
        <v>0</v>
      </c>
      <c r="F122" s="63">
        <f>G122+H122</f>
        <v>0</v>
      </c>
      <c r="G122" s="63">
        <v>0</v>
      </c>
      <c r="H122" s="64">
        <v>0</v>
      </c>
      <c r="I122" s="79">
        <f t="shared" si="87"/>
        <v>0</v>
      </c>
      <c r="J122" s="4">
        <f t="shared" si="88"/>
        <v>0</v>
      </c>
      <c r="K122" s="4">
        <f>H122+K57</f>
        <v>0</v>
      </c>
      <c r="L122" s="65" t="e">
        <f t="shared" si="90"/>
        <v>#DIV/0!</v>
      </c>
      <c r="M122" s="66">
        <v>25.033899999999999</v>
      </c>
      <c r="N122" s="67">
        <f t="shared" si="91"/>
        <v>0</v>
      </c>
      <c r="O122" s="67">
        <f t="shared" si="92"/>
        <v>0</v>
      </c>
      <c r="P122" s="1003"/>
    </row>
    <row r="123" spans="2:16" x14ac:dyDescent="0.25">
      <c r="B123" s="998"/>
      <c r="C123" s="1005" t="s">
        <v>78</v>
      </c>
      <c r="D123" s="61" t="s">
        <v>79</v>
      </c>
      <c r="E123" s="62">
        <v>0</v>
      </c>
      <c r="F123" s="63">
        <f t="shared" ref="F123:F142" si="93">G123+H123</f>
        <v>0</v>
      </c>
      <c r="G123" s="63">
        <v>0</v>
      </c>
      <c r="H123" s="64">
        <v>0</v>
      </c>
      <c r="I123" s="79">
        <f t="shared" si="87"/>
        <v>0</v>
      </c>
      <c r="J123" s="4">
        <f t="shared" si="88"/>
        <v>0</v>
      </c>
      <c r="K123" s="4">
        <f t="shared" ref="K123:K142" si="94">H123+K58</f>
        <v>0</v>
      </c>
      <c r="L123" s="65" t="e">
        <f t="shared" si="90"/>
        <v>#DIV/0!</v>
      </c>
      <c r="M123" s="66">
        <v>41.992699999999999</v>
      </c>
      <c r="N123" s="67">
        <f t="shared" si="91"/>
        <v>0</v>
      </c>
      <c r="O123" s="67">
        <f t="shared" si="92"/>
        <v>0</v>
      </c>
      <c r="P123" s="1003"/>
    </row>
    <row r="124" spans="2:16" x14ac:dyDescent="0.25">
      <c r="B124" s="998"/>
      <c r="C124" s="1006"/>
      <c r="D124" s="61" t="s">
        <v>72</v>
      </c>
      <c r="E124" s="62">
        <v>0</v>
      </c>
      <c r="F124" s="63">
        <f t="shared" si="93"/>
        <v>0</v>
      </c>
      <c r="G124" s="63">
        <v>0</v>
      </c>
      <c r="H124" s="64">
        <v>0</v>
      </c>
      <c r="I124" s="79">
        <f t="shared" si="87"/>
        <v>0</v>
      </c>
      <c r="J124" s="4">
        <f t="shared" si="88"/>
        <v>0</v>
      </c>
      <c r="K124" s="4">
        <f t="shared" si="94"/>
        <v>0</v>
      </c>
      <c r="L124" s="65" t="e">
        <f t="shared" si="90"/>
        <v>#DIV/0!</v>
      </c>
      <c r="M124" s="66">
        <v>42.283799999999999</v>
      </c>
      <c r="N124" s="67">
        <f t="shared" si="91"/>
        <v>0</v>
      </c>
      <c r="O124" s="67">
        <f t="shared" si="92"/>
        <v>0</v>
      </c>
      <c r="P124" s="1003"/>
    </row>
    <row r="125" spans="2:16" x14ac:dyDescent="0.25">
      <c r="B125" s="998"/>
      <c r="C125" s="167" t="s">
        <v>80</v>
      </c>
      <c r="D125" s="61" t="s">
        <v>81</v>
      </c>
      <c r="E125" s="62">
        <v>0</v>
      </c>
      <c r="F125" s="63">
        <f t="shared" si="93"/>
        <v>0</v>
      </c>
      <c r="G125" s="63">
        <v>0</v>
      </c>
      <c r="H125" s="64">
        <v>0</v>
      </c>
      <c r="I125" s="79">
        <f t="shared" si="87"/>
        <v>0</v>
      </c>
      <c r="J125" s="4">
        <f t="shared" si="88"/>
        <v>0</v>
      </c>
      <c r="K125" s="4">
        <f t="shared" si="94"/>
        <v>0</v>
      </c>
      <c r="L125" s="65" t="e">
        <f t="shared" si="90"/>
        <v>#DIV/0!</v>
      </c>
      <c r="M125" s="66">
        <v>4.3535000000000004</v>
      </c>
      <c r="N125" s="67">
        <f t="shared" si="91"/>
        <v>0</v>
      </c>
      <c r="O125" s="67">
        <f t="shared" si="92"/>
        <v>0</v>
      </c>
      <c r="P125" s="1003"/>
    </row>
    <row r="126" spans="2:16" x14ac:dyDescent="0.25">
      <c r="B126" s="998"/>
      <c r="C126" s="1001" t="s">
        <v>82</v>
      </c>
      <c r="D126" s="61" t="s">
        <v>77</v>
      </c>
      <c r="E126" s="62">
        <v>0</v>
      </c>
      <c r="F126" s="63">
        <f t="shared" si="93"/>
        <v>0</v>
      </c>
      <c r="G126" s="63">
        <v>0</v>
      </c>
      <c r="H126" s="64">
        <v>0</v>
      </c>
      <c r="I126" s="79">
        <f t="shared" si="87"/>
        <v>0</v>
      </c>
      <c r="J126" s="4">
        <f t="shared" si="88"/>
        <v>0</v>
      </c>
      <c r="K126" s="4">
        <f t="shared" si="94"/>
        <v>0</v>
      </c>
      <c r="L126" s="65" t="e">
        <f t="shared" si="90"/>
        <v>#DIV/0!</v>
      </c>
      <c r="M126" s="66">
        <v>4.6184000000000003</v>
      </c>
      <c r="N126" s="67">
        <f t="shared" si="91"/>
        <v>0</v>
      </c>
      <c r="O126" s="67">
        <f>M126*J126</f>
        <v>0</v>
      </c>
      <c r="P126" s="1003"/>
    </row>
    <row r="127" spans="2:16" x14ac:dyDescent="0.25">
      <c r="B127" s="998"/>
      <c r="C127" s="1001"/>
      <c r="D127" s="61" t="s">
        <v>119</v>
      </c>
      <c r="E127" s="62">
        <v>0</v>
      </c>
      <c r="F127" s="63">
        <f t="shared" si="93"/>
        <v>0</v>
      </c>
      <c r="G127" s="63">
        <v>0</v>
      </c>
      <c r="H127" s="64">
        <v>0</v>
      </c>
      <c r="I127" s="79">
        <f>J127+K127</f>
        <v>0</v>
      </c>
      <c r="J127" s="4">
        <f t="shared" si="88"/>
        <v>0</v>
      </c>
      <c r="K127" s="4">
        <f t="shared" si="94"/>
        <v>0</v>
      </c>
      <c r="L127" s="65" t="e">
        <f t="shared" si="90"/>
        <v>#DIV/0!</v>
      </c>
      <c r="M127" s="153">
        <v>4.6184000000000003</v>
      </c>
      <c r="N127" s="67">
        <f t="shared" si="91"/>
        <v>0</v>
      </c>
      <c r="O127" s="67">
        <f>M127*J127</f>
        <v>0</v>
      </c>
      <c r="P127" s="1003"/>
    </row>
    <row r="128" spans="2:16" x14ac:dyDescent="0.25">
      <c r="B128" s="998"/>
      <c r="C128" s="1001"/>
      <c r="D128" s="61" t="s">
        <v>123</v>
      </c>
      <c r="E128" s="62">
        <v>0</v>
      </c>
      <c r="F128" s="63">
        <f t="shared" si="93"/>
        <v>0</v>
      </c>
      <c r="G128" s="63">
        <v>0</v>
      </c>
      <c r="H128" s="64">
        <v>0</v>
      </c>
      <c r="I128" s="79">
        <f t="shared" ref="I128:I142" si="95">J128+K128</f>
        <v>0</v>
      </c>
      <c r="J128" s="4">
        <f t="shared" si="88"/>
        <v>0</v>
      </c>
      <c r="K128" s="4">
        <f t="shared" si="94"/>
        <v>0</v>
      </c>
      <c r="L128" s="65" t="e">
        <f t="shared" si="90"/>
        <v>#DIV/0!</v>
      </c>
      <c r="M128" s="153">
        <v>4.6184000000000003</v>
      </c>
      <c r="N128" s="67">
        <f t="shared" si="91"/>
        <v>0</v>
      </c>
      <c r="O128" s="67">
        <f t="shared" ref="O128:O133" si="96">M128*J128</f>
        <v>0</v>
      </c>
      <c r="P128" s="1003"/>
    </row>
    <row r="129" spans="2:16" x14ac:dyDescent="0.25">
      <c r="B129" s="998"/>
      <c r="C129" s="1001"/>
      <c r="D129" s="61" t="s">
        <v>124</v>
      </c>
      <c r="E129" s="62">
        <v>0</v>
      </c>
      <c r="F129" s="63">
        <f t="shared" si="93"/>
        <v>20169</v>
      </c>
      <c r="G129" s="63">
        <v>19800</v>
      </c>
      <c r="H129" s="64">
        <v>369</v>
      </c>
      <c r="I129" s="79">
        <f t="shared" si="95"/>
        <v>44269</v>
      </c>
      <c r="J129" s="4">
        <f t="shared" si="88"/>
        <v>42900</v>
      </c>
      <c r="K129" s="4">
        <f t="shared" si="94"/>
        <v>1369</v>
      </c>
      <c r="L129" s="65" t="e">
        <f t="shared" si="90"/>
        <v>#DIV/0!</v>
      </c>
      <c r="M129" s="153">
        <v>4.7636000000000003</v>
      </c>
      <c r="N129" s="67">
        <f t="shared" si="91"/>
        <v>94319.28</v>
      </c>
      <c r="O129" s="67">
        <f t="shared" si="96"/>
        <v>204358.44</v>
      </c>
      <c r="P129" s="1003"/>
    </row>
    <row r="130" spans="2:16" x14ac:dyDescent="0.25">
      <c r="B130" s="998"/>
      <c r="C130" s="1001"/>
      <c r="D130" s="61" t="s">
        <v>83</v>
      </c>
      <c r="E130" s="62">
        <v>0</v>
      </c>
      <c r="F130" s="63">
        <f t="shared" si="93"/>
        <v>0</v>
      </c>
      <c r="G130" s="63">
        <v>0</v>
      </c>
      <c r="H130" s="64">
        <v>0</v>
      </c>
      <c r="I130" s="79">
        <f t="shared" si="95"/>
        <v>0</v>
      </c>
      <c r="J130" s="4">
        <f t="shared" si="88"/>
        <v>0</v>
      </c>
      <c r="K130" s="4">
        <f t="shared" si="94"/>
        <v>0</v>
      </c>
      <c r="L130" s="65" t="e">
        <f t="shared" si="90"/>
        <v>#DIV/0!</v>
      </c>
      <c r="M130" s="66">
        <v>4.8738000000000001</v>
      </c>
      <c r="N130" s="67">
        <f t="shared" si="91"/>
        <v>0</v>
      </c>
      <c r="O130" s="67">
        <f t="shared" si="96"/>
        <v>0</v>
      </c>
      <c r="P130" s="1003"/>
    </row>
    <row r="131" spans="2:16" x14ac:dyDescent="0.25">
      <c r="B131" s="998"/>
      <c r="C131" s="167" t="s">
        <v>128</v>
      </c>
      <c r="D131" s="61" t="s">
        <v>124</v>
      </c>
      <c r="E131" s="62"/>
      <c r="F131" s="63">
        <f t="shared" si="93"/>
        <v>0</v>
      </c>
      <c r="G131" s="63">
        <v>0</v>
      </c>
      <c r="H131" s="64">
        <v>0</v>
      </c>
      <c r="I131" s="79">
        <f t="shared" si="95"/>
        <v>0</v>
      </c>
      <c r="J131" s="4">
        <f t="shared" si="88"/>
        <v>0</v>
      </c>
      <c r="K131" s="4">
        <f t="shared" si="94"/>
        <v>0</v>
      </c>
      <c r="L131" s="65"/>
      <c r="M131" s="66">
        <v>4.8738000000000001</v>
      </c>
      <c r="N131" s="67">
        <f t="shared" si="91"/>
        <v>0</v>
      </c>
      <c r="O131" s="67">
        <f t="shared" si="96"/>
        <v>0</v>
      </c>
      <c r="P131" s="1003"/>
    </row>
    <row r="132" spans="2:16" x14ac:dyDescent="0.25">
      <c r="B132" s="998"/>
      <c r="C132" s="1001" t="s">
        <v>84</v>
      </c>
      <c r="D132" s="61" t="s">
        <v>77</v>
      </c>
      <c r="E132" s="62">
        <v>0</v>
      </c>
      <c r="F132" s="63">
        <f t="shared" si="93"/>
        <v>9879</v>
      </c>
      <c r="G132" s="63">
        <v>9750</v>
      </c>
      <c r="H132" s="64">
        <v>129</v>
      </c>
      <c r="I132" s="79">
        <f t="shared" si="95"/>
        <v>44779</v>
      </c>
      <c r="J132" s="4">
        <f t="shared" si="88"/>
        <v>44500</v>
      </c>
      <c r="K132" s="4">
        <f t="shared" si="94"/>
        <v>279</v>
      </c>
      <c r="L132" s="65" t="e">
        <f t="shared" ref="L132:L142" si="97">+J132/E132</f>
        <v>#DIV/0!</v>
      </c>
      <c r="M132" s="66">
        <v>4.9344999999999999</v>
      </c>
      <c r="N132" s="67">
        <f t="shared" si="91"/>
        <v>48111.375</v>
      </c>
      <c r="O132" s="67">
        <f t="shared" si="96"/>
        <v>219585.25</v>
      </c>
      <c r="P132" s="1003"/>
    </row>
    <row r="133" spans="2:16" x14ac:dyDescent="0.25">
      <c r="B133" s="998"/>
      <c r="C133" s="1001"/>
      <c r="D133" s="61" t="s">
        <v>135</v>
      </c>
      <c r="E133" s="62"/>
      <c r="F133" s="63">
        <f t="shared" si="93"/>
        <v>0</v>
      </c>
      <c r="G133" s="63">
        <v>0</v>
      </c>
      <c r="H133" s="64">
        <v>0</v>
      </c>
      <c r="I133" s="79">
        <f t="shared" si="95"/>
        <v>0</v>
      </c>
      <c r="J133" s="4">
        <f t="shared" si="88"/>
        <v>0</v>
      </c>
      <c r="K133" s="4">
        <f t="shared" si="94"/>
        <v>0</v>
      </c>
      <c r="L133" s="65" t="e">
        <f t="shared" si="97"/>
        <v>#DIV/0!</v>
      </c>
      <c r="M133" s="66">
        <v>4.9344999999999999</v>
      </c>
      <c r="N133" s="67">
        <f t="shared" si="91"/>
        <v>0</v>
      </c>
      <c r="O133" s="67">
        <f t="shared" si="96"/>
        <v>0</v>
      </c>
      <c r="P133" s="1003"/>
    </row>
    <row r="134" spans="2:16" x14ac:dyDescent="0.25">
      <c r="B134" s="998"/>
      <c r="C134" s="1001"/>
      <c r="D134" s="61" t="s">
        <v>129</v>
      </c>
      <c r="E134" s="62">
        <v>0</v>
      </c>
      <c r="F134" s="63">
        <f t="shared" si="93"/>
        <v>0</v>
      </c>
      <c r="G134" s="155">
        <v>0</v>
      </c>
      <c r="H134" s="156">
        <v>0</v>
      </c>
      <c r="I134" s="157">
        <f t="shared" si="95"/>
        <v>0</v>
      </c>
      <c r="J134" s="4">
        <f t="shared" si="88"/>
        <v>0</v>
      </c>
      <c r="K134" s="4">
        <f t="shared" si="94"/>
        <v>0</v>
      </c>
      <c r="L134" s="158" t="e">
        <f t="shared" si="97"/>
        <v>#DIV/0!</v>
      </c>
      <c r="M134" s="66">
        <v>4.9344999999999999</v>
      </c>
      <c r="N134" s="159">
        <f t="shared" si="91"/>
        <v>0</v>
      </c>
      <c r="O134" s="67">
        <f>M134*J134</f>
        <v>0</v>
      </c>
      <c r="P134" s="1003"/>
    </row>
    <row r="135" spans="2:16" x14ac:dyDescent="0.25">
      <c r="B135" s="998"/>
      <c r="C135" s="1001" t="s">
        <v>85</v>
      </c>
      <c r="D135" s="61" t="s">
        <v>77</v>
      </c>
      <c r="E135" s="62">
        <v>0</v>
      </c>
      <c r="F135" s="63">
        <f t="shared" si="93"/>
        <v>7673</v>
      </c>
      <c r="G135" s="63">
        <v>7200</v>
      </c>
      <c r="H135" s="64">
        <v>473</v>
      </c>
      <c r="I135" s="79">
        <f t="shared" si="95"/>
        <v>26573</v>
      </c>
      <c r="J135" s="4">
        <f t="shared" si="88"/>
        <v>25200</v>
      </c>
      <c r="K135" s="4">
        <f t="shared" si="94"/>
        <v>1373</v>
      </c>
      <c r="L135" s="65" t="e">
        <f t="shared" si="97"/>
        <v>#DIV/0!</v>
      </c>
      <c r="M135" s="148">
        <v>5.5069999999999997</v>
      </c>
      <c r="N135" s="67">
        <f t="shared" si="91"/>
        <v>39650.399999999994</v>
      </c>
      <c r="O135" s="67">
        <f>M135*J135</f>
        <v>138776.4</v>
      </c>
      <c r="P135" s="1003"/>
    </row>
    <row r="136" spans="2:16" x14ac:dyDescent="0.25">
      <c r="B136" s="998"/>
      <c r="C136" s="1001"/>
      <c r="D136" s="61" t="s">
        <v>112</v>
      </c>
      <c r="E136" s="62">
        <v>0</v>
      </c>
      <c r="F136" s="63">
        <f t="shared" si="93"/>
        <v>0</v>
      </c>
      <c r="G136" s="63">
        <v>0</v>
      </c>
      <c r="H136" s="64">
        <v>0</v>
      </c>
      <c r="I136" s="79">
        <f t="shared" si="95"/>
        <v>0</v>
      </c>
      <c r="J136" s="4">
        <f t="shared" si="88"/>
        <v>0</v>
      </c>
      <c r="K136" s="4">
        <f t="shared" si="94"/>
        <v>0</v>
      </c>
      <c r="L136" s="65" t="e">
        <f t="shared" si="97"/>
        <v>#DIV/0!</v>
      </c>
      <c r="M136" s="147">
        <v>5.6550000000000002</v>
      </c>
      <c r="N136" s="67">
        <f t="shared" si="91"/>
        <v>0</v>
      </c>
      <c r="O136" s="67">
        <f>M136*J136</f>
        <v>0</v>
      </c>
      <c r="P136" s="1003"/>
    </row>
    <row r="137" spans="2:16" x14ac:dyDescent="0.25">
      <c r="B137" s="998"/>
      <c r="C137" s="1001"/>
      <c r="D137" s="61" t="s">
        <v>118</v>
      </c>
      <c r="E137" s="62">
        <v>0</v>
      </c>
      <c r="F137" s="63">
        <f t="shared" si="93"/>
        <v>0</v>
      </c>
      <c r="G137" s="63">
        <v>0</v>
      </c>
      <c r="H137" s="64">
        <v>0</v>
      </c>
      <c r="I137" s="79">
        <f t="shared" si="95"/>
        <v>0</v>
      </c>
      <c r="J137" s="4">
        <f t="shared" si="88"/>
        <v>0</v>
      </c>
      <c r="K137" s="4">
        <f t="shared" si="94"/>
        <v>0</v>
      </c>
      <c r="L137" s="65" t="e">
        <f t="shared" si="97"/>
        <v>#DIV/0!</v>
      </c>
      <c r="M137" s="152">
        <v>5.6550000000000002</v>
      </c>
      <c r="N137" s="67">
        <f t="shared" si="91"/>
        <v>0</v>
      </c>
      <c r="O137" s="67">
        <f>M137*J137</f>
        <v>0</v>
      </c>
      <c r="P137" s="1003"/>
    </row>
    <row r="138" spans="2:16" x14ac:dyDescent="0.25">
      <c r="B138" s="998"/>
      <c r="C138" s="1001"/>
      <c r="D138" s="61" t="s">
        <v>121</v>
      </c>
      <c r="E138" s="62">
        <v>0</v>
      </c>
      <c r="F138" s="63">
        <f t="shared" si="93"/>
        <v>3700</v>
      </c>
      <c r="G138" s="63">
        <v>2700</v>
      </c>
      <c r="H138" s="64">
        <v>1000</v>
      </c>
      <c r="I138" s="79">
        <f t="shared" si="95"/>
        <v>9700</v>
      </c>
      <c r="J138" s="4">
        <f t="shared" si="88"/>
        <v>8200</v>
      </c>
      <c r="K138" s="4">
        <f t="shared" si="94"/>
        <v>1500</v>
      </c>
      <c r="L138" s="65" t="e">
        <f t="shared" si="97"/>
        <v>#DIV/0!</v>
      </c>
      <c r="M138" s="66">
        <v>5.7885299999999997</v>
      </c>
      <c r="N138" s="67">
        <f>+M138*G138</f>
        <v>15629.030999999999</v>
      </c>
      <c r="O138" s="67">
        <f>M138*J138</f>
        <v>47465.945999999996</v>
      </c>
      <c r="P138" s="1003"/>
    </row>
    <row r="139" spans="2:16" x14ac:dyDescent="0.25">
      <c r="B139" s="998"/>
      <c r="C139" s="1001"/>
      <c r="D139" s="61" t="s">
        <v>136</v>
      </c>
      <c r="E139" s="62">
        <v>0</v>
      </c>
      <c r="F139" s="63">
        <f t="shared" si="93"/>
        <v>0</v>
      </c>
      <c r="G139" s="63">
        <v>0</v>
      </c>
      <c r="H139" s="64">
        <v>0</v>
      </c>
      <c r="I139" s="79">
        <f t="shared" si="95"/>
        <v>0</v>
      </c>
      <c r="J139" s="4">
        <f t="shared" si="88"/>
        <v>0</v>
      </c>
      <c r="K139" s="4">
        <f t="shared" si="94"/>
        <v>0</v>
      </c>
      <c r="L139" s="65" t="e">
        <f t="shared" si="97"/>
        <v>#DIV/0!</v>
      </c>
      <c r="M139" s="152">
        <v>5.6550000000000002</v>
      </c>
      <c r="N139" s="67">
        <f t="shared" ref="N139:N141" si="98">+M139*G139</f>
        <v>0</v>
      </c>
      <c r="O139" s="67">
        <f t="shared" ref="O139:O142" si="99">M139*J139</f>
        <v>0</v>
      </c>
      <c r="P139" s="1003"/>
    </row>
    <row r="140" spans="2:16" x14ac:dyDescent="0.25">
      <c r="B140" s="998"/>
      <c r="C140" s="167" t="s">
        <v>86</v>
      </c>
      <c r="D140" s="61" t="s">
        <v>77</v>
      </c>
      <c r="E140" s="62">
        <v>0</v>
      </c>
      <c r="F140" s="63">
        <f t="shared" si="93"/>
        <v>0</v>
      </c>
      <c r="G140" s="63">
        <v>0</v>
      </c>
      <c r="H140" s="64">
        <v>0</v>
      </c>
      <c r="I140" s="79">
        <f t="shared" si="95"/>
        <v>0</v>
      </c>
      <c r="J140" s="4">
        <f t="shared" si="88"/>
        <v>0</v>
      </c>
      <c r="K140" s="4">
        <f t="shared" si="94"/>
        <v>0</v>
      </c>
      <c r="L140" s="65" t="e">
        <f t="shared" si="97"/>
        <v>#DIV/0!</v>
      </c>
      <c r="M140" s="66">
        <v>3.2963</v>
      </c>
      <c r="N140" s="67">
        <f t="shared" si="98"/>
        <v>0</v>
      </c>
      <c r="O140" s="67">
        <f t="shared" si="99"/>
        <v>0</v>
      </c>
      <c r="P140" s="1003"/>
    </row>
    <row r="141" spans="2:16" x14ac:dyDescent="0.25">
      <c r="B141" s="998"/>
      <c r="C141" s="167" t="s">
        <v>87</v>
      </c>
      <c r="D141" s="61" t="s">
        <v>77</v>
      </c>
      <c r="E141" s="62">
        <v>0</v>
      </c>
      <c r="F141" s="63">
        <f t="shared" si="93"/>
        <v>0</v>
      </c>
      <c r="G141" s="63">
        <v>0</v>
      </c>
      <c r="H141" s="64">
        <v>0</v>
      </c>
      <c r="I141" s="79">
        <f t="shared" si="95"/>
        <v>0</v>
      </c>
      <c r="J141" s="4">
        <f t="shared" si="88"/>
        <v>0</v>
      </c>
      <c r="K141" s="4">
        <f t="shared" si="94"/>
        <v>0</v>
      </c>
      <c r="L141" s="65" t="e">
        <f t="shared" si="97"/>
        <v>#DIV/0!</v>
      </c>
      <c r="M141" s="66">
        <v>3.2963</v>
      </c>
      <c r="N141" s="67">
        <f t="shared" si="98"/>
        <v>0</v>
      </c>
      <c r="O141" s="67">
        <f t="shared" si="99"/>
        <v>0</v>
      </c>
      <c r="P141" s="1003"/>
    </row>
    <row r="142" spans="2:16" ht="15.75" thickBot="1" x14ac:dyDescent="0.3">
      <c r="B142" s="998"/>
      <c r="C142" s="68" t="s">
        <v>88</v>
      </c>
      <c r="D142" s="69" t="s">
        <v>89</v>
      </c>
      <c r="E142" s="70">
        <v>0</v>
      </c>
      <c r="F142" s="71">
        <f t="shared" si="93"/>
        <v>0</v>
      </c>
      <c r="G142" s="71">
        <v>0</v>
      </c>
      <c r="H142" s="72">
        <v>0</v>
      </c>
      <c r="I142" s="80">
        <f t="shared" si="95"/>
        <v>0</v>
      </c>
      <c r="J142" s="4">
        <f t="shared" si="88"/>
        <v>0</v>
      </c>
      <c r="K142" s="4">
        <f t="shared" si="94"/>
        <v>0</v>
      </c>
      <c r="L142" s="65" t="e">
        <f t="shared" si="97"/>
        <v>#DIV/0!</v>
      </c>
      <c r="M142" s="73">
        <v>2.3201000000000001</v>
      </c>
      <c r="N142" s="74">
        <f t="shared" ref="N142" si="100">M142*G142</f>
        <v>0</v>
      </c>
      <c r="O142" s="74">
        <f t="shared" si="99"/>
        <v>0</v>
      </c>
      <c r="P142" s="1004"/>
    </row>
    <row r="143" spans="2:16" ht="15.75" thickBot="1" x14ac:dyDescent="0.3">
      <c r="B143" s="999"/>
      <c r="C143" s="1007" t="s">
        <v>99</v>
      </c>
      <c r="D143" s="1008"/>
      <c r="E143" s="1008"/>
      <c r="F143" s="1008"/>
      <c r="G143" s="1008"/>
      <c r="H143" s="1009"/>
      <c r="I143" s="116">
        <f>J143+K143</f>
        <v>130297</v>
      </c>
      <c r="J143" s="115">
        <f>SUM(J115:J142)</f>
        <v>125600</v>
      </c>
      <c r="K143" s="115">
        <f>SUM(K115:K142)</f>
        <v>4697</v>
      </c>
      <c r="L143" s="114"/>
      <c r="M143" s="113"/>
      <c r="N143" s="114"/>
      <c r="O143" s="97">
        <f>SUM(O115:O142)</f>
        <v>876469.87600000005</v>
      </c>
      <c r="P143" s="96"/>
    </row>
    <row r="144" spans="2:16" ht="15.75" thickBot="1" x14ac:dyDescent="0.3"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2"/>
    </row>
    <row r="145" spans="2:16" ht="15.75" thickBot="1" x14ac:dyDescent="0.3">
      <c r="B145" s="992" t="s">
        <v>100</v>
      </c>
      <c r="C145" s="993"/>
      <c r="D145" s="993"/>
      <c r="E145" s="993"/>
      <c r="F145" s="993"/>
      <c r="G145" s="993"/>
      <c r="H145" s="993"/>
      <c r="I145" s="993"/>
      <c r="J145" s="993"/>
      <c r="K145" s="993"/>
      <c r="L145" s="993"/>
      <c r="M145" s="993"/>
      <c r="N145" s="994"/>
      <c r="O145" s="103">
        <f>+O143+O114+O99</f>
        <v>2224203.7009999999</v>
      </c>
      <c r="P145" s="96"/>
    </row>
    <row r="146" spans="2:16" ht="15.75" thickBot="1" x14ac:dyDescent="0.3"/>
    <row r="147" spans="2:16" x14ac:dyDescent="0.25">
      <c r="B147" s="1026" t="s">
        <v>1</v>
      </c>
      <c r="C147" s="1028" t="s">
        <v>2</v>
      </c>
      <c r="D147" s="1031" t="s">
        <v>3</v>
      </c>
      <c r="E147" s="1034" t="s">
        <v>4</v>
      </c>
      <c r="F147" s="1035"/>
      <c r="G147" s="1035"/>
      <c r="H147" s="1035"/>
      <c r="I147" s="1035"/>
      <c r="J147" s="1035"/>
      <c r="K147" s="1035"/>
      <c r="L147" s="1036"/>
      <c r="M147" s="1037" t="s">
        <v>5</v>
      </c>
      <c r="N147" s="1038"/>
      <c r="O147" s="1039"/>
      <c r="P147" s="1031" t="s">
        <v>6</v>
      </c>
    </row>
    <row r="148" spans="2:16" x14ac:dyDescent="0.25">
      <c r="B148" s="1027"/>
      <c r="C148" s="1029"/>
      <c r="D148" s="1032"/>
      <c r="E148" s="1040" t="s">
        <v>7</v>
      </c>
      <c r="F148" s="1042" t="s">
        <v>141</v>
      </c>
      <c r="G148" s="1042"/>
      <c r="H148" s="1043"/>
      <c r="I148" s="1044" t="s">
        <v>8</v>
      </c>
      <c r="J148" s="1042"/>
      <c r="K148" s="1042"/>
      <c r="L148" s="1043" t="s">
        <v>9</v>
      </c>
      <c r="M148" s="1046" t="s">
        <v>10</v>
      </c>
      <c r="N148" s="1048" t="s">
        <v>11</v>
      </c>
      <c r="O148" s="1050" t="s">
        <v>12</v>
      </c>
      <c r="P148" s="1032"/>
    </row>
    <row r="149" spans="2:16" ht="15.75" thickBot="1" x14ac:dyDescent="0.3">
      <c r="B149" s="1027"/>
      <c r="C149" s="1030"/>
      <c r="D149" s="1033"/>
      <c r="E149" s="1041"/>
      <c r="F149" s="2" t="s">
        <v>13</v>
      </c>
      <c r="G149" s="2" t="s">
        <v>14</v>
      </c>
      <c r="H149" s="171" t="s">
        <v>15</v>
      </c>
      <c r="I149" s="142" t="s">
        <v>13</v>
      </c>
      <c r="J149" s="2" t="s">
        <v>14</v>
      </c>
      <c r="K149" s="2" t="s">
        <v>15</v>
      </c>
      <c r="L149" s="1045"/>
      <c r="M149" s="1047"/>
      <c r="N149" s="1049"/>
      <c r="O149" s="1051"/>
      <c r="P149" s="1033"/>
    </row>
    <row r="150" spans="2:16" x14ac:dyDescent="0.25">
      <c r="B150" s="1010" t="s">
        <v>53</v>
      </c>
      <c r="C150" s="29"/>
      <c r="D150" s="117" t="s">
        <v>54</v>
      </c>
      <c r="E150" s="98">
        <v>0</v>
      </c>
      <c r="F150" s="4">
        <f>+G150+H150</f>
        <v>0</v>
      </c>
      <c r="G150" s="4">
        <v>0</v>
      </c>
      <c r="H150" s="8">
        <v>0</v>
      </c>
      <c r="I150" s="6">
        <f>J150+K150</f>
        <v>0</v>
      </c>
      <c r="J150" s="4">
        <f>G150+J85</f>
        <v>0</v>
      </c>
      <c r="K150" s="4">
        <f>H150+K85</f>
        <v>0</v>
      </c>
      <c r="L150" s="33" t="e">
        <f>+J150/E150</f>
        <v>#DIV/0!</v>
      </c>
      <c r="M150" s="104">
        <v>1.3652</v>
      </c>
      <c r="N150" s="31">
        <f>G150*M150</f>
        <v>0</v>
      </c>
      <c r="O150" s="86">
        <f>M150*J150</f>
        <v>0</v>
      </c>
      <c r="P150" s="1012"/>
    </row>
    <row r="151" spans="2:16" x14ac:dyDescent="0.25">
      <c r="B151" s="1011"/>
      <c r="C151" s="32"/>
      <c r="D151" s="118" t="s">
        <v>109</v>
      </c>
      <c r="E151" s="99">
        <v>0</v>
      </c>
      <c r="F151" s="9">
        <f>+G151+H151</f>
        <v>0</v>
      </c>
      <c r="G151" s="9">
        <v>0</v>
      </c>
      <c r="H151" s="10">
        <v>0</v>
      </c>
      <c r="I151" s="6">
        <f>J151+K151</f>
        <v>0</v>
      </c>
      <c r="J151" s="4">
        <f>+G151+J86</f>
        <v>0</v>
      </c>
      <c r="K151" s="4">
        <f>+H151+K86</f>
        <v>0</v>
      </c>
      <c r="L151" s="33"/>
      <c r="M151" s="105">
        <v>5.9917999999999996</v>
      </c>
      <c r="N151" s="34">
        <f>M151*G151</f>
        <v>0</v>
      </c>
      <c r="O151" s="87">
        <f>M151*J151</f>
        <v>0</v>
      </c>
      <c r="P151" s="1013"/>
    </row>
    <row r="152" spans="2:16" x14ac:dyDescent="0.25">
      <c r="B152" s="1011"/>
      <c r="C152" s="35"/>
      <c r="D152" s="119" t="s">
        <v>55</v>
      </c>
      <c r="E152" s="99">
        <v>0</v>
      </c>
      <c r="F152" s="9">
        <f t="shared" ref="F152:F156" si="101">+G152+H152</f>
        <v>177508</v>
      </c>
      <c r="G152" s="9">
        <f>93250+82500</f>
        <v>175750</v>
      </c>
      <c r="H152" s="10">
        <f>884+874</f>
        <v>1758</v>
      </c>
      <c r="I152" s="6">
        <f t="shared" ref="I152:I156" si="102">J152+K152</f>
        <v>525345</v>
      </c>
      <c r="J152" s="4">
        <f t="shared" ref="J152:J156" si="103">+G152+J87</f>
        <v>520750</v>
      </c>
      <c r="K152" s="4">
        <f t="shared" ref="K152:K156" si="104">+H152+K87</f>
        <v>4595</v>
      </c>
      <c r="L152" s="33" t="e">
        <f t="shared" ref="L152" si="105">+J152/E152</f>
        <v>#DIV/0!</v>
      </c>
      <c r="M152" s="106">
        <v>2.3807999999999998</v>
      </c>
      <c r="N152" s="36">
        <f>G152*M152</f>
        <v>418425.59999999998</v>
      </c>
      <c r="O152" s="88">
        <f>M152*J152</f>
        <v>1239801.5999999999</v>
      </c>
      <c r="P152" s="1013"/>
    </row>
    <row r="153" spans="2:16" x14ac:dyDescent="0.25">
      <c r="B153" s="1011"/>
      <c r="C153" s="35"/>
      <c r="D153" s="119" t="s">
        <v>56</v>
      </c>
      <c r="E153" s="99">
        <v>0</v>
      </c>
      <c r="F153" s="9">
        <f t="shared" si="101"/>
        <v>0</v>
      </c>
      <c r="G153" s="9">
        <v>0</v>
      </c>
      <c r="H153" s="10">
        <v>0</v>
      </c>
      <c r="I153" s="6">
        <f t="shared" si="102"/>
        <v>0</v>
      </c>
      <c r="J153" s="4">
        <f t="shared" si="103"/>
        <v>0</v>
      </c>
      <c r="K153" s="4">
        <f t="shared" si="104"/>
        <v>0</v>
      </c>
      <c r="L153" s="33"/>
      <c r="M153" s="106">
        <v>2.1457999999999999</v>
      </c>
      <c r="N153" s="36">
        <f t="shared" ref="N153:N156" si="106">G153*M153</f>
        <v>0</v>
      </c>
      <c r="O153" s="88">
        <f>M153*J153</f>
        <v>0</v>
      </c>
      <c r="P153" s="1013"/>
    </row>
    <row r="154" spans="2:16" x14ac:dyDescent="0.25">
      <c r="B154" s="1011"/>
      <c r="C154" s="35"/>
      <c r="D154" s="119" t="s">
        <v>106</v>
      </c>
      <c r="E154" s="99">
        <v>0</v>
      </c>
      <c r="F154" s="9">
        <f t="shared" si="101"/>
        <v>0</v>
      </c>
      <c r="G154" s="9">
        <v>0</v>
      </c>
      <c r="H154" s="10">
        <v>0</v>
      </c>
      <c r="I154" s="6">
        <f t="shared" si="102"/>
        <v>0</v>
      </c>
      <c r="J154" s="4">
        <f t="shared" si="103"/>
        <v>0</v>
      </c>
      <c r="K154" s="4">
        <f t="shared" si="104"/>
        <v>0</v>
      </c>
      <c r="L154" s="33" t="e">
        <f t="shared" ref="L154:L155" si="107">+J154/E154</f>
        <v>#DIV/0!</v>
      </c>
      <c r="M154" s="143">
        <v>4.0426000000000002</v>
      </c>
      <c r="N154" s="36">
        <f t="shared" si="106"/>
        <v>0</v>
      </c>
      <c r="O154" s="88">
        <f>M154*J154</f>
        <v>0</v>
      </c>
      <c r="P154" s="1013"/>
    </row>
    <row r="155" spans="2:16" x14ac:dyDescent="0.25">
      <c r="B155" s="1011"/>
      <c r="C155" s="35"/>
      <c r="D155" s="119" t="s">
        <v>110</v>
      </c>
      <c r="E155" s="99">
        <v>0</v>
      </c>
      <c r="F155" s="9">
        <f t="shared" si="101"/>
        <v>0</v>
      </c>
      <c r="G155" s="9">
        <v>0</v>
      </c>
      <c r="H155" s="10">
        <v>0</v>
      </c>
      <c r="I155" s="6">
        <f t="shared" si="102"/>
        <v>0</v>
      </c>
      <c r="J155" s="4">
        <f t="shared" si="103"/>
        <v>0</v>
      </c>
      <c r="K155" s="4">
        <f t="shared" si="104"/>
        <v>0</v>
      </c>
      <c r="L155" s="33" t="e">
        <f t="shared" si="107"/>
        <v>#DIV/0!</v>
      </c>
      <c r="M155" s="143">
        <v>3.8715000000000002</v>
      </c>
      <c r="N155" s="36">
        <f t="shared" si="106"/>
        <v>0</v>
      </c>
      <c r="O155" s="88">
        <f t="shared" ref="O155:O156" si="108">M155*J155</f>
        <v>0</v>
      </c>
      <c r="P155" s="1013"/>
    </row>
    <row r="156" spans="2:16" ht="15.75" thickBot="1" x14ac:dyDescent="0.3">
      <c r="B156" s="1011"/>
      <c r="C156" s="82"/>
      <c r="D156" s="120" t="s">
        <v>57</v>
      </c>
      <c r="E156" s="108">
        <v>0</v>
      </c>
      <c r="F156" s="12">
        <f t="shared" si="101"/>
        <v>0</v>
      </c>
      <c r="G156" s="12">
        <v>0</v>
      </c>
      <c r="H156" s="13">
        <v>0</v>
      </c>
      <c r="I156" s="21">
        <f t="shared" si="102"/>
        <v>0</v>
      </c>
      <c r="J156" s="4">
        <f t="shared" si="103"/>
        <v>0</v>
      </c>
      <c r="K156" s="4">
        <f t="shared" si="104"/>
        <v>0</v>
      </c>
      <c r="L156" s="81"/>
      <c r="M156" s="127">
        <v>12.284700000000001</v>
      </c>
      <c r="N156" s="36">
        <f t="shared" si="106"/>
        <v>0</v>
      </c>
      <c r="O156" s="128">
        <f t="shared" si="108"/>
        <v>0</v>
      </c>
      <c r="P156" s="1013"/>
    </row>
    <row r="157" spans="2:16" ht="15.75" thickBot="1" x14ac:dyDescent="0.3">
      <c r="B157" s="1011"/>
      <c r="C157" s="1016" t="s">
        <v>104</v>
      </c>
      <c r="D157" s="1017"/>
      <c r="E157" s="129"/>
      <c r="F157" s="130">
        <f>SUM(F150:F156)</f>
        <v>177508</v>
      </c>
      <c r="G157" s="130">
        <f>SUM(G150:G156)</f>
        <v>175750</v>
      </c>
      <c r="H157" s="131">
        <f>SUM(H150:H156)</f>
        <v>1758</v>
      </c>
      <c r="I157" s="132">
        <f>+J157+K157</f>
        <v>525345</v>
      </c>
      <c r="J157" s="133">
        <f>SUM(J150:J156)</f>
        <v>520750</v>
      </c>
      <c r="K157" s="133">
        <f>SUM(K150:K156)</f>
        <v>4595</v>
      </c>
      <c r="L157" s="134"/>
      <c r="M157" s="135"/>
      <c r="N157" s="136"/>
      <c r="O157" s="137">
        <f>SUM(O150:O156)</f>
        <v>1239801.5999999999</v>
      </c>
      <c r="P157" s="1014"/>
    </row>
    <row r="158" spans="2:16" x14ac:dyDescent="0.25">
      <c r="B158" s="1011"/>
      <c r="C158" s="32"/>
      <c r="D158" s="118" t="s">
        <v>58</v>
      </c>
      <c r="E158" s="98">
        <v>0</v>
      </c>
      <c r="F158" s="4">
        <f t="shared" ref="F158:F161" si="109">+G158+H158</f>
        <v>0</v>
      </c>
      <c r="G158" s="4">
        <v>0</v>
      </c>
      <c r="H158" s="8">
        <v>0</v>
      </c>
      <c r="I158" s="6">
        <f t="shared" ref="I158:I162" si="110">J158+K158</f>
        <v>0</v>
      </c>
      <c r="J158" s="4">
        <f>G158+J93</f>
        <v>0</v>
      </c>
      <c r="K158" s="4">
        <f>H158+K93</f>
        <v>0</v>
      </c>
      <c r="L158" s="33" t="e">
        <f t="shared" ref="L158" si="111">+J158/E158</f>
        <v>#DIV/0!</v>
      </c>
      <c r="M158" s="105">
        <v>12.029500000000001</v>
      </c>
      <c r="N158" s="34">
        <f>M158*G158</f>
        <v>0</v>
      </c>
      <c r="O158" s="87">
        <f t="shared" ref="O158:O160" si="112">M158*J158</f>
        <v>0</v>
      </c>
      <c r="P158" s="1013"/>
    </row>
    <row r="159" spans="2:16" x14ac:dyDescent="0.25">
      <c r="B159" s="1011"/>
      <c r="C159" s="35"/>
      <c r="D159" s="119" t="s">
        <v>59</v>
      </c>
      <c r="E159" s="99">
        <v>0</v>
      </c>
      <c r="F159" s="9">
        <f t="shared" si="109"/>
        <v>0</v>
      </c>
      <c r="G159" s="9">
        <v>0</v>
      </c>
      <c r="H159" s="10">
        <v>0</v>
      </c>
      <c r="I159" s="6">
        <f t="shared" si="110"/>
        <v>0</v>
      </c>
      <c r="J159" s="4">
        <f>G159+J94</f>
        <v>0</v>
      </c>
      <c r="K159" s="4">
        <f>H159+K94</f>
        <v>0</v>
      </c>
      <c r="L159" s="33"/>
      <c r="M159" s="106">
        <v>0</v>
      </c>
      <c r="N159" s="36"/>
      <c r="O159" s="88">
        <f t="shared" si="112"/>
        <v>0</v>
      </c>
      <c r="P159" s="1013"/>
    </row>
    <row r="160" spans="2:16" x14ac:dyDescent="0.25">
      <c r="B160" s="1011"/>
      <c r="C160" s="35"/>
      <c r="D160" s="119" t="s">
        <v>97</v>
      </c>
      <c r="E160" s="99">
        <v>0</v>
      </c>
      <c r="F160" s="9">
        <f t="shared" si="109"/>
        <v>0</v>
      </c>
      <c r="G160" s="9">
        <v>0</v>
      </c>
      <c r="H160" s="10">
        <v>0</v>
      </c>
      <c r="I160" s="6">
        <f t="shared" si="110"/>
        <v>0</v>
      </c>
      <c r="J160" s="4">
        <f t="shared" ref="J160:J162" si="113">G160+J95</f>
        <v>0</v>
      </c>
      <c r="K160" s="4">
        <f t="shared" ref="K160:K162" si="114">H160+K95</f>
        <v>0</v>
      </c>
      <c r="L160" s="33" t="e">
        <f t="shared" ref="L160:L162" si="115">+J160/E160</f>
        <v>#DIV/0!</v>
      </c>
      <c r="M160" s="106">
        <v>19.688600000000001</v>
      </c>
      <c r="N160" s="36">
        <f>M160*G160</f>
        <v>0</v>
      </c>
      <c r="O160" s="88">
        <f t="shared" si="112"/>
        <v>0</v>
      </c>
      <c r="P160" s="1013"/>
    </row>
    <row r="161" spans="2:16" x14ac:dyDescent="0.25">
      <c r="B161" s="1011"/>
      <c r="C161" s="35"/>
      <c r="D161" s="119" t="s">
        <v>61</v>
      </c>
      <c r="E161" s="99">
        <v>0</v>
      </c>
      <c r="F161" s="9">
        <f t="shared" si="109"/>
        <v>0</v>
      </c>
      <c r="G161" s="9">
        <v>0</v>
      </c>
      <c r="H161" s="10">
        <v>0</v>
      </c>
      <c r="I161" s="6">
        <f t="shared" si="110"/>
        <v>0</v>
      </c>
      <c r="J161" s="4">
        <f t="shared" si="113"/>
        <v>0</v>
      </c>
      <c r="K161" s="4">
        <f t="shared" si="114"/>
        <v>0</v>
      </c>
      <c r="L161" s="33" t="e">
        <f t="shared" si="115"/>
        <v>#DIV/0!</v>
      </c>
      <c r="M161" s="106">
        <v>1.2824</v>
      </c>
      <c r="N161" s="151">
        <f>M161*G161</f>
        <v>0</v>
      </c>
      <c r="O161" s="88">
        <f>M161*J161</f>
        <v>0</v>
      </c>
      <c r="P161" s="1013"/>
    </row>
    <row r="162" spans="2:16" ht="15.75" thickBot="1" x14ac:dyDescent="0.3">
      <c r="B162" s="1011"/>
      <c r="C162" s="82"/>
      <c r="D162" s="120" t="s">
        <v>60</v>
      </c>
      <c r="E162" s="108">
        <v>0</v>
      </c>
      <c r="F162" s="12">
        <v>0</v>
      </c>
      <c r="G162" s="12">
        <v>0</v>
      </c>
      <c r="H162" s="13">
        <v>0</v>
      </c>
      <c r="I162" s="21">
        <f t="shared" si="110"/>
        <v>0</v>
      </c>
      <c r="J162" s="4">
        <f t="shared" si="113"/>
        <v>0</v>
      </c>
      <c r="K162" s="4">
        <f t="shared" si="114"/>
        <v>0</v>
      </c>
      <c r="L162" s="81" t="e">
        <f t="shared" si="115"/>
        <v>#DIV/0!</v>
      </c>
      <c r="M162" s="107">
        <v>18.2316</v>
      </c>
      <c r="N162" s="75"/>
      <c r="O162" s="89">
        <f t="shared" ref="O162" si="116">M162*J162</f>
        <v>0</v>
      </c>
      <c r="P162" s="1015"/>
    </row>
    <row r="163" spans="2:16" ht="15.75" thickBot="1" x14ac:dyDescent="0.3">
      <c r="B163" s="995" t="s">
        <v>105</v>
      </c>
      <c r="C163" s="996"/>
      <c r="D163" s="996"/>
      <c r="E163" s="124"/>
      <c r="F163" s="125">
        <f>+G163+H163</f>
        <v>0</v>
      </c>
      <c r="G163" s="125">
        <f>SUM(G158:G162)</f>
        <v>0</v>
      </c>
      <c r="H163" s="126">
        <f>SUM(H158:H162)</f>
        <v>0</v>
      </c>
      <c r="I163" s="121">
        <f>J163+K163</f>
        <v>0</v>
      </c>
      <c r="J163" s="122">
        <f>SUM(J158:J162)</f>
        <v>0</v>
      </c>
      <c r="K163" s="123">
        <f>SUM(K158:K162)</f>
        <v>0</v>
      </c>
      <c r="L163" s="138"/>
      <c r="M163" s="139"/>
      <c r="N163" s="140"/>
      <c r="O163" s="141">
        <f>SUM(O158:O162)</f>
        <v>0</v>
      </c>
      <c r="P163" s="170"/>
    </row>
    <row r="164" spans="2:16" ht="15.75" thickBot="1" x14ac:dyDescent="0.3">
      <c r="B164" s="995" t="s">
        <v>98</v>
      </c>
      <c r="C164" s="996"/>
      <c r="D164" s="996"/>
      <c r="E164" s="1018"/>
      <c r="F164" s="1018"/>
      <c r="G164" s="1018"/>
      <c r="H164" s="1018"/>
      <c r="I164" s="996"/>
      <c r="J164" s="996"/>
      <c r="K164" s="996"/>
      <c r="L164" s="996"/>
      <c r="M164" s="996"/>
      <c r="N164" s="1019"/>
      <c r="O164" s="83">
        <f>O157+O163</f>
        <v>1239801.5999999999</v>
      </c>
      <c r="P164" s="170"/>
    </row>
    <row r="165" spans="2:16" x14ac:dyDescent="0.25">
      <c r="B165" s="1010" t="s">
        <v>62</v>
      </c>
      <c r="C165" s="37" t="s">
        <v>63</v>
      </c>
      <c r="D165" s="28" t="s">
        <v>64</v>
      </c>
      <c r="E165" s="38">
        <v>0</v>
      </c>
      <c r="F165" s="14">
        <f>+G165+H165</f>
        <v>0</v>
      </c>
      <c r="G165" s="14">
        <v>0</v>
      </c>
      <c r="H165" s="5">
        <v>0</v>
      </c>
      <c r="I165" s="17">
        <f t="shared" ref="I165:I171" si="117">J165+K165</f>
        <v>0</v>
      </c>
      <c r="J165" s="4">
        <f>G165+J100</f>
        <v>0</v>
      </c>
      <c r="K165" s="4">
        <f>H165+K100</f>
        <v>0</v>
      </c>
      <c r="L165" s="30" t="e">
        <f>+J165/E165</f>
        <v>#DIV/0!</v>
      </c>
      <c r="M165" s="146">
        <v>2.2141000000000002</v>
      </c>
      <c r="N165" s="15">
        <f>+M165*G165</f>
        <v>0</v>
      </c>
      <c r="O165" s="90">
        <f>+M165*J165</f>
        <v>0</v>
      </c>
      <c r="P165" s="1021"/>
    </row>
    <row r="166" spans="2:16" x14ac:dyDescent="0.25">
      <c r="B166" s="1011"/>
      <c r="C166" s="39"/>
      <c r="D166" s="22" t="s">
        <v>65</v>
      </c>
      <c r="E166" s="3">
        <v>0</v>
      </c>
      <c r="F166" s="9">
        <f t="shared" ref="F166:F171" si="118">+G166+H166</f>
        <v>0</v>
      </c>
      <c r="G166" s="4">
        <v>0</v>
      </c>
      <c r="H166" s="8">
        <v>0</v>
      </c>
      <c r="I166" s="6">
        <f t="shared" si="117"/>
        <v>0</v>
      </c>
      <c r="J166" s="4">
        <f>+G166+J101</f>
        <v>0</v>
      </c>
      <c r="K166" s="4">
        <f>+H166+K101</f>
        <v>0</v>
      </c>
      <c r="L166" s="40" t="e">
        <f t="shared" ref="L166:L167" si="119">+J166/E166</f>
        <v>#DIV/0!</v>
      </c>
      <c r="M166" s="145">
        <v>2.4565999999999999</v>
      </c>
      <c r="N166" s="11">
        <f t="shared" ref="N166:N168" si="120">+M166*G166</f>
        <v>0</v>
      </c>
      <c r="O166" s="91">
        <f t="shared" ref="O166:O168" si="121">+M166*J166</f>
        <v>0</v>
      </c>
      <c r="P166" s="1022"/>
    </row>
    <row r="167" spans="2:16" x14ac:dyDescent="0.25">
      <c r="B167" s="1011"/>
      <c r="C167" s="39"/>
      <c r="D167" s="23" t="s">
        <v>126</v>
      </c>
      <c r="E167" s="3">
        <v>0</v>
      </c>
      <c r="F167" s="9">
        <f t="shared" si="118"/>
        <v>0</v>
      </c>
      <c r="G167" s="4">
        <v>0</v>
      </c>
      <c r="H167" s="8">
        <v>0</v>
      </c>
      <c r="I167" s="6">
        <f t="shared" si="117"/>
        <v>0</v>
      </c>
      <c r="J167" s="4">
        <f t="shared" ref="J167:J171" si="122">+G167+J102</f>
        <v>0</v>
      </c>
      <c r="K167" s="4">
        <f t="shared" ref="K167:K171" si="123">+H167+K102</f>
        <v>0</v>
      </c>
      <c r="L167" s="40" t="e">
        <f t="shared" si="119"/>
        <v>#DIV/0!</v>
      </c>
      <c r="M167" s="145">
        <v>2.2907000000000002</v>
      </c>
      <c r="N167" s="11">
        <f t="shared" si="120"/>
        <v>0</v>
      </c>
      <c r="O167" s="91">
        <f t="shared" si="121"/>
        <v>0</v>
      </c>
      <c r="P167" s="1022"/>
    </row>
    <row r="168" spans="2:16" x14ac:dyDescent="0.25">
      <c r="B168" s="1011"/>
      <c r="C168" s="39"/>
      <c r="D168" s="22" t="s">
        <v>131</v>
      </c>
      <c r="E168" s="3"/>
      <c r="F168" s="9">
        <f t="shared" si="118"/>
        <v>0</v>
      </c>
      <c r="G168" s="4">
        <v>0</v>
      </c>
      <c r="H168" s="8">
        <v>0</v>
      </c>
      <c r="I168" s="6">
        <f t="shared" si="117"/>
        <v>0</v>
      </c>
      <c r="J168" s="4">
        <f t="shared" si="122"/>
        <v>0</v>
      </c>
      <c r="K168" s="4">
        <f t="shared" si="123"/>
        <v>0</v>
      </c>
      <c r="L168" s="33"/>
      <c r="M168" s="150">
        <v>2.544</v>
      </c>
      <c r="N168" s="11">
        <f t="shared" si="120"/>
        <v>0</v>
      </c>
      <c r="O168" s="91">
        <f t="shared" si="121"/>
        <v>0</v>
      </c>
      <c r="P168" s="1022"/>
    </row>
    <row r="169" spans="2:16" x14ac:dyDescent="0.25">
      <c r="B169" s="1011"/>
      <c r="C169" s="39" t="s">
        <v>66</v>
      </c>
      <c r="D169" s="22" t="s">
        <v>133</v>
      </c>
      <c r="E169" s="3">
        <v>0</v>
      </c>
      <c r="F169" s="9">
        <f t="shared" si="118"/>
        <v>0</v>
      </c>
      <c r="G169" s="4">
        <v>0</v>
      </c>
      <c r="H169" s="8">
        <v>0</v>
      </c>
      <c r="I169" s="6">
        <f t="shared" si="117"/>
        <v>40072</v>
      </c>
      <c r="J169" s="4">
        <f t="shared" si="122"/>
        <v>38500</v>
      </c>
      <c r="K169" s="4">
        <f t="shared" si="123"/>
        <v>1572</v>
      </c>
      <c r="L169" s="33" t="e">
        <f>+J169/E169</f>
        <v>#DIV/0!</v>
      </c>
      <c r="M169" s="144">
        <v>2.2141000000000002</v>
      </c>
      <c r="N169" s="7">
        <f>+M169*G169</f>
        <v>0</v>
      </c>
      <c r="O169" s="85">
        <f>+M169*J169</f>
        <v>85242.85</v>
      </c>
      <c r="P169" s="1022"/>
    </row>
    <row r="170" spans="2:16" x14ac:dyDescent="0.25">
      <c r="B170" s="1011"/>
      <c r="C170" s="39"/>
      <c r="D170" s="22" t="s">
        <v>65</v>
      </c>
      <c r="E170" s="3">
        <v>0</v>
      </c>
      <c r="F170" s="9">
        <f t="shared" si="118"/>
        <v>0</v>
      </c>
      <c r="G170" s="4">
        <v>0</v>
      </c>
      <c r="H170" s="8">
        <v>0</v>
      </c>
      <c r="I170" s="6">
        <f t="shared" si="117"/>
        <v>0</v>
      </c>
      <c r="J170" s="4">
        <f t="shared" si="122"/>
        <v>0</v>
      </c>
      <c r="K170" s="4">
        <f t="shared" si="123"/>
        <v>0</v>
      </c>
      <c r="L170" s="40" t="e">
        <f t="shared" ref="L170:L171" si="124">+J170/E170</f>
        <v>#DIV/0!</v>
      </c>
      <c r="M170" s="145">
        <v>2.4565999999999999</v>
      </c>
      <c r="N170" s="11">
        <f t="shared" ref="N170:N171" si="125">+M170*G170</f>
        <v>0</v>
      </c>
      <c r="O170" s="91">
        <f t="shared" ref="O170" si="126">+M170*J170</f>
        <v>0</v>
      </c>
      <c r="P170" s="1022"/>
    </row>
    <row r="171" spans="2:16" ht="15.75" thickBot="1" x14ac:dyDescent="0.3">
      <c r="B171" s="1011"/>
      <c r="C171" s="39"/>
      <c r="D171" s="22" t="s">
        <v>126</v>
      </c>
      <c r="E171" s="3">
        <v>0</v>
      </c>
      <c r="F171" s="9">
        <f t="shared" si="118"/>
        <v>0</v>
      </c>
      <c r="G171" s="4">
        <v>0</v>
      </c>
      <c r="H171" s="8">
        <v>0</v>
      </c>
      <c r="I171" s="6">
        <f t="shared" si="117"/>
        <v>0</v>
      </c>
      <c r="J171" s="4">
        <f t="shared" si="122"/>
        <v>0</v>
      </c>
      <c r="K171" s="4">
        <f t="shared" si="123"/>
        <v>0</v>
      </c>
      <c r="L171" s="40" t="e">
        <f t="shared" si="124"/>
        <v>#DIV/0!</v>
      </c>
      <c r="M171" s="145">
        <v>2.2907000000000002</v>
      </c>
      <c r="N171" s="11">
        <f t="shared" si="125"/>
        <v>0</v>
      </c>
      <c r="O171" s="154">
        <f>+M171*J171</f>
        <v>0</v>
      </c>
      <c r="P171" s="1023"/>
    </row>
    <row r="172" spans="2:16" ht="15.75" thickBot="1" x14ac:dyDescent="0.3">
      <c r="B172" s="1011"/>
      <c r="C172" s="41" t="s">
        <v>29</v>
      </c>
      <c r="D172" s="27" t="str">
        <f>+C172</f>
        <v>TOTAL 1/2</v>
      </c>
      <c r="E172" s="42">
        <f>SUM(E165:E171)</f>
        <v>0</v>
      </c>
      <c r="F172" s="43">
        <f>SUM(F165:F171)</f>
        <v>0</v>
      </c>
      <c r="G172" s="43">
        <f>SUM(G165:G171)</f>
        <v>0</v>
      </c>
      <c r="H172" s="44">
        <f>SUM(H165:H171)</f>
        <v>0</v>
      </c>
      <c r="I172" s="45">
        <f>SUM(I169:I171)</f>
        <v>40072</v>
      </c>
      <c r="J172" s="43">
        <f>SUM(J165:J171)</f>
        <v>38500</v>
      </c>
      <c r="K172" s="43">
        <f>SUM(K165:K171)</f>
        <v>1572</v>
      </c>
      <c r="L172" s="46" t="e">
        <f>+J172/E172</f>
        <v>#DIV/0!</v>
      </c>
      <c r="M172" s="47"/>
      <c r="N172" s="48">
        <f>SUM(N169:N171)</f>
        <v>0</v>
      </c>
      <c r="O172" s="49">
        <f>SUM(O165:O171)</f>
        <v>85242.85</v>
      </c>
      <c r="P172" s="168"/>
    </row>
    <row r="173" spans="2:16" x14ac:dyDescent="0.25">
      <c r="B173" s="1011"/>
      <c r="C173" s="1024" t="s">
        <v>67</v>
      </c>
      <c r="D173" s="22" t="s">
        <v>64</v>
      </c>
      <c r="E173" s="3">
        <v>0</v>
      </c>
      <c r="F173" s="4">
        <f>G173+H173</f>
        <v>0</v>
      </c>
      <c r="G173" s="4">
        <v>0</v>
      </c>
      <c r="H173" s="8">
        <v>0</v>
      </c>
      <c r="I173" s="16">
        <f>J173+K173</f>
        <v>109220</v>
      </c>
      <c r="J173" s="4">
        <f>G173+J108</f>
        <v>105750</v>
      </c>
      <c r="K173" s="4">
        <f>H173+K108</f>
        <v>3470</v>
      </c>
      <c r="L173" s="50" t="e">
        <f>+J173/E173</f>
        <v>#DIV/0!</v>
      </c>
      <c r="M173" s="144">
        <v>4.1712999999999996</v>
      </c>
      <c r="N173" s="7">
        <f>+M173*G173</f>
        <v>0</v>
      </c>
      <c r="O173" s="93">
        <f>+M173*J173</f>
        <v>441114.97499999998</v>
      </c>
      <c r="P173" s="1021"/>
    </row>
    <row r="174" spans="2:16" x14ac:dyDescent="0.25">
      <c r="B174" s="1011"/>
      <c r="C174" s="1025"/>
      <c r="D174" s="22" t="s">
        <v>65</v>
      </c>
      <c r="E174" s="3">
        <v>0</v>
      </c>
      <c r="F174" s="4">
        <f>G174+H174</f>
        <v>61600</v>
      </c>
      <c r="G174" s="4">
        <v>60000</v>
      </c>
      <c r="H174" s="8">
        <v>1600</v>
      </c>
      <c r="I174" s="6">
        <f>+R1218+F174</f>
        <v>61600</v>
      </c>
      <c r="J174" s="4">
        <f>G174+J109</f>
        <v>60000</v>
      </c>
      <c r="K174" s="4">
        <f>H174+K109</f>
        <v>1600</v>
      </c>
      <c r="L174" s="51" t="e">
        <f t="shared" ref="L174:L178" si="127">+J174/E174</f>
        <v>#DIV/0!</v>
      </c>
      <c r="M174" s="145">
        <v>4.8285999999999998</v>
      </c>
      <c r="N174" s="11">
        <f t="shared" ref="N174:N176" si="128">+M174*G174</f>
        <v>289716</v>
      </c>
      <c r="O174" s="94">
        <f t="shared" ref="O174:O176" si="129">+M174*J174</f>
        <v>289716</v>
      </c>
      <c r="P174" s="1022"/>
    </row>
    <row r="175" spans="2:16" x14ac:dyDescent="0.25">
      <c r="B175" s="1011"/>
      <c r="C175" s="1025"/>
      <c r="D175" s="22" t="s">
        <v>127</v>
      </c>
      <c r="E175" s="3"/>
      <c r="F175" s="4">
        <f>G175+H175</f>
        <v>0</v>
      </c>
      <c r="G175" s="4">
        <v>0</v>
      </c>
      <c r="H175" s="8">
        <v>0</v>
      </c>
      <c r="I175" s="6">
        <f>+R1219+F175</f>
        <v>0</v>
      </c>
      <c r="J175" s="4">
        <f t="shared" ref="J175:J176" si="130">G175+J110</f>
        <v>0</v>
      </c>
      <c r="K175" s="4">
        <f t="shared" ref="K175:K176" si="131">H175+K110</f>
        <v>0</v>
      </c>
      <c r="L175" s="51" t="e">
        <f t="shared" si="127"/>
        <v>#DIV/0!</v>
      </c>
      <c r="M175" s="144">
        <v>4.5023</v>
      </c>
      <c r="N175" s="11">
        <f t="shared" si="128"/>
        <v>0</v>
      </c>
      <c r="O175" s="94">
        <f t="shared" si="129"/>
        <v>0</v>
      </c>
      <c r="P175" s="1022"/>
    </row>
    <row r="176" spans="2:16" ht="15.75" thickBot="1" x14ac:dyDescent="0.3">
      <c r="B176" s="1011"/>
      <c r="C176" s="1025"/>
      <c r="D176" s="22" t="s">
        <v>111</v>
      </c>
      <c r="E176" s="3">
        <v>0</v>
      </c>
      <c r="F176" s="4">
        <f t="shared" ref="F176" si="132">G176+H176</f>
        <v>0</v>
      </c>
      <c r="G176" s="4">
        <v>0</v>
      </c>
      <c r="H176" s="8">
        <v>0</v>
      </c>
      <c r="I176" s="6">
        <f>+R1219+F176</f>
        <v>0</v>
      </c>
      <c r="J176" s="4">
        <f t="shared" si="130"/>
        <v>0</v>
      </c>
      <c r="K176" s="4">
        <f t="shared" si="131"/>
        <v>0</v>
      </c>
      <c r="L176" s="51" t="e">
        <f t="shared" si="127"/>
        <v>#DIV/0!</v>
      </c>
      <c r="M176" s="144">
        <v>4.4065000000000003</v>
      </c>
      <c r="N176" s="11">
        <f t="shared" si="128"/>
        <v>0</v>
      </c>
      <c r="O176" s="94">
        <f t="shared" si="129"/>
        <v>0</v>
      </c>
      <c r="P176" s="1022"/>
    </row>
    <row r="177" spans="2:16" ht="15.75" thickBot="1" x14ac:dyDescent="0.3">
      <c r="B177" s="1011"/>
      <c r="C177" s="41" t="s">
        <v>31</v>
      </c>
      <c r="D177" s="18" t="str">
        <f>+C177</f>
        <v>TOTAL 4/4</v>
      </c>
      <c r="E177" s="42">
        <f t="shared" ref="E177:K177" si="133">SUM(E173:E176)</f>
        <v>0</v>
      </c>
      <c r="F177" s="43">
        <f t="shared" si="133"/>
        <v>61600</v>
      </c>
      <c r="G177" s="43">
        <f t="shared" si="133"/>
        <v>60000</v>
      </c>
      <c r="H177" s="44">
        <f t="shared" si="133"/>
        <v>1600</v>
      </c>
      <c r="I177" s="45">
        <f t="shared" si="133"/>
        <v>170820</v>
      </c>
      <c r="J177" s="43">
        <f t="shared" si="133"/>
        <v>165750</v>
      </c>
      <c r="K177" s="43">
        <f t="shared" si="133"/>
        <v>5070</v>
      </c>
      <c r="L177" s="46" t="e">
        <f t="shared" si="127"/>
        <v>#DIV/0!</v>
      </c>
      <c r="M177" s="47"/>
      <c r="N177" s="48">
        <f>SUM(N173:N176)</f>
        <v>289716</v>
      </c>
      <c r="O177" s="92">
        <f>SUM(O173:O176)</f>
        <v>730830.97499999998</v>
      </c>
      <c r="P177" s="1023"/>
    </row>
    <row r="178" spans="2:16" ht="15.75" thickBot="1" x14ac:dyDescent="0.3">
      <c r="B178" s="1020"/>
      <c r="C178" s="41" t="s">
        <v>68</v>
      </c>
      <c r="D178" s="27" t="s">
        <v>64</v>
      </c>
      <c r="E178" s="25">
        <v>0</v>
      </c>
      <c r="F178" s="20">
        <f>G178+H178</f>
        <v>0</v>
      </c>
      <c r="G178" s="20">
        <v>0</v>
      </c>
      <c r="H178" s="24">
        <v>0</v>
      </c>
      <c r="I178" s="19">
        <f>J178+K178</f>
        <v>0</v>
      </c>
      <c r="J178" s="4">
        <f>G178+J113</f>
        <v>0</v>
      </c>
      <c r="K178" s="4">
        <f>H178+K113</f>
        <v>0</v>
      </c>
      <c r="L178" s="52" t="e">
        <f t="shared" si="127"/>
        <v>#DIV/0!</v>
      </c>
      <c r="M178" s="149">
        <v>1.4086000000000001</v>
      </c>
      <c r="N178" s="26">
        <f t="shared" ref="N178" si="134">+M178*G178</f>
        <v>0</v>
      </c>
      <c r="O178" s="95">
        <f t="shared" ref="O178" si="135">+M178*J178</f>
        <v>0</v>
      </c>
      <c r="P178" s="53"/>
    </row>
    <row r="179" spans="2:16" ht="15.75" thickBot="1" x14ac:dyDescent="0.3">
      <c r="B179" s="995" t="s">
        <v>95</v>
      </c>
      <c r="C179" s="996"/>
      <c r="D179" s="996"/>
      <c r="E179" s="996"/>
      <c r="F179" s="996"/>
      <c r="G179" s="996"/>
      <c r="H179" s="996"/>
      <c r="I179" s="110">
        <f>J179+K179</f>
        <v>210892</v>
      </c>
      <c r="J179" s="110">
        <f>J172+J177+J178</f>
        <v>204250</v>
      </c>
      <c r="K179" s="110">
        <f>K172+K177+K178</f>
        <v>6642</v>
      </c>
      <c r="L179" s="111"/>
      <c r="M179" s="112"/>
      <c r="N179" s="109"/>
      <c r="O179" s="77">
        <f>+O178+O177+O172</f>
        <v>816073.82499999995</v>
      </c>
      <c r="P179" s="84"/>
    </row>
    <row r="180" spans="2:16" x14ac:dyDescent="0.25">
      <c r="B180" s="997" t="s">
        <v>69</v>
      </c>
      <c r="C180" s="1000" t="s">
        <v>70</v>
      </c>
      <c r="D180" s="54" t="s">
        <v>71</v>
      </c>
      <c r="E180" s="55">
        <v>0</v>
      </c>
      <c r="F180" s="56">
        <f>G180+H180</f>
        <v>0</v>
      </c>
      <c r="G180" s="56">
        <v>0</v>
      </c>
      <c r="H180" s="57">
        <v>0</v>
      </c>
      <c r="I180" s="78">
        <f>J180+K180</f>
        <v>0</v>
      </c>
      <c r="J180" s="4">
        <f>G180+J115</f>
        <v>0</v>
      </c>
      <c r="K180" s="4">
        <f>H180+K115</f>
        <v>0</v>
      </c>
      <c r="L180" s="58" t="e">
        <f t="shared" ref="L180" si="136">+J180/E180</f>
        <v>#DIV/0!</v>
      </c>
      <c r="M180" s="59">
        <v>32.946300000000001</v>
      </c>
      <c r="N180" s="60">
        <f>+M180*G180</f>
        <v>0</v>
      </c>
      <c r="O180" s="60">
        <f>M180*J180</f>
        <v>0</v>
      </c>
      <c r="P180" s="1002"/>
    </row>
    <row r="181" spans="2:16" x14ac:dyDescent="0.25">
      <c r="B181" s="998"/>
      <c r="C181" s="1001"/>
      <c r="D181" s="61" t="s">
        <v>72</v>
      </c>
      <c r="E181" s="62">
        <v>0</v>
      </c>
      <c r="F181" s="63">
        <f>G181+H181</f>
        <v>0</v>
      </c>
      <c r="G181" s="63">
        <v>0</v>
      </c>
      <c r="H181" s="64">
        <v>0</v>
      </c>
      <c r="I181" s="79">
        <f>J181+K181</f>
        <v>0</v>
      </c>
      <c r="J181" s="4">
        <f>G181+J116</f>
        <v>0</v>
      </c>
      <c r="K181" s="4">
        <f>H181+K116</f>
        <v>0</v>
      </c>
      <c r="L181" s="65" t="e">
        <f>+J181/E181</f>
        <v>#DIV/0!</v>
      </c>
      <c r="M181" s="66">
        <v>35.398400000000002</v>
      </c>
      <c r="N181" s="67">
        <f>+M181*G181</f>
        <v>0</v>
      </c>
      <c r="O181" s="67">
        <f>M181*J181</f>
        <v>0</v>
      </c>
      <c r="P181" s="1003"/>
    </row>
    <row r="182" spans="2:16" x14ac:dyDescent="0.25">
      <c r="B182" s="998"/>
      <c r="C182" s="1001"/>
      <c r="D182" s="61" t="s">
        <v>73</v>
      </c>
      <c r="E182" s="62">
        <v>0</v>
      </c>
      <c r="F182" s="63">
        <f t="shared" ref="F182:F185" si="137">G182+H182</f>
        <v>0</v>
      </c>
      <c r="G182" s="63">
        <v>0</v>
      </c>
      <c r="H182" s="64">
        <v>0</v>
      </c>
      <c r="I182" s="79">
        <f t="shared" ref="I182:I191" si="138">J182+K182</f>
        <v>0</v>
      </c>
      <c r="J182" s="4">
        <f t="shared" ref="J182:J207" si="139">G182+J117</f>
        <v>0</v>
      </c>
      <c r="K182" s="4">
        <f t="shared" ref="K182:K186" si="140">H182+K117</f>
        <v>0</v>
      </c>
      <c r="L182" s="65" t="e">
        <f t="shared" ref="L182:L195" si="141">+J182/E182</f>
        <v>#DIV/0!</v>
      </c>
      <c r="M182" s="66">
        <v>32.946300000000001</v>
      </c>
      <c r="N182" s="67">
        <f t="shared" ref="N182:N202" si="142">+M182*G182</f>
        <v>0</v>
      </c>
      <c r="O182" s="67">
        <f t="shared" ref="O182:O190" si="143">M182*J182</f>
        <v>0</v>
      </c>
      <c r="P182" s="1003"/>
    </row>
    <row r="183" spans="2:16" x14ac:dyDescent="0.25">
      <c r="B183" s="998"/>
      <c r="C183" s="1001" t="s">
        <v>74</v>
      </c>
      <c r="D183" s="61" t="s">
        <v>75</v>
      </c>
      <c r="E183" s="62">
        <v>0</v>
      </c>
      <c r="F183" s="63">
        <f t="shared" si="137"/>
        <v>0</v>
      </c>
      <c r="G183" s="63">
        <v>0</v>
      </c>
      <c r="H183" s="64">
        <v>0</v>
      </c>
      <c r="I183" s="79">
        <f t="shared" si="138"/>
        <v>4976</v>
      </c>
      <c r="J183" s="4">
        <f t="shared" si="139"/>
        <v>4800</v>
      </c>
      <c r="K183" s="4">
        <f t="shared" si="140"/>
        <v>176</v>
      </c>
      <c r="L183" s="65" t="e">
        <f t="shared" si="141"/>
        <v>#DIV/0!</v>
      </c>
      <c r="M183" s="66">
        <v>55.4758</v>
      </c>
      <c r="N183" s="67">
        <f t="shared" si="142"/>
        <v>0</v>
      </c>
      <c r="O183" s="67">
        <f t="shared" si="143"/>
        <v>266283.84000000003</v>
      </c>
      <c r="P183" s="1003"/>
    </row>
    <row r="184" spans="2:16" x14ac:dyDescent="0.25">
      <c r="B184" s="998"/>
      <c r="C184" s="1001"/>
      <c r="D184" s="61" t="s">
        <v>134</v>
      </c>
      <c r="E184" s="62">
        <v>0</v>
      </c>
      <c r="F184" s="63">
        <f t="shared" si="137"/>
        <v>0</v>
      </c>
      <c r="G184" s="63">
        <v>0</v>
      </c>
      <c r="H184" s="64">
        <v>0</v>
      </c>
      <c r="I184" s="79">
        <f t="shared" si="138"/>
        <v>0</v>
      </c>
      <c r="J184" s="4">
        <f t="shared" si="139"/>
        <v>0</v>
      </c>
      <c r="K184" s="4">
        <f t="shared" si="140"/>
        <v>0</v>
      </c>
      <c r="L184" s="65" t="e">
        <f t="shared" si="141"/>
        <v>#DIV/0!</v>
      </c>
      <c r="M184" s="66">
        <v>53.515999999999998</v>
      </c>
      <c r="N184" s="67">
        <f t="shared" si="142"/>
        <v>0</v>
      </c>
      <c r="O184" s="67">
        <f t="shared" si="143"/>
        <v>0</v>
      </c>
      <c r="P184" s="1003"/>
    </row>
    <row r="185" spans="2:16" x14ac:dyDescent="0.25">
      <c r="B185" s="998"/>
      <c r="C185" s="1001"/>
      <c r="D185" s="61" t="s">
        <v>72</v>
      </c>
      <c r="E185" s="62">
        <v>0</v>
      </c>
      <c r="F185" s="63">
        <f t="shared" si="137"/>
        <v>0</v>
      </c>
      <c r="G185" s="63">
        <v>0</v>
      </c>
      <c r="H185" s="64">
        <v>0</v>
      </c>
      <c r="I185" s="79">
        <f t="shared" si="138"/>
        <v>0</v>
      </c>
      <c r="J185" s="4">
        <f t="shared" si="139"/>
        <v>0</v>
      </c>
      <c r="K185" s="4">
        <f t="shared" si="140"/>
        <v>0</v>
      </c>
      <c r="L185" s="65" t="e">
        <f t="shared" si="141"/>
        <v>#DIV/0!</v>
      </c>
      <c r="M185" s="66">
        <v>58.836300000000001</v>
      </c>
      <c r="N185" s="67">
        <f t="shared" si="142"/>
        <v>0</v>
      </c>
      <c r="O185" s="67">
        <f t="shared" si="143"/>
        <v>0</v>
      </c>
      <c r="P185" s="1003"/>
    </row>
    <row r="186" spans="2:16" x14ac:dyDescent="0.25">
      <c r="B186" s="998"/>
      <c r="C186" s="1005" t="s">
        <v>76</v>
      </c>
      <c r="D186" s="61" t="s">
        <v>77</v>
      </c>
      <c r="E186" s="62">
        <v>0</v>
      </c>
      <c r="F186" s="63">
        <f>G186+H186</f>
        <v>0</v>
      </c>
      <c r="G186" s="63">
        <v>0</v>
      </c>
      <c r="H186" s="64">
        <v>0</v>
      </c>
      <c r="I186" s="79">
        <f t="shared" si="138"/>
        <v>0</v>
      </c>
      <c r="J186" s="4">
        <f t="shared" si="139"/>
        <v>0</v>
      </c>
      <c r="K186" s="4">
        <f t="shared" si="140"/>
        <v>0</v>
      </c>
      <c r="L186" s="65" t="e">
        <f t="shared" si="141"/>
        <v>#DIV/0!</v>
      </c>
      <c r="M186" s="66">
        <v>25.687200000000001</v>
      </c>
      <c r="N186" s="67">
        <f t="shared" si="142"/>
        <v>0</v>
      </c>
      <c r="O186" s="67">
        <f t="shared" si="143"/>
        <v>0</v>
      </c>
      <c r="P186" s="1003"/>
    </row>
    <row r="187" spans="2:16" x14ac:dyDescent="0.25">
      <c r="B187" s="998"/>
      <c r="C187" s="1006"/>
      <c r="D187" s="61" t="s">
        <v>117</v>
      </c>
      <c r="E187" s="62">
        <v>0</v>
      </c>
      <c r="F187" s="63">
        <f>G187+H187</f>
        <v>0</v>
      </c>
      <c r="G187" s="63">
        <v>0</v>
      </c>
      <c r="H187" s="64">
        <v>0</v>
      </c>
      <c r="I187" s="79">
        <f t="shared" si="138"/>
        <v>0</v>
      </c>
      <c r="J187" s="4">
        <f t="shared" si="139"/>
        <v>0</v>
      </c>
      <c r="K187" s="4">
        <f>H187+K122</f>
        <v>0</v>
      </c>
      <c r="L187" s="65" t="e">
        <f t="shared" si="141"/>
        <v>#DIV/0!</v>
      </c>
      <c r="M187" s="66">
        <v>25.033899999999999</v>
      </c>
      <c r="N187" s="67">
        <f t="shared" si="142"/>
        <v>0</v>
      </c>
      <c r="O187" s="67">
        <f t="shared" si="143"/>
        <v>0</v>
      </c>
      <c r="P187" s="1003"/>
    </row>
    <row r="188" spans="2:16" x14ac:dyDescent="0.25">
      <c r="B188" s="998"/>
      <c r="C188" s="1005" t="s">
        <v>78</v>
      </c>
      <c r="D188" s="61" t="s">
        <v>79</v>
      </c>
      <c r="E188" s="62">
        <v>0</v>
      </c>
      <c r="F188" s="63">
        <f t="shared" ref="F188:F207" si="144">G188+H188</f>
        <v>2065</v>
      </c>
      <c r="G188" s="63">
        <v>2000</v>
      </c>
      <c r="H188" s="64">
        <v>65</v>
      </c>
      <c r="I188" s="79">
        <f t="shared" si="138"/>
        <v>2065</v>
      </c>
      <c r="J188" s="4">
        <f t="shared" si="139"/>
        <v>2000</v>
      </c>
      <c r="K188" s="4">
        <f t="shared" ref="K188:K207" si="145">H188+K123</f>
        <v>65</v>
      </c>
      <c r="L188" s="65" t="e">
        <f t="shared" si="141"/>
        <v>#DIV/0!</v>
      </c>
      <c r="M188" s="66">
        <v>41.992699999999999</v>
      </c>
      <c r="N188" s="67">
        <f t="shared" si="142"/>
        <v>83985.4</v>
      </c>
      <c r="O188" s="67">
        <f t="shared" si="143"/>
        <v>83985.4</v>
      </c>
      <c r="P188" s="1003"/>
    </row>
    <row r="189" spans="2:16" x14ac:dyDescent="0.25">
      <c r="B189" s="998"/>
      <c r="C189" s="1006"/>
      <c r="D189" s="61" t="s">
        <v>72</v>
      </c>
      <c r="E189" s="62">
        <v>0</v>
      </c>
      <c r="F189" s="63">
        <f t="shared" si="144"/>
        <v>0</v>
      </c>
      <c r="G189" s="63">
        <v>0</v>
      </c>
      <c r="H189" s="64">
        <v>0</v>
      </c>
      <c r="I189" s="79">
        <f t="shared" si="138"/>
        <v>0</v>
      </c>
      <c r="J189" s="4">
        <f t="shared" si="139"/>
        <v>0</v>
      </c>
      <c r="K189" s="4">
        <f t="shared" si="145"/>
        <v>0</v>
      </c>
      <c r="L189" s="65" t="e">
        <f t="shared" si="141"/>
        <v>#DIV/0!</v>
      </c>
      <c r="M189" s="66">
        <v>42.283799999999999</v>
      </c>
      <c r="N189" s="67">
        <f t="shared" si="142"/>
        <v>0</v>
      </c>
      <c r="O189" s="67">
        <f t="shared" si="143"/>
        <v>0</v>
      </c>
      <c r="P189" s="1003"/>
    </row>
    <row r="190" spans="2:16" x14ac:dyDescent="0.25">
      <c r="B190" s="998"/>
      <c r="C190" s="169" t="s">
        <v>80</v>
      </c>
      <c r="D190" s="61" t="s">
        <v>81</v>
      </c>
      <c r="E190" s="62">
        <v>0</v>
      </c>
      <c r="F190" s="63">
        <f t="shared" si="144"/>
        <v>0</v>
      </c>
      <c r="G190" s="63">
        <v>0</v>
      </c>
      <c r="H190" s="64">
        <v>0</v>
      </c>
      <c r="I190" s="79">
        <f t="shared" si="138"/>
        <v>0</v>
      </c>
      <c r="J190" s="4">
        <f t="shared" si="139"/>
        <v>0</v>
      </c>
      <c r="K190" s="4">
        <f t="shared" si="145"/>
        <v>0</v>
      </c>
      <c r="L190" s="65" t="e">
        <f t="shared" si="141"/>
        <v>#DIV/0!</v>
      </c>
      <c r="M190" s="66">
        <v>4.3535000000000004</v>
      </c>
      <c r="N190" s="67">
        <f t="shared" si="142"/>
        <v>0</v>
      </c>
      <c r="O190" s="67">
        <f t="shared" si="143"/>
        <v>0</v>
      </c>
      <c r="P190" s="1003"/>
    </row>
    <row r="191" spans="2:16" x14ac:dyDescent="0.25">
      <c r="B191" s="998"/>
      <c r="C191" s="1001" t="s">
        <v>82</v>
      </c>
      <c r="D191" s="61" t="s">
        <v>77</v>
      </c>
      <c r="E191" s="62">
        <v>0</v>
      </c>
      <c r="F191" s="63">
        <f t="shared" si="144"/>
        <v>0</v>
      </c>
      <c r="G191" s="63">
        <v>0</v>
      </c>
      <c r="H191" s="64">
        <v>0</v>
      </c>
      <c r="I191" s="79">
        <f t="shared" si="138"/>
        <v>0</v>
      </c>
      <c r="J191" s="4">
        <f t="shared" si="139"/>
        <v>0</v>
      </c>
      <c r="K191" s="4">
        <f t="shared" si="145"/>
        <v>0</v>
      </c>
      <c r="L191" s="65" t="e">
        <f t="shared" si="141"/>
        <v>#DIV/0!</v>
      </c>
      <c r="M191" s="66">
        <v>4.6184000000000003</v>
      </c>
      <c r="N191" s="67">
        <f t="shared" si="142"/>
        <v>0</v>
      </c>
      <c r="O191" s="67">
        <f>M191*J191</f>
        <v>0</v>
      </c>
      <c r="P191" s="1003"/>
    </row>
    <row r="192" spans="2:16" x14ac:dyDescent="0.25">
      <c r="B192" s="998"/>
      <c r="C192" s="1001"/>
      <c r="D192" s="61" t="s">
        <v>119</v>
      </c>
      <c r="E192" s="62">
        <v>0</v>
      </c>
      <c r="F192" s="63">
        <f t="shared" si="144"/>
        <v>0</v>
      </c>
      <c r="G192" s="63">
        <v>0</v>
      </c>
      <c r="H192" s="64">
        <v>0</v>
      </c>
      <c r="I192" s="79">
        <f>J192+K192</f>
        <v>0</v>
      </c>
      <c r="J192" s="4">
        <f t="shared" si="139"/>
        <v>0</v>
      </c>
      <c r="K192" s="4">
        <f t="shared" si="145"/>
        <v>0</v>
      </c>
      <c r="L192" s="65" t="e">
        <f t="shared" si="141"/>
        <v>#DIV/0!</v>
      </c>
      <c r="M192" s="153">
        <v>4.6184000000000003</v>
      </c>
      <c r="N192" s="67">
        <f t="shared" si="142"/>
        <v>0</v>
      </c>
      <c r="O192" s="67">
        <f>M192*J192</f>
        <v>0</v>
      </c>
      <c r="P192" s="1003"/>
    </row>
    <row r="193" spans="2:16" x14ac:dyDescent="0.25">
      <c r="B193" s="998"/>
      <c r="C193" s="1001"/>
      <c r="D193" s="61" t="s">
        <v>123</v>
      </c>
      <c r="E193" s="62">
        <v>0</v>
      </c>
      <c r="F193" s="63">
        <f t="shared" si="144"/>
        <v>0</v>
      </c>
      <c r="G193" s="63">
        <v>0</v>
      </c>
      <c r="H193" s="64">
        <v>0</v>
      </c>
      <c r="I193" s="79">
        <f t="shared" ref="I193:I207" si="146">J193+K193</f>
        <v>0</v>
      </c>
      <c r="J193" s="4">
        <f t="shared" si="139"/>
        <v>0</v>
      </c>
      <c r="K193" s="4">
        <f t="shared" si="145"/>
        <v>0</v>
      </c>
      <c r="L193" s="65" t="e">
        <f t="shared" si="141"/>
        <v>#DIV/0!</v>
      </c>
      <c r="M193" s="153">
        <v>4.6184000000000003</v>
      </c>
      <c r="N193" s="67">
        <f t="shared" si="142"/>
        <v>0</v>
      </c>
      <c r="O193" s="67">
        <f t="shared" ref="O193:O198" si="147">M193*J193</f>
        <v>0</v>
      </c>
      <c r="P193" s="1003"/>
    </row>
    <row r="194" spans="2:16" x14ac:dyDescent="0.25">
      <c r="B194" s="998"/>
      <c r="C194" s="1001"/>
      <c r="D194" s="61" t="s">
        <v>124</v>
      </c>
      <c r="E194" s="62">
        <v>0</v>
      </c>
      <c r="F194" s="63">
        <f t="shared" si="144"/>
        <v>20600</v>
      </c>
      <c r="G194" s="63">
        <v>19600</v>
      </c>
      <c r="H194" s="64">
        <v>1000</v>
      </c>
      <c r="I194" s="79">
        <f t="shared" si="146"/>
        <v>64869</v>
      </c>
      <c r="J194" s="4">
        <f t="shared" si="139"/>
        <v>62500</v>
      </c>
      <c r="K194" s="4">
        <f t="shared" si="145"/>
        <v>2369</v>
      </c>
      <c r="L194" s="65" t="e">
        <f t="shared" si="141"/>
        <v>#DIV/0!</v>
      </c>
      <c r="M194" s="153">
        <v>4.7636000000000003</v>
      </c>
      <c r="N194" s="67">
        <f t="shared" si="142"/>
        <v>93366.560000000012</v>
      </c>
      <c r="O194" s="67">
        <f t="shared" si="147"/>
        <v>297725</v>
      </c>
      <c r="P194" s="1003"/>
    </row>
    <row r="195" spans="2:16" x14ac:dyDescent="0.25">
      <c r="B195" s="998"/>
      <c r="C195" s="1001"/>
      <c r="D195" s="61" t="s">
        <v>83</v>
      </c>
      <c r="E195" s="62">
        <v>0</v>
      </c>
      <c r="F195" s="63">
        <f t="shared" si="144"/>
        <v>0</v>
      </c>
      <c r="G195" s="63">
        <v>0</v>
      </c>
      <c r="H195" s="64">
        <v>0</v>
      </c>
      <c r="I195" s="79">
        <f t="shared" si="146"/>
        <v>0</v>
      </c>
      <c r="J195" s="4">
        <f t="shared" si="139"/>
        <v>0</v>
      </c>
      <c r="K195" s="4">
        <f t="shared" si="145"/>
        <v>0</v>
      </c>
      <c r="L195" s="65" t="e">
        <f t="shared" si="141"/>
        <v>#DIV/0!</v>
      </c>
      <c r="M195" s="66">
        <v>4.8738000000000001</v>
      </c>
      <c r="N195" s="67">
        <f t="shared" si="142"/>
        <v>0</v>
      </c>
      <c r="O195" s="67">
        <f t="shared" si="147"/>
        <v>0</v>
      </c>
      <c r="P195" s="1003"/>
    </row>
    <row r="196" spans="2:16" x14ac:dyDescent="0.25">
      <c r="B196" s="998"/>
      <c r="C196" s="169" t="s">
        <v>128</v>
      </c>
      <c r="D196" s="61" t="s">
        <v>124</v>
      </c>
      <c r="E196" s="62"/>
      <c r="F196" s="63">
        <f t="shared" si="144"/>
        <v>0</v>
      </c>
      <c r="G196" s="63">
        <v>0</v>
      </c>
      <c r="H196" s="64">
        <v>0</v>
      </c>
      <c r="I196" s="79">
        <f t="shared" si="146"/>
        <v>0</v>
      </c>
      <c r="J196" s="4">
        <f t="shared" si="139"/>
        <v>0</v>
      </c>
      <c r="K196" s="4">
        <f t="shared" si="145"/>
        <v>0</v>
      </c>
      <c r="L196" s="65"/>
      <c r="M196" s="66">
        <v>4.8738000000000001</v>
      </c>
      <c r="N196" s="67">
        <f t="shared" si="142"/>
        <v>0</v>
      </c>
      <c r="O196" s="67">
        <f t="shared" si="147"/>
        <v>0</v>
      </c>
      <c r="P196" s="1003"/>
    </row>
    <row r="197" spans="2:16" x14ac:dyDescent="0.25">
      <c r="B197" s="998"/>
      <c r="C197" s="1001" t="s">
        <v>84</v>
      </c>
      <c r="D197" s="61" t="s">
        <v>77</v>
      </c>
      <c r="E197" s="62">
        <v>0</v>
      </c>
      <c r="F197" s="63">
        <f t="shared" si="144"/>
        <v>31750</v>
      </c>
      <c r="G197" s="63">
        <v>31050</v>
      </c>
      <c r="H197" s="64">
        <v>700</v>
      </c>
      <c r="I197" s="79">
        <f t="shared" si="146"/>
        <v>76529</v>
      </c>
      <c r="J197" s="4">
        <f t="shared" si="139"/>
        <v>75550</v>
      </c>
      <c r="K197" s="4">
        <f t="shared" si="145"/>
        <v>979</v>
      </c>
      <c r="L197" s="65" t="e">
        <f t="shared" ref="L197:L207" si="148">+J197/E197</f>
        <v>#DIV/0!</v>
      </c>
      <c r="M197" s="66">
        <v>4.9344999999999999</v>
      </c>
      <c r="N197" s="67">
        <f t="shared" si="142"/>
        <v>153216.22500000001</v>
      </c>
      <c r="O197" s="67">
        <f t="shared" si="147"/>
        <v>372801.47499999998</v>
      </c>
      <c r="P197" s="1003"/>
    </row>
    <row r="198" spans="2:16" x14ac:dyDescent="0.25">
      <c r="B198" s="998"/>
      <c r="C198" s="1001"/>
      <c r="D198" s="61" t="s">
        <v>135</v>
      </c>
      <c r="E198" s="62"/>
      <c r="F198" s="63">
        <f t="shared" si="144"/>
        <v>0</v>
      </c>
      <c r="G198" s="63">
        <v>0</v>
      </c>
      <c r="H198" s="64">
        <v>0</v>
      </c>
      <c r="I198" s="79">
        <f t="shared" si="146"/>
        <v>0</v>
      </c>
      <c r="J198" s="4">
        <f t="shared" si="139"/>
        <v>0</v>
      </c>
      <c r="K198" s="4">
        <f t="shared" si="145"/>
        <v>0</v>
      </c>
      <c r="L198" s="65" t="e">
        <f t="shared" si="148"/>
        <v>#DIV/0!</v>
      </c>
      <c r="M198" s="66">
        <v>4.9344999999999999</v>
      </c>
      <c r="N198" s="67">
        <f t="shared" si="142"/>
        <v>0</v>
      </c>
      <c r="O198" s="67">
        <f t="shared" si="147"/>
        <v>0</v>
      </c>
      <c r="P198" s="1003"/>
    </row>
    <row r="199" spans="2:16" x14ac:dyDescent="0.25">
      <c r="B199" s="998"/>
      <c r="C199" s="1001"/>
      <c r="D199" s="61" t="s">
        <v>129</v>
      </c>
      <c r="E199" s="62">
        <v>0</v>
      </c>
      <c r="F199" s="63">
        <f t="shared" si="144"/>
        <v>0</v>
      </c>
      <c r="G199" s="155">
        <v>0</v>
      </c>
      <c r="H199" s="156">
        <v>0</v>
      </c>
      <c r="I199" s="157">
        <f t="shared" si="146"/>
        <v>0</v>
      </c>
      <c r="J199" s="4">
        <f t="shared" si="139"/>
        <v>0</v>
      </c>
      <c r="K199" s="4">
        <f t="shared" si="145"/>
        <v>0</v>
      </c>
      <c r="L199" s="158" t="e">
        <f t="shared" si="148"/>
        <v>#DIV/0!</v>
      </c>
      <c r="M199" s="66">
        <v>4.9344999999999999</v>
      </c>
      <c r="N199" s="159">
        <f t="shared" si="142"/>
        <v>0</v>
      </c>
      <c r="O199" s="67">
        <f>M199*J199</f>
        <v>0</v>
      </c>
      <c r="P199" s="1003"/>
    </row>
    <row r="200" spans="2:16" x14ac:dyDescent="0.25">
      <c r="B200" s="998"/>
      <c r="C200" s="1001" t="s">
        <v>85</v>
      </c>
      <c r="D200" s="61" t="s">
        <v>77</v>
      </c>
      <c r="E200" s="62">
        <v>0</v>
      </c>
      <c r="F200" s="63">
        <f t="shared" si="144"/>
        <v>21450</v>
      </c>
      <c r="G200" s="63">
        <v>18450</v>
      </c>
      <c r="H200" s="64">
        <v>3000</v>
      </c>
      <c r="I200" s="79">
        <f t="shared" si="146"/>
        <v>48023</v>
      </c>
      <c r="J200" s="4">
        <f t="shared" si="139"/>
        <v>43650</v>
      </c>
      <c r="K200" s="4">
        <f t="shared" si="145"/>
        <v>4373</v>
      </c>
      <c r="L200" s="65" t="e">
        <f t="shared" si="148"/>
        <v>#DIV/0!</v>
      </c>
      <c r="M200" s="148">
        <v>5.5069999999999997</v>
      </c>
      <c r="N200" s="67">
        <f t="shared" si="142"/>
        <v>101604.15</v>
      </c>
      <c r="O200" s="67">
        <f>M200*J200</f>
        <v>240380.55</v>
      </c>
      <c r="P200" s="1003"/>
    </row>
    <row r="201" spans="2:16" x14ac:dyDescent="0.25">
      <c r="B201" s="998"/>
      <c r="C201" s="1001"/>
      <c r="D201" s="61" t="s">
        <v>112</v>
      </c>
      <c r="E201" s="62">
        <v>0</v>
      </c>
      <c r="F201" s="63">
        <f t="shared" si="144"/>
        <v>0</v>
      </c>
      <c r="G201" s="63">
        <v>0</v>
      </c>
      <c r="H201" s="64">
        <v>0</v>
      </c>
      <c r="I201" s="79">
        <f t="shared" si="146"/>
        <v>0</v>
      </c>
      <c r="J201" s="4">
        <f t="shared" si="139"/>
        <v>0</v>
      </c>
      <c r="K201" s="4">
        <f t="shared" si="145"/>
        <v>0</v>
      </c>
      <c r="L201" s="65" t="e">
        <f t="shared" si="148"/>
        <v>#DIV/0!</v>
      </c>
      <c r="M201" s="147">
        <v>5.6550000000000002</v>
      </c>
      <c r="N201" s="67">
        <f t="shared" si="142"/>
        <v>0</v>
      </c>
      <c r="O201" s="67">
        <f>M201*J201</f>
        <v>0</v>
      </c>
      <c r="P201" s="1003"/>
    </row>
    <row r="202" spans="2:16" x14ac:dyDescent="0.25">
      <c r="B202" s="998"/>
      <c r="C202" s="1001"/>
      <c r="D202" s="61" t="s">
        <v>118</v>
      </c>
      <c r="E202" s="62">
        <v>0</v>
      </c>
      <c r="F202" s="63">
        <f t="shared" si="144"/>
        <v>0</v>
      </c>
      <c r="G202" s="63">
        <v>0</v>
      </c>
      <c r="H202" s="64">
        <v>0</v>
      </c>
      <c r="I202" s="79">
        <f t="shared" si="146"/>
        <v>0</v>
      </c>
      <c r="J202" s="4">
        <f t="shared" si="139"/>
        <v>0</v>
      </c>
      <c r="K202" s="4">
        <f t="shared" si="145"/>
        <v>0</v>
      </c>
      <c r="L202" s="65" t="e">
        <f t="shared" si="148"/>
        <v>#DIV/0!</v>
      </c>
      <c r="M202" s="152">
        <v>5.6550000000000002</v>
      </c>
      <c r="N202" s="67">
        <f t="shared" si="142"/>
        <v>0</v>
      </c>
      <c r="O202" s="67">
        <f>M202*J202</f>
        <v>0</v>
      </c>
      <c r="P202" s="1003"/>
    </row>
    <row r="203" spans="2:16" x14ac:dyDescent="0.25">
      <c r="B203" s="998"/>
      <c r="C203" s="1001"/>
      <c r="D203" s="61" t="s">
        <v>121</v>
      </c>
      <c r="E203" s="62">
        <v>0</v>
      </c>
      <c r="F203" s="63">
        <f t="shared" si="144"/>
        <v>0</v>
      </c>
      <c r="G203" s="63">
        <v>0</v>
      </c>
      <c r="H203" s="64">
        <v>0</v>
      </c>
      <c r="I203" s="79">
        <f t="shared" si="146"/>
        <v>9700</v>
      </c>
      <c r="J203" s="4">
        <f t="shared" si="139"/>
        <v>8200</v>
      </c>
      <c r="K203" s="4">
        <f t="shared" si="145"/>
        <v>1500</v>
      </c>
      <c r="L203" s="65" t="e">
        <f t="shared" si="148"/>
        <v>#DIV/0!</v>
      </c>
      <c r="M203" s="66">
        <v>5.7885299999999997</v>
      </c>
      <c r="N203" s="67">
        <f>+M203*G203</f>
        <v>0</v>
      </c>
      <c r="O203" s="67">
        <f>M203*J203</f>
        <v>47465.945999999996</v>
      </c>
      <c r="P203" s="1003"/>
    </row>
    <row r="204" spans="2:16" x14ac:dyDescent="0.25">
      <c r="B204" s="998"/>
      <c r="C204" s="1001"/>
      <c r="D204" s="61" t="s">
        <v>136</v>
      </c>
      <c r="E204" s="62">
        <v>0</v>
      </c>
      <c r="F204" s="63">
        <f t="shared" si="144"/>
        <v>0</v>
      </c>
      <c r="G204" s="63">
        <v>0</v>
      </c>
      <c r="H204" s="64">
        <v>0</v>
      </c>
      <c r="I204" s="79">
        <f t="shared" si="146"/>
        <v>0</v>
      </c>
      <c r="J204" s="4">
        <f t="shared" si="139"/>
        <v>0</v>
      </c>
      <c r="K204" s="4">
        <f t="shared" si="145"/>
        <v>0</v>
      </c>
      <c r="L204" s="65" t="e">
        <f t="shared" si="148"/>
        <v>#DIV/0!</v>
      </c>
      <c r="M204" s="152">
        <v>5.6550000000000002</v>
      </c>
      <c r="N204" s="67">
        <f t="shared" ref="N204:N206" si="149">+M204*G204</f>
        <v>0</v>
      </c>
      <c r="O204" s="67">
        <f t="shared" ref="O204:O207" si="150">M204*J204</f>
        <v>0</v>
      </c>
      <c r="P204" s="1003"/>
    </row>
    <row r="205" spans="2:16" x14ac:dyDescent="0.25">
      <c r="B205" s="998"/>
      <c r="C205" s="169" t="s">
        <v>86</v>
      </c>
      <c r="D205" s="61" t="s">
        <v>77</v>
      </c>
      <c r="E205" s="62">
        <v>0</v>
      </c>
      <c r="F205" s="63">
        <f t="shared" si="144"/>
        <v>0</v>
      </c>
      <c r="G205" s="63">
        <v>0</v>
      </c>
      <c r="H205" s="64">
        <v>0</v>
      </c>
      <c r="I205" s="79">
        <f t="shared" si="146"/>
        <v>0</v>
      </c>
      <c r="J205" s="4">
        <f t="shared" si="139"/>
        <v>0</v>
      </c>
      <c r="K205" s="4">
        <f t="shared" si="145"/>
        <v>0</v>
      </c>
      <c r="L205" s="65" t="e">
        <f t="shared" si="148"/>
        <v>#DIV/0!</v>
      </c>
      <c r="M205" s="66">
        <v>3.2963</v>
      </c>
      <c r="N205" s="67">
        <f t="shared" si="149"/>
        <v>0</v>
      </c>
      <c r="O205" s="67">
        <f t="shared" si="150"/>
        <v>0</v>
      </c>
      <c r="P205" s="1003"/>
    </row>
    <row r="206" spans="2:16" x14ac:dyDescent="0.25">
      <c r="B206" s="998"/>
      <c r="C206" s="169" t="s">
        <v>87</v>
      </c>
      <c r="D206" s="61" t="s">
        <v>77</v>
      </c>
      <c r="E206" s="62">
        <v>0</v>
      </c>
      <c r="F206" s="63">
        <f t="shared" si="144"/>
        <v>0</v>
      </c>
      <c r="G206" s="63">
        <v>0</v>
      </c>
      <c r="H206" s="64">
        <v>0</v>
      </c>
      <c r="I206" s="79">
        <f t="shared" si="146"/>
        <v>0</v>
      </c>
      <c r="J206" s="4">
        <f t="shared" si="139"/>
        <v>0</v>
      </c>
      <c r="K206" s="4">
        <f t="shared" si="145"/>
        <v>0</v>
      </c>
      <c r="L206" s="65" t="e">
        <f t="shared" si="148"/>
        <v>#DIV/0!</v>
      </c>
      <c r="M206" s="66">
        <v>3.2963</v>
      </c>
      <c r="N206" s="67">
        <f t="shared" si="149"/>
        <v>0</v>
      </c>
      <c r="O206" s="67">
        <f t="shared" si="150"/>
        <v>0</v>
      </c>
      <c r="P206" s="1003"/>
    </row>
    <row r="207" spans="2:16" ht="15.75" thickBot="1" x14ac:dyDescent="0.3">
      <c r="B207" s="998"/>
      <c r="C207" s="68" t="s">
        <v>88</v>
      </c>
      <c r="D207" s="69" t="s">
        <v>89</v>
      </c>
      <c r="E207" s="70">
        <v>0</v>
      </c>
      <c r="F207" s="71">
        <f t="shared" si="144"/>
        <v>0</v>
      </c>
      <c r="G207" s="71">
        <v>0</v>
      </c>
      <c r="H207" s="72">
        <v>0</v>
      </c>
      <c r="I207" s="80">
        <f t="shared" si="146"/>
        <v>0</v>
      </c>
      <c r="J207" s="4">
        <f t="shared" si="139"/>
        <v>0</v>
      </c>
      <c r="K207" s="4">
        <f t="shared" si="145"/>
        <v>0</v>
      </c>
      <c r="L207" s="65" t="e">
        <f t="shared" si="148"/>
        <v>#DIV/0!</v>
      </c>
      <c r="M207" s="73">
        <v>2.3201000000000001</v>
      </c>
      <c r="N207" s="74">
        <f t="shared" ref="N207" si="151">M207*G207</f>
        <v>0</v>
      </c>
      <c r="O207" s="74">
        <f t="shared" si="150"/>
        <v>0</v>
      </c>
      <c r="P207" s="1004"/>
    </row>
    <row r="208" spans="2:16" ht="15.75" thickBot="1" x14ac:dyDescent="0.3">
      <c r="B208" s="999"/>
      <c r="C208" s="1007" t="s">
        <v>99</v>
      </c>
      <c r="D208" s="1008"/>
      <c r="E208" s="1008"/>
      <c r="F208" s="1008"/>
      <c r="G208" s="1008"/>
      <c r="H208" s="1009"/>
      <c r="I208" s="116">
        <f>J208+K208</f>
        <v>206162</v>
      </c>
      <c r="J208" s="115">
        <f>SUM(J180:J207)</f>
        <v>196700</v>
      </c>
      <c r="K208" s="115">
        <f>SUM(K180:K207)</f>
        <v>9462</v>
      </c>
      <c r="L208" s="114"/>
      <c r="M208" s="113"/>
      <c r="N208" s="114"/>
      <c r="O208" s="97">
        <f>SUM(O180:O207)</f>
        <v>1308642.2109999999</v>
      </c>
      <c r="P208" s="96"/>
    </row>
    <row r="209" spans="2:16" ht="15.75" thickBot="1" x14ac:dyDescent="0.3">
      <c r="B209" s="100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2"/>
    </row>
    <row r="210" spans="2:16" ht="15.75" thickBot="1" x14ac:dyDescent="0.3">
      <c r="B210" s="992" t="s">
        <v>100</v>
      </c>
      <c r="C210" s="993"/>
      <c r="D210" s="993"/>
      <c r="E210" s="993"/>
      <c r="F210" s="993"/>
      <c r="G210" s="993"/>
      <c r="H210" s="993"/>
      <c r="I210" s="993"/>
      <c r="J210" s="993"/>
      <c r="K210" s="993"/>
      <c r="L210" s="993"/>
      <c r="M210" s="993"/>
      <c r="N210" s="994"/>
      <c r="O210" s="103">
        <f>+O208+O179+O164</f>
        <v>3364517.6359999999</v>
      </c>
      <c r="P210" s="96"/>
    </row>
    <row r="211" spans="2:16" ht="15.75" thickBot="1" x14ac:dyDescent="0.3"/>
    <row r="212" spans="2:16" x14ac:dyDescent="0.25">
      <c r="B212" s="1026" t="s">
        <v>1</v>
      </c>
      <c r="C212" s="1028" t="s">
        <v>2</v>
      </c>
      <c r="D212" s="1031" t="s">
        <v>3</v>
      </c>
      <c r="E212" s="1034" t="s">
        <v>4</v>
      </c>
      <c r="F212" s="1035"/>
      <c r="G212" s="1035"/>
      <c r="H212" s="1035"/>
      <c r="I212" s="1035"/>
      <c r="J212" s="1035"/>
      <c r="K212" s="1035"/>
      <c r="L212" s="1036"/>
      <c r="M212" s="1037" t="s">
        <v>5</v>
      </c>
      <c r="N212" s="1038"/>
      <c r="O212" s="1039"/>
      <c r="P212" s="1031" t="s">
        <v>6</v>
      </c>
    </row>
    <row r="213" spans="2:16" x14ac:dyDescent="0.25">
      <c r="B213" s="1027"/>
      <c r="C213" s="1029"/>
      <c r="D213" s="1032"/>
      <c r="E213" s="1040" t="s">
        <v>7</v>
      </c>
      <c r="F213" s="1042" t="s">
        <v>142</v>
      </c>
      <c r="G213" s="1042"/>
      <c r="H213" s="1043"/>
      <c r="I213" s="1044" t="s">
        <v>8</v>
      </c>
      <c r="J213" s="1042"/>
      <c r="K213" s="1042"/>
      <c r="L213" s="1043" t="s">
        <v>9</v>
      </c>
      <c r="M213" s="1046" t="s">
        <v>10</v>
      </c>
      <c r="N213" s="1048" t="s">
        <v>11</v>
      </c>
      <c r="O213" s="1050" t="s">
        <v>12</v>
      </c>
      <c r="P213" s="1032"/>
    </row>
    <row r="214" spans="2:16" ht="15.75" thickBot="1" x14ac:dyDescent="0.3">
      <c r="B214" s="1027"/>
      <c r="C214" s="1030"/>
      <c r="D214" s="1033"/>
      <c r="E214" s="1041"/>
      <c r="F214" s="2" t="s">
        <v>13</v>
      </c>
      <c r="G214" s="2" t="s">
        <v>14</v>
      </c>
      <c r="H214" s="174" t="s">
        <v>15</v>
      </c>
      <c r="I214" s="142" t="s">
        <v>13</v>
      </c>
      <c r="J214" s="2" t="s">
        <v>14</v>
      </c>
      <c r="K214" s="2" t="s">
        <v>15</v>
      </c>
      <c r="L214" s="1045"/>
      <c r="M214" s="1047"/>
      <c r="N214" s="1049"/>
      <c r="O214" s="1051"/>
      <c r="P214" s="1033"/>
    </row>
    <row r="215" spans="2:16" x14ac:dyDescent="0.25">
      <c r="B215" s="1010" t="s">
        <v>53</v>
      </c>
      <c r="C215" s="29"/>
      <c r="D215" s="117" t="s">
        <v>143</v>
      </c>
      <c r="E215" s="98">
        <v>0</v>
      </c>
      <c r="F215" s="4">
        <f>+G215+H215</f>
        <v>113814</v>
      </c>
      <c r="G215" s="4">
        <v>112840</v>
      </c>
      <c r="H215" s="8">
        <v>974</v>
      </c>
      <c r="I215" s="6">
        <f>J215+K215</f>
        <v>113814</v>
      </c>
      <c r="J215" s="4">
        <f>G215+J150</f>
        <v>112840</v>
      </c>
      <c r="K215" s="4">
        <f>H215+K150</f>
        <v>974</v>
      </c>
      <c r="L215" s="33" t="e">
        <f>+J215/E215</f>
        <v>#DIV/0!</v>
      </c>
      <c r="M215" s="104">
        <v>1.3652</v>
      </c>
      <c r="N215" s="31">
        <f>G215*M215</f>
        <v>154049.16800000001</v>
      </c>
      <c r="O215" s="86">
        <f>M215*J215</f>
        <v>154049.16800000001</v>
      </c>
      <c r="P215" s="1012"/>
    </row>
    <row r="216" spans="2:16" x14ac:dyDescent="0.25">
      <c r="B216" s="1011"/>
      <c r="C216" s="32"/>
      <c r="D216" s="118" t="s">
        <v>109</v>
      </c>
      <c r="E216" s="99">
        <v>0</v>
      </c>
      <c r="F216" s="9">
        <f>+G216+H216</f>
        <v>0</v>
      </c>
      <c r="G216" s="9">
        <v>0</v>
      </c>
      <c r="H216" s="10">
        <v>0</v>
      </c>
      <c r="I216" s="6">
        <f>J216+K216</f>
        <v>0</v>
      </c>
      <c r="J216" s="4">
        <f>+G216+J151</f>
        <v>0</v>
      </c>
      <c r="K216" s="4">
        <f>+H216+K151</f>
        <v>0</v>
      </c>
      <c r="L216" s="33"/>
      <c r="M216" s="105">
        <v>5.9917999999999996</v>
      </c>
      <c r="N216" s="34">
        <f>M216*G216</f>
        <v>0</v>
      </c>
      <c r="O216" s="87">
        <f>M216*J216</f>
        <v>0</v>
      </c>
      <c r="P216" s="1013"/>
    </row>
    <row r="217" spans="2:16" x14ac:dyDescent="0.25">
      <c r="B217" s="1011"/>
      <c r="C217" s="35"/>
      <c r="D217" s="119" t="s">
        <v>55</v>
      </c>
      <c r="E217" s="99">
        <v>0</v>
      </c>
      <c r="F217" s="9">
        <f t="shared" ref="F217:F221" si="152">+G217+H217</f>
        <v>231616</v>
      </c>
      <c r="G217" s="9">
        <v>230000</v>
      </c>
      <c r="H217" s="10">
        <f>774+842</f>
        <v>1616</v>
      </c>
      <c r="I217" s="6">
        <f t="shared" ref="I217:I221" si="153">J217+K217</f>
        <v>756961</v>
      </c>
      <c r="J217" s="4">
        <f t="shared" ref="J217:J221" si="154">+G217+J152</f>
        <v>750750</v>
      </c>
      <c r="K217" s="4">
        <f t="shared" ref="K217:K221" si="155">+H217+K152</f>
        <v>6211</v>
      </c>
      <c r="L217" s="33" t="e">
        <f t="shared" ref="L217" si="156">+J217/E217</f>
        <v>#DIV/0!</v>
      </c>
      <c r="M217" s="106">
        <v>2.3807999999999998</v>
      </c>
      <c r="N217" s="36">
        <f>G217*M217</f>
        <v>547584</v>
      </c>
      <c r="O217" s="88">
        <f>M217*J217</f>
        <v>1787385.5999999999</v>
      </c>
      <c r="P217" s="1013"/>
    </row>
    <row r="218" spans="2:16" x14ac:dyDescent="0.25">
      <c r="B218" s="1011"/>
      <c r="C218" s="35"/>
      <c r="D218" s="119" t="s">
        <v>56</v>
      </c>
      <c r="E218" s="99">
        <v>0</v>
      </c>
      <c r="F218" s="9">
        <f t="shared" si="152"/>
        <v>0</v>
      </c>
      <c r="G218" s="9">
        <v>0</v>
      </c>
      <c r="H218" s="10">
        <v>0</v>
      </c>
      <c r="I218" s="6">
        <f t="shared" si="153"/>
        <v>0</v>
      </c>
      <c r="J218" s="4">
        <f t="shared" si="154"/>
        <v>0</v>
      </c>
      <c r="K218" s="4">
        <f t="shared" si="155"/>
        <v>0</v>
      </c>
      <c r="L218" s="33"/>
      <c r="M218" s="106">
        <v>2.1457999999999999</v>
      </c>
      <c r="N218" s="36">
        <f t="shared" ref="N218:N221" si="157">G218*M218</f>
        <v>0</v>
      </c>
      <c r="O218" s="88">
        <f>M218*J218</f>
        <v>0</v>
      </c>
      <c r="P218" s="1013"/>
    </row>
    <row r="219" spans="2:16" x14ac:dyDescent="0.25">
      <c r="B219" s="1011"/>
      <c r="C219" s="35"/>
      <c r="D219" s="119" t="s">
        <v>106</v>
      </c>
      <c r="E219" s="99">
        <v>0</v>
      </c>
      <c r="F219" s="9">
        <f t="shared" si="152"/>
        <v>0</v>
      </c>
      <c r="G219" s="9">
        <v>0</v>
      </c>
      <c r="H219" s="10">
        <v>0</v>
      </c>
      <c r="I219" s="6">
        <f t="shared" si="153"/>
        <v>0</v>
      </c>
      <c r="J219" s="4">
        <f t="shared" si="154"/>
        <v>0</v>
      </c>
      <c r="K219" s="4">
        <f t="shared" si="155"/>
        <v>0</v>
      </c>
      <c r="L219" s="33" t="e">
        <f t="shared" ref="L219:L220" si="158">+J219/E219</f>
        <v>#DIV/0!</v>
      </c>
      <c r="M219" s="143">
        <v>4.0426000000000002</v>
      </c>
      <c r="N219" s="36">
        <f t="shared" si="157"/>
        <v>0</v>
      </c>
      <c r="O219" s="88">
        <f>M219*J219</f>
        <v>0</v>
      </c>
      <c r="P219" s="1013"/>
    </row>
    <row r="220" spans="2:16" x14ac:dyDescent="0.25">
      <c r="B220" s="1011"/>
      <c r="C220" s="35"/>
      <c r="D220" s="119" t="s">
        <v>110</v>
      </c>
      <c r="E220" s="99">
        <v>0</v>
      </c>
      <c r="F220" s="9">
        <f t="shared" si="152"/>
        <v>0</v>
      </c>
      <c r="G220" s="9">
        <v>0</v>
      </c>
      <c r="H220" s="10">
        <v>0</v>
      </c>
      <c r="I220" s="6">
        <f t="shared" si="153"/>
        <v>0</v>
      </c>
      <c r="J220" s="4">
        <f t="shared" si="154"/>
        <v>0</v>
      </c>
      <c r="K220" s="4">
        <f t="shared" si="155"/>
        <v>0</v>
      </c>
      <c r="L220" s="33" t="e">
        <f t="shared" si="158"/>
        <v>#DIV/0!</v>
      </c>
      <c r="M220" s="143">
        <v>3.8715000000000002</v>
      </c>
      <c r="N220" s="36">
        <f t="shared" si="157"/>
        <v>0</v>
      </c>
      <c r="O220" s="88">
        <f t="shared" ref="O220:O221" si="159">M220*J220</f>
        <v>0</v>
      </c>
      <c r="P220" s="1013"/>
    </row>
    <row r="221" spans="2:16" ht="15.75" thickBot="1" x14ac:dyDescent="0.3">
      <c r="B221" s="1011"/>
      <c r="C221" s="82"/>
      <c r="D221" s="120" t="s">
        <v>57</v>
      </c>
      <c r="E221" s="108">
        <v>0</v>
      </c>
      <c r="F221" s="12">
        <f t="shared" si="152"/>
        <v>0</v>
      </c>
      <c r="G221" s="12">
        <v>0</v>
      </c>
      <c r="H221" s="13">
        <v>0</v>
      </c>
      <c r="I221" s="21">
        <f t="shared" si="153"/>
        <v>0</v>
      </c>
      <c r="J221" s="4">
        <f t="shared" si="154"/>
        <v>0</v>
      </c>
      <c r="K221" s="4">
        <f t="shared" si="155"/>
        <v>0</v>
      </c>
      <c r="L221" s="81"/>
      <c r="M221" s="127">
        <v>12.284700000000001</v>
      </c>
      <c r="N221" s="36">
        <f t="shared" si="157"/>
        <v>0</v>
      </c>
      <c r="O221" s="128">
        <f t="shared" si="159"/>
        <v>0</v>
      </c>
      <c r="P221" s="1013"/>
    </row>
    <row r="222" spans="2:16" ht="15.75" thickBot="1" x14ac:dyDescent="0.3">
      <c r="B222" s="1011"/>
      <c r="C222" s="1016" t="s">
        <v>104</v>
      </c>
      <c r="D222" s="1017"/>
      <c r="E222" s="129"/>
      <c r="F222" s="130">
        <f>SUM(F215:F221)</f>
        <v>345430</v>
      </c>
      <c r="G222" s="130">
        <f>SUM(G215:G221)</f>
        <v>342840</v>
      </c>
      <c r="H222" s="131">
        <f>SUM(H215:H221)</f>
        <v>2590</v>
      </c>
      <c r="I222" s="132">
        <f>+J222+K222</f>
        <v>870775</v>
      </c>
      <c r="J222" s="133">
        <f>SUM(J215:J221)</f>
        <v>863590</v>
      </c>
      <c r="K222" s="133">
        <f>SUM(K215:K221)</f>
        <v>7185</v>
      </c>
      <c r="L222" s="134"/>
      <c r="M222" s="135"/>
      <c r="N222" s="136"/>
      <c r="O222" s="137">
        <f>SUM(O215:O221)</f>
        <v>1941434.7679999999</v>
      </c>
      <c r="P222" s="1014"/>
    </row>
    <row r="223" spans="2:16" x14ac:dyDescent="0.25">
      <c r="B223" s="1011"/>
      <c r="C223" s="32"/>
      <c r="D223" s="118" t="s">
        <v>58</v>
      </c>
      <c r="E223" s="98">
        <v>0</v>
      </c>
      <c r="F223" s="4">
        <f t="shared" ref="F223:F226" si="160">+G223+H223</f>
        <v>0</v>
      </c>
      <c r="G223" s="4">
        <v>0</v>
      </c>
      <c r="H223" s="8">
        <v>0</v>
      </c>
      <c r="I223" s="6">
        <f t="shared" ref="I223:I227" si="161">J223+K223</f>
        <v>0</v>
      </c>
      <c r="J223" s="4">
        <f>G223+J158</f>
        <v>0</v>
      </c>
      <c r="K223" s="4">
        <f>H223+K158</f>
        <v>0</v>
      </c>
      <c r="L223" s="33" t="e">
        <f t="shared" ref="L223" si="162">+J223/E223</f>
        <v>#DIV/0!</v>
      </c>
      <c r="M223" s="105">
        <v>12.029500000000001</v>
      </c>
      <c r="N223" s="34">
        <f>M223*G223</f>
        <v>0</v>
      </c>
      <c r="O223" s="87">
        <f t="shared" ref="O223:O225" si="163">M223*J223</f>
        <v>0</v>
      </c>
      <c r="P223" s="1013"/>
    </row>
    <row r="224" spans="2:16" x14ac:dyDescent="0.25">
      <c r="B224" s="1011"/>
      <c r="C224" s="35"/>
      <c r="D224" s="119" t="s">
        <v>59</v>
      </c>
      <c r="E224" s="99">
        <v>0</v>
      </c>
      <c r="F224" s="9">
        <f t="shared" si="160"/>
        <v>0</v>
      </c>
      <c r="G224" s="9">
        <v>0</v>
      </c>
      <c r="H224" s="10">
        <v>0</v>
      </c>
      <c r="I224" s="6">
        <f t="shared" si="161"/>
        <v>0</v>
      </c>
      <c r="J224" s="4">
        <f>G224+J159</f>
        <v>0</v>
      </c>
      <c r="K224" s="4">
        <f>H224+K159</f>
        <v>0</v>
      </c>
      <c r="L224" s="33"/>
      <c r="M224" s="106">
        <v>0</v>
      </c>
      <c r="N224" s="36"/>
      <c r="O224" s="88">
        <f t="shared" si="163"/>
        <v>0</v>
      </c>
      <c r="P224" s="1013"/>
    </row>
    <row r="225" spans="2:16" x14ac:dyDescent="0.25">
      <c r="B225" s="1011"/>
      <c r="C225" s="35"/>
      <c r="D225" s="119" t="s">
        <v>97</v>
      </c>
      <c r="E225" s="99">
        <v>0</v>
      </c>
      <c r="F225" s="9">
        <f t="shared" si="160"/>
        <v>0</v>
      </c>
      <c r="G225" s="9">
        <v>0</v>
      </c>
      <c r="H225" s="10">
        <v>0</v>
      </c>
      <c r="I225" s="6">
        <f t="shared" si="161"/>
        <v>0</v>
      </c>
      <c r="J225" s="4">
        <f t="shared" ref="J225:J227" si="164">G225+J160</f>
        <v>0</v>
      </c>
      <c r="K225" s="4">
        <f t="shared" ref="K225:K227" si="165">H225+K160</f>
        <v>0</v>
      </c>
      <c r="L225" s="33" t="e">
        <f t="shared" ref="L225:L227" si="166">+J225/E225</f>
        <v>#DIV/0!</v>
      </c>
      <c r="M225" s="106">
        <v>19.688600000000001</v>
      </c>
      <c r="N225" s="36">
        <f>M225*G225</f>
        <v>0</v>
      </c>
      <c r="O225" s="88">
        <f t="shared" si="163"/>
        <v>0</v>
      </c>
      <c r="P225" s="1013"/>
    </row>
    <row r="226" spans="2:16" x14ac:dyDescent="0.25">
      <c r="B226" s="1011"/>
      <c r="C226" s="35"/>
      <c r="D226" s="119" t="s">
        <v>61</v>
      </c>
      <c r="E226" s="99">
        <v>0</v>
      </c>
      <c r="F226" s="9">
        <f t="shared" si="160"/>
        <v>0</v>
      </c>
      <c r="G226" s="9">
        <v>0</v>
      </c>
      <c r="H226" s="10">
        <v>0</v>
      </c>
      <c r="I226" s="6">
        <f t="shared" si="161"/>
        <v>0</v>
      </c>
      <c r="J226" s="4">
        <f t="shared" si="164"/>
        <v>0</v>
      </c>
      <c r="K226" s="4">
        <f t="shared" si="165"/>
        <v>0</v>
      </c>
      <c r="L226" s="33" t="e">
        <f t="shared" si="166"/>
        <v>#DIV/0!</v>
      </c>
      <c r="M226" s="106">
        <v>1.2824</v>
      </c>
      <c r="N226" s="151">
        <f>M226*G226</f>
        <v>0</v>
      </c>
      <c r="O226" s="88">
        <f>M226*J226</f>
        <v>0</v>
      </c>
      <c r="P226" s="1013"/>
    </row>
    <row r="227" spans="2:16" ht="15.75" thickBot="1" x14ac:dyDescent="0.3">
      <c r="B227" s="1011"/>
      <c r="C227" s="82"/>
      <c r="D227" s="120" t="s">
        <v>60</v>
      </c>
      <c r="E227" s="108">
        <v>0</v>
      </c>
      <c r="F227" s="12">
        <v>0</v>
      </c>
      <c r="G227" s="12">
        <v>0</v>
      </c>
      <c r="H227" s="13">
        <v>0</v>
      </c>
      <c r="I227" s="21">
        <f t="shared" si="161"/>
        <v>0</v>
      </c>
      <c r="J227" s="4">
        <f t="shared" si="164"/>
        <v>0</v>
      </c>
      <c r="K227" s="4">
        <f t="shared" si="165"/>
        <v>0</v>
      </c>
      <c r="L227" s="81" t="e">
        <f t="shared" si="166"/>
        <v>#DIV/0!</v>
      </c>
      <c r="M227" s="107">
        <v>18.2316</v>
      </c>
      <c r="N227" s="75"/>
      <c r="O227" s="89">
        <f t="shared" ref="O227" si="167">M227*J227</f>
        <v>0</v>
      </c>
      <c r="P227" s="1015"/>
    </row>
    <row r="228" spans="2:16" ht="15.75" thickBot="1" x14ac:dyDescent="0.3">
      <c r="B228" s="995" t="s">
        <v>105</v>
      </c>
      <c r="C228" s="996"/>
      <c r="D228" s="996"/>
      <c r="E228" s="124"/>
      <c r="F228" s="125">
        <f>+G228+H228</f>
        <v>0</v>
      </c>
      <c r="G228" s="125">
        <f>SUM(G223:G227)</f>
        <v>0</v>
      </c>
      <c r="H228" s="126">
        <f>SUM(H223:H227)</f>
        <v>0</v>
      </c>
      <c r="I228" s="121">
        <f>J228+K228</f>
        <v>0</v>
      </c>
      <c r="J228" s="122">
        <f>SUM(J223:J227)</f>
        <v>0</v>
      </c>
      <c r="K228" s="123">
        <f>SUM(K223:K227)</f>
        <v>0</v>
      </c>
      <c r="L228" s="138"/>
      <c r="M228" s="139"/>
      <c r="N228" s="140"/>
      <c r="O228" s="141">
        <f>SUM(O223:O227)</f>
        <v>0</v>
      </c>
      <c r="P228" s="175"/>
    </row>
    <row r="229" spans="2:16" ht="15.75" thickBot="1" x14ac:dyDescent="0.3">
      <c r="B229" s="995" t="s">
        <v>98</v>
      </c>
      <c r="C229" s="996"/>
      <c r="D229" s="996"/>
      <c r="E229" s="1018"/>
      <c r="F229" s="1018"/>
      <c r="G229" s="1018"/>
      <c r="H229" s="1018"/>
      <c r="I229" s="996"/>
      <c r="J229" s="996"/>
      <c r="K229" s="996"/>
      <c r="L229" s="996"/>
      <c r="M229" s="996"/>
      <c r="N229" s="1019"/>
      <c r="O229" s="83">
        <f>O222+O228</f>
        <v>1941434.7679999999</v>
      </c>
      <c r="P229" s="175"/>
    </row>
    <row r="230" spans="2:16" x14ac:dyDescent="0.25">
      <c r="B230" s="1010" t="s">
        <v>62</v>
      </c>
      <c r="C230" s="37" t="s">
        <v>63</v>
      </c>
      <c r="D230" s="28" t="s">
        <v>64</v>
      </c>
      <c r="E230" s="38">
        <v>0</v>
      </c>
      <c r="F230" s="14">
        <f>+G230+H230</f>
        <v>0</v>
      </c>
      <c r="G230" s="14">
        <v>0</v>
      </c>
      <c r="H230" s="5">
        <v>0</v>
      </c>
      <c r="I230" s="17">
        <f t="shared" ref="I230:I236" si="168">J230+K230</f>
        <v>0</v>
      </c>
      <c r="J230" s="4">
        <f>G230+J165</f>
        <v>0</v>
      </c>
      <c r="K230" s="4">
        <f>H230+K165</f>
        <v>0</v>
      </c>
      <c r="L230" s="30" t="e">
        <f>+J230/E230</f>
        <v>#DIV/0!</v>
      </c>
      <c r="M230" s="146">
        <v>2.2141000000000002</v>
      </c>
      <c r="N230" s="15">
        <f>+M230*G230</f>
        <v>0</v>
      </c>
      <c r="O230" s="90">
        <f>+M230*J230</f>
        <v>0</v>
      </c>
      <c r="P230" s="1021"/>
    </row>
    <row r="231" spans="2:16" x14ac:dyDescent="0.25">
      <c r="B231" s="1011"/>
      <c r="C231" s="39"/>
      <c r="D231" s="22" t="s">
        <v>65</v>
      </c>
      <c r="E231" s="3">
        <v>0</v>
      </c>
      <c r="F231" s="9">
        <f t="shared" ref="F231:F236" si="169">+G231+H231</f>
        <v>0</v>
      </c>
      <c r="G231" s="4">
        <v>0</v>
      </c>
      <c r="H231" s="8">
        <v>0</v>
      </c>
      <c r="I231" s="6">
        <f t="shared" si="168"/>
        <v>0</v>
      </c>
      <c r="J231" s="4">
        <f>+G231+J166</f>
        <v>0</v>
      </c>
      <c r="K231" s="4">
        <f>+H231+K166</f>
        <v>0</v>
      </c>
      <c r="L231" s="40" t="e">
        <f t="shared" ref="L231:L232" si="170">+J231/E231</f>
        <v>#DIV/0!</v>
      </c>
      <c r="M231" s="145">
        <v>2.4565999999999999</v>
      </c>
      <c r="N231" s="11">
        <f t="shared" ref="N231:N233" si="171">+M231*G231</f>
        <v>0</v>
      </c>
      <c r="O231" s="91">
        <f t="shared" ref="O231:O233" si="172">+M231*J231</f>
        <v>0</v>
      </c>
      <c r="P231" s="1022"/>
    </row>
    <row r="232" spans="2:16" x14ac:dyDescent="0.25">
      <c r="B232" s="1011"/>
      <c r="C232" s="39"/>
      <c r="D232" s="23" t="s">
        <v>126</v>
      </c>
      <c r="E232" s="3">
        <v>0</v>
      </c>
      <c r="F232" s="9">
        <f t="shared" si="169"/>
        <v>0</v>
      </c>
      <c r="G232" s="4">
        <v>0</v>
      </c>
      <c r="H232" s="8">
        <v>0</v>
      </c>
      <c r="I232" s="6">
        <f t="shared" si="168"/>
        <v>0</v>
      </c>
      <c r="J232" s="4">
        <f t="shared" ref="J232:J236" si="173">+G232+J167</f>
        <v>0</v>
      </c>
      <c r="K232" s="4">
        <f t="shared" ref="K232:K236" si="174">+H232+K167</f>
        <v>0</v>
      </c>
      <c r="L232" s="40" t="e">
        <f t="shared" si="170"/>
        <v>#DIV/0!</v>
      </c>
      <c r="M232" s="145">
        <v>2.2907000000000002</v>
      </c>
      <c r="N232" s="11">
        <f t="shared" si="171"/>
        <v>0</v>
      </c>
      <c r="O232" s="91">
        <f t="shared" si="172"/>
        <v>0</v>
      </c>
      <c r="P232" s="1022"/>
    </row>
    <row r="233" spans="2:16" x14ac:dyDescent="0.25">
      <c r="B233" s="1011"/>
      <c r="C233" s="39"/>
      <c r="D233" s="22" t="s">
        <v>131</v>
      </c>
      <c r="E233" s="3"/>
      <c r="F233" s="9">
        <f t="shared" si="169"/>
        <v>0</v>
      </c>
      <c r="G233" s="4">
        <v>0</v>
      </c>
      <c r="H233" s="8">
        <v>0</v>
      </c>
      <c r="I233" s="6">
        <f t="shared" si="168"/>
        <v>0</v>
      </c>
      <c r="J233" s="4">
        <f t="shared" si="173"/>
        <v>0</v>
      </c>
      <c r="K233" s="4">
        <f t="shared" si="174"/>
        <v>0</v>
      </c>
      <c r="L233" s="33"/>
      <c r="M233" s="150">
        <v>2.544</v>
      </c>
      <c r="N233" s="11">
        <f t="shared" si="171"/>
        <v>0</v>
      </c>
      <c r="O233" s="91">
        <f t="shared" si="172"/>
        <v>0</v>
      </c>
      <c r="P233" s="1022"/>
    </row>
    <row r="234" spans="2:16" x14ac:dyDescent="0.25">
      <c r="B234" s="1011"/>
      <c r="C234" s="39" t="s">
        <v>66</v>
      </c>
      <c r="D234" s="22" t="s">
        <v>133</v>
      </c>
      <c r="E234" s="3">
        <v>0</v>
      </c>
      <c r="F234" s="9">
        <f t="shared" si="169"/>
        <v>53810</v>
      </c>
      <c r="G234" s="4">
        <v>52250</v>
      </c>
      <c r="H234" s="8">
        <v>1560</v>
      </c>
      <c r="I234" s="6">
        <f t="shared" si="168"/>
        <v>93882</v>
      </c>
      <c r="J234" s="4">
        <f t="shared" si="173"/>
        <v>90750</v>
      </c>
      <c r="K234" s="4">
        <f t="shared" si="174"/>
        <v>3132</v>
      </c>
      <c r="L234" s="33" t="e">
        <f>+J234/E234</f>
        <v>#DIV/0!</v>
      </c>
      <c r="M234" s="144">
        <v>2.2141000000000002</v>
      </c>
      <c r="N234" s="7">
        <f>+M234*G234</f>
        <v>115686.72500000001</v>
      </c>
      <c r="O234" s="85">
        <f>+M234*J234</f>
        <v>200929.57500000001</v>
      </c>
      <c r="P234" s="1022"/>
    </row>
    <row r="235" spans="2:16" x14ac:dyDescent="0.25">
      <c r="B235" s="1011"/>
      <c r="C235" s="39"/>
      <c r="D235" s="22" t="s">
        <v>65</v>
      </c>
      <c r="E235" s="3">
        <v>0</v>
      </c>
      <c r="F235" s="9">
        <f t="shared" si="169"/>
        <v>0</v>
      </c>
      <c r="G235" s="4">
        <v>0</v>
      </c>
      <c r="H235" s="8">
        <v>0</v>
      </c>
      <c r="I235" s="6">
        <f t="shared" si="168"/>
        <v>0</v>
      </c>
      <c r="J235" s="4">
        <f t="shared" si="173"/>
        <v>0</v>
      </c>
      <c r="K235" s="4">
        <f t="shared" si="174"/>
        <v>0</v>
      </c>
      <c r="L235" s="40" t="e">
        <f t="shared" ref="L235:L236" si="175">+J235/E235</f>
        <v>#DIV/0!</v>
      </c>
      <c r="M235" s="145">
        <v>2.4565999999999999</v>
      </c>
      <c r="N235" s="11">
        <f t="shared" ref="N235:N236" si="176">+M235*G235</f>
        <v>0</v>
      </c>
      <c r="O235" s="91">
        <f t="shared" ref="O235" si="177">+M235*J235</f>
        <v>0</v>
      </c>
      <c r="P235" s="1022"/>
    </row>
    <row r="236" spans="2:16" ht="15.75" thickBot="1" x14ac:dyDescent="0.3">
      <c r="B236" s="1011"/>
      <c r="C236" s="39"/>
      <c r="D236" s="22" t="s">
        <v>126</v>
      </c>
      <c r="E236" s="3">
        <v>0</v>
      </c>
      <c r="F236" s="9">
        <f t="shared" si="169"/>
        <v>0</v>
      </c>
      <c r="G236" s="4">
        <v>0</v>
      </c>
      <c r="H236" s="8">
        <v>0</v>
      </c>
      <c r="I236" s="6">
        <f t="shared" si="168"/>
        <v>0</v>
      </c>
      <c r="J236" s="4">
        <f t="shared" si="173"/>
        <v>0</v>
      </c>
      <c r="K236" s="4">
        <f t="shared" si="174"/>
        <v>0</v>
      </c>
      <c r="L236" s="40" t="e">
        <f t="shared" si="175"/>
        <v>#DIV/0!</v>
      </c>
      <c r="M236" s="145">
        <v>2.2907000000000002</v>
      </c>
      <c r="N236" s="11">
        <f t="shared" si="176"/>
        <v>0</v>
      </c>
      <c r="O236" s="154">
        <f>+M236*J236</f>
        <v>0</v>
      </c>
      <c r="P236" s="1023"/>
    </row>
    <row r="237" spans="2:16" ht="15.75" thickBot="1" x14ac:dyDescent="0.3">
      <c r="B237" s="1011"/>
      <c r="C237" s="41" t="s">
        <v>29</v>
      </c>
      <c r="D237" s="27" t="str">
        <f>+C237</f>
        <v>TOTAL 1/2</v>
      </c>
      <c r="E237" s="42">
        <f>SUM(E230:E236)</f>
        <v>0</v>
      </c>
      <c r="F237" s="43">
        <f>SUM(F230:F236)</f>
        <v>53810</v>
      </c>
      <c r="G237" s="43">
        <f>SUM(G230:G236)</f>
        <v>52250</v>
      </c>
      <c r="H237" s="44">
        <f>SUM(H230:H236)</f>
        <v>1560</v>
      </c>
      <c r="I237" s="45">
        <f>SUM(I234:I236)</f>
        <v>93882</v>
      </c>
      <c r="J237" s="43">
        <f>SUM(J230:J236)</f>
        <v>90750</v>
      </c>
      <c r="K237" s="43">
        <f>SUM(K230:K236)</f>
        <v>3132</v>
      </c>
      <c r="L237" s="46" t="e">
        <f>+J237/E237</f>
        <v>#DIV/0!</v>
      </c>
      <c r="M237" s="47"/>
      <c r="N237" s="48">
        <f>SUM(N234:N236)</f>
        <v>115686.72500000001</v>
      </c>
      <c r="O237" s="49">
        <f>SUM(O230:O236)</f>
        <v>200929.57500000001</v>
      </c>
      <c r="P237" s="172"/>
    </row>
    <row r="238" spans="2:16" x14ac:dyDescent="0.25">
      <c r="B238" s="1011"/>
      <c r="C238" s="1024" t="s">
        <v>67</v>
      </c>
      <c r="D238" s="22" t="s">
        <v>64</v>
      </c>
      <c r="E238" s="3">
        <v>0</v>
      </c>
      <c r="F238" s="4">
        <f>G238+H238</f>
        <v>0</v>
      </c>
      <c r="G238" s="4">
        <v>0</v>
      </c>
      <c r="H238" s="8">
        <v>0</v>
      </c>
      <c r="I238" s="16">
        <f>J238+K238</f>
        <v>109220</v>
      </c>
      <c r="J238" s="4">
        <f>G238+J173</f>
        <v>105750</v>
      </c>
      <c r="K238" s="4">
        <f>H238+K173</f>
        <v>3470</v>
      </c>
      <c r="L238" s="50" t="e">
        <f>+J238/E238</f>
        <v>#DIV/0!</v>
      </c>
      <c r="M238" s="144">
        <v>4.1712999999999996</v>
      </c>
      <c r="N238" s="7">
        <f>+M238*G238</f>
        <v>0</v>
      </c>
      <c r="O238" s="93">
        <f>+M238*J238</f>
        <v>441114.97499999998</v>
      </c>
      <c r="P238" s="1021"/>
    </row>
    <row r="239" spans="2:16" x14ac:dyDescent="0.25">
      <c r="B239" s="1011"/>
      <c r="C239" s="1025"/>
      <c r="D239" s="22" t="s">
        <v>65</v>
      </c>
      <c r="E239" s="3">
        <v>0</v>
      </c>
      <c r="F239" s="4">
        <f>G239+H239</f>
        <v>61630</v>
      </c>
      <c r="G239" s="4">
        <v>60000</v>
      </c>
      <c r="H239" s="8">
        <v>1630</v>
      </c>
      <c r="I239" s="6">
        <f>+R1283+F239</f>
        <v>61630</v>
      </c>
      <c r="J239" s="4">
        <f>G239+J174</f>
        <v>120000</v>
      </c>
      <c r="K239" s="4">
        <f>H239+K174</f>
        <v>3230</v>
      </c>
      <c r="L239" s="51" t="e">
        <f t="shared" ref="L239:L243" si="178">+J239/E239</f>
        <v>#DIV/0!</v>
      </c>
      <c r="M239" s="145">
        <v>4.8285999999999998</v>
      </c>
      <c r="N239" s="11">
        <f t="shared" ref="N239:N241" si="179">+M239*G239</f>
        <v>289716</v>
      </c>
      <c r="O239" s="94">
        <f t="shared" ref="O239:O241" si="180">+M239*J239</f>
        <v>579432</v>
      </c>
      <c r="P239" s="1022"/>
    </row>
    <row r="240" spans="2:16" x14ac:dyDescent="0.25">
      <c r="B240" s="1011"/>
      <c r="C240" s="1025"/>
      <c r="D240" s="22" t="s">
        <v>127</v>
      </c>
      <c r="E240" s="3"/>
      <c r="F240" s="4">
        <f>G240+H240</f>
        <v>0</v>
      </c>
      <c r="G240" s="4">
        <v>0</v>
      </c>
      <c r="H240" s="8">
        <v>0</v>
      </c>
      <c r="I240" s="6">
        <f>+R1284+F240</f>
        <v>0</v>
      </c>
      <c r="J240" s="4">
        <f t="shared" ref="J240:J241" si="181">G240+J175</f>
        <v>0</v>
      </c>
      <c r="K240" s="4">
        <f t="shared" ref="K240:K241" si="182">H240+K175</f>
        <v>0</v>
      </c>
      <c r="L240" s="51" t="e">
        <f t="shared" si="178"/>
        <v>#DIV/0!</v>
      </c>
      <c r="M240" s="144">
        <v>4.5023</v>
      </c>
      <c r="N240" s="11">
        <f t="shared" si="179"/>
        <v>0</v>
      </c>
      <c r="O240" s="94">
        <f t="shared" si="180"/>
        <v>0</v>
      </c>
      <c r="P240" s="1022"/>
    </row>
    <row r="241" spans="2:16" ht="15.75" thickBot="1" x14ac:dyDescent="0.3">
      <c r="B241" s="1011"/>
      <c r="C241" s="1025"/>
      <c r="D241" s="22" t="s">
        <v>111</v>
      </c>
      <c r="E241" s="3">
        <v>0</v>
      </c>
      <c r="F241" s="4">
        <f t="shared" ref="F241" si="183">G241+H241</f>
        <v>0</v>
      </c>
      <c r="G241" s="4">
        <v>0</v>
      </c>
      <c r="H241" s="8">
        <v>0</v>
      </c>
      <c r="I241" s="6">
        <f>+R1284+F241</f>
        <v>0</v>
      </c>
      <c r="J241" s="4">
        <f t="shared" si="181"/>
        <v>0</v>
      </c>
      <c r="K241" s="4">
        <f t="shared" si="182"/>
        <v>0</v>
      </c>
      <c r="L241" s="51" t="e">
        <f t="shared" si="178"/>
        <v>#DIV/0!</v>
      </c>
      <c r="M241" s="144">
        <v>4.4065000000000003</v>
      </c>
      <c r="N241" s="11">
        <f t="shared" si="179"/>
        <v>0</v>
      </c>
      <c r="O241" s="94">
        <f t="shared" si="180"/>
        <v>0</v>
      </c>
      <c r="P241" s="1022"/>
    </row>
    <row r="242" spans="2:16" ht="15.75" thickBot="1" x14ac:dyDescent="0.3">
      <c r="B242" s="1011"/>
      <c r="C242" s="41" t="s">
        <v>31</v>
      </c>
      <c r="D242" s="18" t="str">
        <f>+C242</f>
        <v>TOTAL 4/4</v>
      </c>
      <c r="E242" s="42">
        <f t="shared" ref="E242:K242" si="184">SUM(E238:E241)</f>
        <v>0</v>
      </c>
      <c r="F242" s="43">
        <f t="shared" si="184"/>
        <v>61630</v>
      </c>
      <c r="G242" s="43">
        <f t="shared" si="184"/>
        <v>60000</v>
      </c>
      <c r="H242" s="44">
        <f t="shared" si="184"/>
        <v>1630</v>
      </c>
      <c r="I242" s="45">
        <f t="shared" si="184"/>
        <v>170850</v>
      </c>
      <c r="J242" s="43">
        <f t="shared" si="184"/>
        <v>225750</v>
      </c>
      <c r="K242" s="43">
        <f t="shared" si="184"/>
        <v>6700</v>
      </c>
      <c r="L242" s="46" t="e">
        <f t="shared" si="178"/>
        <v>#DIV/0!</v>
      </c>
      <c r="M242" s="47"/>
      <c r="N242" s="48">
        <f>SUM(N238:N241)</f>
        <v>289716</v>
      </c>
      <c r="O242" s="92">
        <f>SUM(O238:O241)</f>
        <v>1020546.975</v>
      </c>
      <c r="P242" s="1023"/>
    </row>
    <row r="243" spans="2:16" ht="15.75" thickBot="1" x14ac:dyDescent="0.3">
      <c r="B243" s="1020"/>
      <c r="C243" s="41" t="s">
        <v>68</v>
      </c>
      <c r="D243" s="27" t="s">
        <v>64</v>
      </c>
      <c r="E243" s="25">
        <v>0</v>
      </c>
      <c r="F243" s="20">
        <f>G243+H243</f>
        <v>0</v>
      </c>
      <c r="G243" s="20">
        <v>0</v>
      </c>
      <c r="H243" s="24">
        <v>0</v>
      </c>
      <c r="I243" s="19">
        <f>J243+K243</f>
        <v>0</v>
      </c>
      <c r="J243" s="4">
        <f>G243+J178</f>
        <v>0</v>
      </c>
      <c r="K243" s="4">
        <f>H243+K178</f>
        <v>0</v>
      </c>
      <c r="L243" s="52" t="e">
        <f t="shared" si="178"/>
        <v>#DIV/0!</v>
      </c>
      <c r="M243" s="149">
        <v>1.4086000000000001</v>
      </c>
      <c r="N243" s="26">
        <f t="shared" ref="N243" si="185">+M243*G243</f>
        <v>0</v>
      </c>
      <c r="O243" s="95">
        <f t="shared" ref="O243" si="186">+M243*J243</f>
        <v>0</v>
      </c>
      <c r="P243" s="53"/>
    </row>
    <row r="244" spans="2:16" ht="15.75" thickBot="1" x14ac:dyDescent="0.3">
      <c r="B244" s="995" t="s">
        <v>95</v>
      </c>
      <c r="C244" s="996"/>
      <c r="D244" s="996"/>
      <c r="E244" s="996"/>
      <c r="F244" s="996"/>
      <c r="G244" s="996"/>
      <c r="H244" s="996"/>
      <c r="I244" s="110">
        <f>J244+K244</f>
        <v>326332</v>
      </c>
      <c r="J244" s="110">
        <f>J237+J242+J243</f>
        <v>316500</v>
      </c>
      <c r="K244" s="110">
        <f>K237+K242+K243</f>
        <v>9832</v>
      </c>
      <c r="L244" s="111"/>
      <c r="M244" s="112"/>
      <c r="N244" s="109"/>
      <c r="O244" s="77">
        <f>+O243+O242+O237</f>
        <v>1221476.55</v>
      </c>
      <c r="P244" s="84"/>
    </row>
    <row r="245" spans="2:16" x14ac:dyDescent="0.25">
      <c r="B245" s="997" t="s">
        <v>69</v>
      </c>
      <c r="C245" s="1000" t="s">
        <v>70</v>
      </c>
      <c r="D245" s="54" t="s">
        <v>71</v>
      </c>
      <c r="E245" s="55">
        <v>0</v>
      </c>
      <c r="F245" s="56">
        <f>G245+H245</f>
        <v>0</v>
      </c>
      <c r="G245" s="56">
        <v>0</v>
      </c>
      <c r="H245" s="57">
        <v>0</v>
      </c>
      <c r="I245" s="78">
        <f>J245+K245</f>
        <v>0</v>
      </c>
      <c r="J245" s="4">
        <f>G245+J180</f>
        <v>0</v>
      </c>
      <c r="K245" s="4">
        <f>H245+K180</f>
        <v>0</v>
      </c>
      <c r="L245" s="58" t="e">
        <f t="shared" ref="L245" si="187">+J245/E245</f>
        <v>#DIV/0!</v>
      </c>
      <c r="M245" s="59">
        <v>32.946300000000001</v>
      </c>
      <c r="N245" s="60">
        <f>+M245*G245</f>
        <v>0</v>
      </c>
      <c r="O245" s="60">
        <f>M245*J245</f>
        <v>0</v>
      </c>
      <c r="P245" s="1002"/>
    </row>
    <row r="246" spans="2:16" x14ac:dyDescent="0.25">
      <c r="B246" s="998"/>
      <c r="C246" s="1001"/>
      <c r="D246" s="61" t="s">
        <v>72</v>
      </c>
      <c r="E246" s="62">
        <v>0</v>
      </c>
      <c r="F246" s="63">
        <f>G246+H246</f>
        <v>5080</v>
      </c>
      <c r="G246" s="63">
        <v>5000</v>
      </c>
      <c r="H246" s="64">
        <v>80</v>
      </c>
      <c r="I246" s="79">
        <f>J246+K246</f>
        <v>5080</v>
      </c>
      <c r="J246" s="4">
        <f>G246+J181</f>
        <v>5000</v>
      </c>
      <c r="K246" s="4">
        <f>H246+K181</f>
        <v>80</v>
      </c>
      <c r="L246" s="65" t="e">
        <f>+J246/E246</f>
        <v>#DIV/0!</v>
      </c>
      <c r="M246" s="66">
        <v>35.398400000000002</v>
      </c>
      <c r="N246" s="67">
        <f>+M246*G246</f>
        <v>176992</v>
      </c>
      <c r="O246" s="67">
        <f>M246*J246</f>
        <v>176992</v>
      </c>
      <c r="P246" s="1003"/>
    </row>
    <row r="247" spans="2:16" x14ac:dyDescent="0.25">
      <c r="B247" s="998"/>
      <c r="C247" s="1001"/>
      <c r="D247" s="61" t="s">
        <v>73</v>
      </c>
      <c r="E247" s="62">
        <v>0</v>
      </c>
      <c r="F247" s="63">
        <f t="shared" ref="F247:F250" si="188">G247+H247</f>
        <v>0</v>
      </c>
      <c r="G247" s="63">
        <v>0</v>
      </c>
      <c r="H247" s="64">
        <v>0</v>
      </c>
      <c r="I247" s="79">
        <f t="shared" ref="I247:I256" si="189">J247+K247</f>
        <v>0</v>
      </c>
      <c r="J247" s="4">
        <f t="shared" ref="J247:J272" si="190">G247+J182</f>
        <v>0</v>
      </c>
      <c r="K247" s="4">
        <f t="shared" ref="K247:K251" si="191">H247+K182</f>
        <v>0</v>
      </c>
      <c r="L247" s="65" t="e">
        <f t="shared" ref="L247:L260" si="192">+J247/E247</f>
        <v>#DIV/0!</v>
      </c>
      <c r="M247" s="66">
        <v>32.946300000000001</v>
      </c>
      <c r="N247" s="67">
        <f t="shared" ref="N247:N267" si="193">+M247*G247</f>
        <v>0</v>
      </c>
      <c r="O247" s="67">
        <f t="shared" ref="O247:O255" si="194">M247*J247</f>
        <v>0</v>
      </c>
      <c r="P247" s="1003"/>
    </row>
    <row r="248" spans="2:16" x14ac:dyDescent="0.25">
      <c r="B248" s="998"/>
      <c r="C248" s="1001" t="s">
        <v>74</v>
      </c>
      <c r="D248" s="61" t="s">
        <v>75</v>
      </c>
      <c r="E248" s="62">
        <v>0</v>
      </c>
      <c r="F248" s="63">
        <f t="shared" si="188"/>
        <v>0</v>
      </c>
      <c r="G248" s="63">
        <v>0</v>
      </c>
      <c r="H248" s="64">
        <v>0</v>
      </c>
      <c r="I248" s="79">
        <f t="shared" si="189"/>
        <v>4976</v>
      </c>
      <c r="J248" s="4">
        <f t="shared" si="190"/>
        <v>4800</v>
      </c>
      <c r="K248" s="4">
        <f t="shared" si="191"/>
        <v>176</v>
      </c>
      <c r="L248" s="65" t="e">
        <f t="shared" si="192"/>
        <v>#DIV/0!</v>
      </c>
      <c r="M248" s="66">
        <v>55.4758</v>
      </c>
      <c r="N248" s="67">
        <f t="shared" si="193"/>
        <v>0</v>
      </c>
      <c r="O248" s="67">
        <f t="shared" si="194"/>
        <v>266283.84000000003</v>
      </c>
      <c r="P248" s="1003"/>
    </row>
    <row r="249" spans="2:16" x14ac:dyDescent="0.25">
      <c r="B249" s="998"/>
      <c r="C249" s="1001"/>
      <c r="D249" s="61" t="s">
        <v>134</v>
      </c>
      <c r="E249" s="62">
        <v>0</v>
      </c>
      <c r="F249" s="63">
        <f t="shared" si="188"/>
        <v>0</v>
      </c>
      <c r="G249" s="63">
        <v>0</v>
      </c>
      <c r="H249" s="64">
        <v>0</v>
      </c>
      <c r="I249" s="79">
        <f t="shared" si="189"/>
        <v>0</v>
      </c>
      <c r="J249" s="4">
        <f t="shared" si="190"/>
        <v>0</v>
      </c>
      <c r="K249" s="4">
        <f t="shared" si="191"/>
        <v>0</v>
      </c>
      <c r="L249" s="65" t="e">
        <f t="shared" si="192"/>
        <v>#DIV/0!</v>
      </c>
      <c r="M249" s="66">
        <v>53.515999999999998</v>
      </c>
      <c r="N249" s="67">
        <f t="shared" si="193"/>
        <v>0</v>
      </c>
      <c r="O249" s="67">
        <f t="shared" si="194"/>
        <v>0</v>
      </c>
      <c r="P249" s="1003"/>
    </row>
    <row r="250" spans="2:16" x14ac:dyDescent="0.25">
      <c r="B250" s="998"/>
      <c r="C250" s="1001"/>
      <c r="D250" s="61" t="s">
        <v>72</v>
      </c>
      <c r="E250" s="62">
        <v>0</v>
      </c>
      <c r="F250" s="63">
        <f t="shared" si="188"/>
        <v>0</v>
      </c>
      <c r="G250" s="63">
        <v>0</v>
      </c>
      <c r="H250" s="64">
        <v>0</v>
      </c>
      <c r="I250" s="79">
        <f t="shared" si="189"/>
        <v>0</v>
      </c>
      <c r="J250" s="4">
        <f t="shared" si="190"/>
        <v>0</v>
      </c>
      <c r="K250" s="4">
        <f t="shared" si="191"/>
        <v>0</v>
      </c>
      <c r="L250" s="65" t="e">
        <f t="shared" si="192"/>
        <v>#DIV/0!</v>
      </c>
      <c r="M250" s="66">
        <v>58.836300000000001</v>
      </c>
      <c r="N250" s="67">
        <f t="shared" si="193"/>
        <v>0</v>
      </c>
      <c r="O250" s="67">
        <f t="shared" si="194"/>
        <v>0</v>
      </c>
      <c r="P250" s="1003"/>
    </row>
    <row r="251" spans="2:16" x14ac:dyDescent="0.25">
      <c r="B251" s="998"/>
      <c r="C251" s="1005" t="s">
        <v>76</v>
      </c>
      <c r="D251" s="61" t="s">
        <v>77</v>
      </c>
      <c r="E251" s="62">
        <v>0</v>
      </c>
      <c r="F251" s="63">
        <f>G251+H251</f>
        <v>3675</v>
      </c>
      <c r="G251" s="63">
        <v>3575</v>
      </c>
      <c r="H251" s="64">
        <v>100</v>
      </c>
      <c r="I251" s="79">
        <f t="shared" si="189"/>
        <v>3675</v>
      </c>
      <c r="J251" s="4">
        <f t="shared" si="190"/>
        <v>3575</v>
      </c>
      <c r="K251" s="4">
        <f t="shared" si="191"/>
        <v>100</v>
      </c>
      <c r="L251" s="65" t="e">
        <f t="shared" si="192"/>
        <v>#DIV/0!</v>
      </c>
      <c r="M251" s="66">
        <v>25.687200000000001</v>
      </c>
      <c r="N251" s="67">
        <f t="shared" si="193"/>
        <v>91831.74</v>
      </c>
      <c r="O251" s="67">
        <f t="shared" si="194"/>
        <v>91831.74</v>
      </c>
      <c r="P251" s="1003"/>
    </row>
    <row r="252" spans="2:16" x14ac:dyDescent="0.25">
      <c r="B252" s="998"/>
      <c r="C252" s="1006"/>
      <c r="D252" s="61" t="s">
        <v>117</v>
      </c>
      <c r="E252" s="62">
        <v>0</v>
      </c>
      <c r="F252" s="63">
        <f>G252+H252</f>
        <v>0</v>
      </c>
      <c r="G252" s="63">
        <v>0</v>
      </c>
      <c r="H252" s="64">
        <v>0</v>
      </c>
      <c r="I252" s="79">
        <f t="shared" si="189"/>
        <v>0</v>
      </c>
      <c r="J252" s="4">
        <f t="shared" si="190"/>
        <v>0</v>
      </c>
      <c r="K252" s="4">
        <f>H252+K187</f>
        <v>0</v>
      </c>
      <c r="L252" s="65" t="e">
        <f t="shared" si="192"/>
        <v>#DIV/0!</v>
      </c>
      <c r="M252" s="66">
        <v>25.033899999999999</v>
      </c>
      <c r="N252" s="67">
        <f t="shared" si="193"/>
        <v>0</v>
      </c>
      <c r="O252" s="67">
        <f t="shared" si="194"/>
        <v>0</v>
      </c>
      <c r="P252" s="1003"/>
    </row>
    <row r="253" spans="2:16" x14ac:dyDescent="0.25">
      <c r="B253" s="998"/>
      <c r="C253" s="1005" t="s">
        <v>78</v>
      </c>
      <c r="D253" s="61" t="s">
        <v>79</v>
      </c>
      <c r="E253" s="62">
        <v>0</v>
      </c>
      <c r="F253" s="63">
        <f t="shared" ref="F253:F272" si="195">G253+H253</f>
        <v>6048</v>
      </c>
      <c r="G253" s="63">
        <v>6000</v>
      </c>
      <c r="H253" s="64">
        <v>48</v>
      </c>
      <c r="I253" s="79">
        <f t="shared" si="189"/>
        <v>8113</v>
      </c>
      <c r="J253" s="4">
        <f t="shared" si="190"/>
        <v>8000</v>
      </c>
      <c r="K253" s="4">
        <f t="shared" ref="K253:K272" si="196">H253+K188</f>
        <v>113</v>
      </c>
      <c r="L253" s="65" t="e">
        <f t="shared" si="192"/>
        <v>#DIV/0!</v>
      </c>
      <c r="M253" s="66">
        <v>41.992699999999999</v>
      </c>
      <c r="N253" s="67">
        <f t="shared" si="193"/>
        <v>251956.19999999998</v>
      </c>
      <c r="O253" s="67">
        <f t="shared" si="194"/>
        <v>335941.6</v>
      </c>
      <c r="P253" s="1003"/>
    </row>
    <row r="254" spans="2:16" x14ac:dyDescent="0.25">
      <c r="B254" s="998"/>
      <c r="C254" s="1006"/>
      <c r="D254" s="61" t="s">
        <v>72</v>
      </c>
      <c r="E254" s="62">
        <v>0</v>
      </c>
      <c r="F254" s="63">
        <f t="shared" si="195"/>
        <v>0</v>
      </c>
      <c r="G254" s="63">
        <v>0</v>
      </c>
      <c r="H254" s="64">
        <v>0</v>
      </c>
      <c r="I254" s="79">
        <f t="shared" si="189"/>
        <v>0</v>
      </c>
      <c r="J254" s="4">
        <f t="shared" si="190"/>
        <v>0</v>
      </c>
      <c r="K254" s="4">
        <f t="shared" si="196"/>
        <v>0</v>
      </c>
      <c r="L254" s="65" t="e">
        <f t="shared" si="192"/>
        <v>#DIV/0!</v>
      </c>
      <c r="M254" s="66">
        <v>42.283799999999999</v>
      </c>
      <c r="N254" s="67">
        <f t="shared" si="193"/>
        <v>0</v>
      </c>
      <c r="O254" s="67">
        <f t="shared" si="194"/>
        <v>0</v>
      </c>
      <c r="P254" s="1003"/>
    </row>
    <row r="255" spans="2:16" x14ac:dyDescent="0.25">
      <c r="B255" s="998"/>
      <c r="C255" s="173" t="s">
        <v>80</v>
      </c>
      <c r="D255" s="61" t="s">
        <v>81</v>
      </c>
      <c r="E255" s="62">
        <v>0</v>
      </c>
      <c r="F255" s="63">
        <f t="shared" si="195"/>
        <v>0</v>
      </c>
      <c r="G255" s="63">
        <v>0</v>
      </c>
      <c r="H255" s="64">
        <v>0</v>
      </c>
      <c r="I255" s="79">
        <f t="shared" si="189"/>
        <v>0</v>
      </c>
      <c r="J255" s="4">
        <f t="shared" si="190"/>
        <v>0</v>
      </c>
      <c r="K255" s="4">
        <f t="shared" si="196"/>
        <v>0</v>
      </c>
      <c r="L255" s="65" t="e">
        <f t="shared" si="192"/>
        <v>#DIV/0!</v>
      </c>
      <c r="M255" s="66">
        <v>4.3535000000000004</v>
      </c>
      <c r="N255" s="67">
        <f t="shared" si="193"/>
        <v>0</v>
      </c>
      <c r="O255" s="67">
        <f t="shared" si="194"/>
        <v>0</v>
      </c>
      <c r="P255" s="1003"/>
    </row>
    <row r="256" spans="2:16" x14ac:dyDescent="0.25">
      <c r="B256" s="998"/>
      <c r="C256" s="1001" t="s">
        <v>82</v>
      </c>
      <c r="D256" s="61" t="s">
        <v>77</v>
      </c>
      <c r="E256" s="62">
        <v>0</v>
      </c>
      <c r="F256" s="63">
        <f t="shared" si="195"/>
        <v>0</v>
      </c>
      <c r="G256" s="63">
        <v>0</v>
      </c>
      <c r="H256" s="64">
        <v>0</v>
      </c>
      <c r="I256" s="79">
        <f t="shared" si="189"/>
        <v>0</v>
      </c>
      <c r="J256" s="4">
        <f t="shared" si="190"/>
        <v>0</v>
      </c>
      <c r="K256" s="4">
        <f t="shared" si="196"/>
        <v>0</v>
      </c>
      <c r="L256" s="65" t="e">
        <f t="shared" si="192"/>
        <v>#DIV/0!</v>
      </c>
      <c r="M256" s="66">
        <v>4.6184000000000003</v>
      </c>
      <c r="N256" s="67">
        <f t="shared" si="193"/>
        <v>0</v>
      </c>
      <c r="O256" s="67">
        <f>M256*J256</f>
        <v>0</v>
      </c>
      <c r="P256" s="1003"/>
    </row>
    <row r="257" spans="2:16" x14ac:dyDescent="0.25">
      <c r="B257" s="998"/>
      <c r="C257" s="1001"/>
      <c r="D257" s="61" t="s">
        <v>119</v>
      </c>
      <c r="E257" s="62">
        <v>0</v>
      </c>
      <c r="F257" s="63">
        <f t="shared" si="195"/>
        <v>0</v>
      </c>
      <c r="G257" s="63">
        <v>0</v>
      </c>
      <c r="H257" s="64">
        <v>0</v>
      </c>
      <c r="I257" s="79">
        <f>J257+K257</f>
        <v>0</v>
      </c>
      <c r="J257" s="4">
        <f t="shared" si="190"/>
        <v>0</v>
      </c>
      <c r="K257" s="4">
        <f t="shared" si="196"/>
        <v>0</v>
      </c>
      <c r="L257" s="65" t="e">
        <f t="shared" si="192"/>
        <v>#DIV/0!</v>
      </c>
      <c r="M257" s="153">
        <v>4.6184000000000003</v>
      </c>
      <c r="N257" s="67">
        <f t="shared" si="193"/>
        <v>0</v>
      </c>
      <c r="O257" s="67">
        <f>M257*J257</f>
        <v>0</v>
      </c>
      <c r="P257" s="1003"/>
    </row>
    <row r="258" spans="2:16" x14ac:dyDescent="0.25">
      <c r="B258" s="998"/>
      <c r="C258" s="1001"/>
      <c r="D258" s="61" t="s">
        <v>123</v>
      </c>
      <c r="E258" s="62">
        <v>0</v>
      </c>
      <c r="F258" s="63">
        <f t="shared" si="195"/>
        <v>0</v>
      </c>
      <c r="G258" s="63">
        <v>0</v>
      </c>
      <c r="H258" s="64">
        <v>0</v>
      </c>
      <c r="I258" s="79">
        <f t="shared" ref="I258:I272" si="197">J258+K258</f>
        <v>0</v>
      </c>
      <c r="J258" s="4">
        <f t="shared" si="190"/>
        <v>0</v>
      </c>
      <c r="K258" s="4">
        <f t="shared" si="196"/>
        <v>0</v>
      </c>
      <c r="L258" s="65" t="e">
        <f t="shared" si="192"/>
        <v>#DIV/0!</v>
      </c>
      <c r="M258" s="153">
        <v>4.6184000000000003</v>
      </c>
      <c r="N258" s="67">
        <f t="shared" si="193"/>
        <v>0</v>
      </c>
      <c r="O258" s="67">
        <f t="shared" ref="O258:O263" si="198">M258*J258</f>
        <v>0</v>
      </c>
      <c r="P258" s="1003"/>
    </row>
    <row r="259" spans="2:16" x14ac:dyDescent="0.25">
      <c r="B259" s="998"/>
      <c r="C259" s="1001"/>
      <c r="D259" s="61" t="s">
        <v>124</v>
      </c>
      <c r="E259" s="62">
        <v>0</v>
      </c>
      <c r="F259" s="63">
        <f t="shared" si="195"/>
        <v>15000</v>
      </c>
      <c r="G259" s="63">
        <v>14000</v>
      </c>
      <c r="H259" s="64">
        <v>1000</v>
      </c>
      <c r="I259" s="79">
        <f t="shared" si="197"/>
        <v>79869</v>
      </c>
      <c r="J259" s="4">
        <f t="shared" si="190"/>
        <v>76500</v>
      </c>
      <c r="K259" s="4">
        <f t="shared" si="196"/>
        <v>3369</v>
      </c>
      <c r="L259" s="65" t="e">
        <f t="shared" si="192"/>
        <v>#DIV/0!</v>
      </c>
      <c r="M259" s="153">
        <v>4.7636000000000003</v>
      </c>
      <c r="N259" s="67">
        <f t="shared" si="193"/>
        <v>66690.400000000009</v>
      </c>
      <c r="O259" s="67">
        <f t="shared" si="198"/>
        <v>364415.4</v>
      </c>
      <c r="P259" s="1003"/>
    </row>
    <row r="260" spans="2:16" x14ac:dyDescent="0.25">
      <c r="B260" s="998"/>
      <c r="C260" s="1001"/>
      <c r="D260" s="61" t="s">
        <v>83</v>
      </c>
      <c r="E260" s="62">
        <v>0</v>
      </c>
      <c r="F260" s="63">
        <f t="shared" si="195"/>
        <v>0</v>
      </c>
      <c r="G260" s="63">
        <v>0</v>
      </c>
      <c r="H260" s="64">
        <v>0</v>
      </c>
      <c r="I260" s="79">
        <f t="shared" si="197"/>
        <v>0</v>
      </c>
      <c r="J260" s="4">
        <f t="shared" si="190"/>
        <v>0</v>
      </c>
      <c r="K260" s="4">
        <f t="shared" si="196"/>
        <v>0</v>
      </c>
      <c r="L260" s="65" t="e">
        <f t="shared" si="192"/>
        <v>#DIV/0!</v>
      </c>
      <c r="M260" s="66">
        <v>4.8738000000000001</v>
      </c>
      <c r="N260" s="67">
        <f t="shared" si="193"/>
        <v>0</v>
      </c>
      <c r="O260" s="67">
        <f t="shared" si="198"/>
        <v>0</v>
      </c>
      <c r="P260" s="1003"/>
    </row>
    <row r="261" spans="2:16" x14ac:dyDescent="0.25">
      <c r="B261" s="998"/>
      <c r="C261" s="173" t="s">
        <v>128</v>
      </c>
      <c r="D261" s="61" t="s">
        <v>124</v>
      </c>
      <c r="E261" s="62"/>
      <c r="F261" s="63">
        <f t="shared" si="195"/>
        <v>0</v>
      </c>
      <c r="G261" s="63">
        <v>0</v>
      </c>
      <c r="H261" s="64">
        <v>0</v>
      </c>
      <c r="I261" s="79">
        <f t="shared" si="197"/>
        <v>0</v>
      </c>
      <c r="J261" s="4">
        <f t="shared" si="190"/>
        <v>0</v>
      </c>
      <c r="K261" s="4">
        <f t="shared" si="196"/>
        <v>0</v>
      </c>
      <c r="L261" s="65"/>
      <c r="M261" s="66">
        <v>4.8738000000000001</v>
      </c>
      <c r="N261" s="67">
        <f t="shared" si="193"/>
        <v>0</v>
      </c>
      <c r="O261" s="67">
        <f t="shared" si="198"/>
        <v>0</v>
      </c>
      <c r="P261" s="1003"/>
    </row>
    <row r="262" spans="2:16" x14ac:dyDescent="0.25">
      <c r="B262" s="998"/>
      <c r="C262" s="1001" t="s">
        <v>84</v>
      </c>
      <c r="D262" s="61" t="s">
        <v>77</v>
      </c>
      <c r="E262" s="62">
        <v>0</v>
      </c>
      <c r="F262" s="63">
        <f t="shared" si="195"/>
        <v>21700</v>
      </c>
      <c r="G262" s="63">
        <v>21300</v>
      </c>
      <c r="H262" s="64">
        <v>400</v>
      </c>
      <c r="I262" s="79">
        <f t="shared" si="197"/>
        <v>98229</v>
      </c>
      <c r="J262" s="4">
        <f t="shared" si="190"/>
        <v>96850</v>
      </c>
      <c r="K262" s="4">
        <f t="shared" si="196"/>
        <v>1379</v>
      </c>
      <c r="L262" s="65" t="e">
        <f t="shared" ref="L262:L272" si="199">+J262/E262</f>
        <v>#DIV/0!</v>
      </c>
      <c r="M262" s="66">
        <v>4.9344999999999999</v>
      </c>
      <c r="N262" s="67">
        <f t="shared" si="193"/>
        <v>105104.84999999999</v>
      </c>
      <c r="O262" s="67">
        <f t="shared" si="198"/>
        <v>477906.32500000001</v>
      </c>
      <c r="P262" s="1003"/>
    </row>
    <row r="263" spans="2:16" x14ac:dyDescent="0.25">
      <c r="B263" s="998"/>
      <c r="C263" s="1001"/>
      <c r="D263" s="61" t="s">
        <v>135</v>
      </c>
      <c r="E263" s="62"/>
      <c r="F263" s="63">
        <f t="shared" si="195"/>
        <v>0</v>
      </c>
      <c r="G263" s="63">
        <v>0</v>
      </c>
      <c r="H263" s="64">
        <v>0</v>
      </c>
      <c r="I263" s="79">
        <f t="shared" si="197"/>
        <v>0</v>
      </c>
      <c r="J263" s="4">
        <f t="shared" si="190"/>
        <v>0</v>
      </c>
      <c r="K263" s="4">
        <f t="shared" si="196"/>
        <v>0</v>
      </c>
      <c r="L263" s="65" t="e">
        <f t="shared" si="199"/>
        <v>#DIV/0!</v>
      </c>
      <c r="M263" s="66">
        <v>4.9344999999999999</v>
      </c>
      <c r="N263" s="67">
        <f t="shared" si="193"/>
        <v>0</v>
      </c>
      <c r="O263" s="67">
        <f t="shared" si="198"/>
        <v>0</v>
      </c>
      <c r="P263" s="1003"/>
    </row>
    <row r="264" spans="2:16" x14ac:dyDescent="0.25">
      <c r="B264" s="998"/>
      <c r="C264" s="1001"/>
      <c r="D264" s="61" t="s">
        <v>129</v>
      </c>
      <c r="E264" s="62">
        <v>0</v>
      </c>
      <c r="F264" s="63">
        <f t="shared" si="195"/>
        <v>0</v>
      </c>
      <c r="G264" s="155">
        <v>0</v>
      </c>
      <c r="H264" s="156">
        <v>0</v>
      </c>
      <c r="I264" s="157">
        <f t="shared" si="197"/>
        <v>0</v>
      </c>
      <c r="J264" s="4">
        <f t="shared" si="190"/>
        <v>0</v>
      </c>
      <c r="K264" s="4">
        <f t="shared" si="196"/>
        <v>0</v>
      </c>
      <c r="L264" s="158" t="e">
        <f t="shared" si="199"/>
        <v>#DIV/0!</v>
      </c>
      <c r="M264" s="66">
        <v>4.9344999999999999</v>
      </c>
      <c r="N264" s="159">
        <f t="shared" si="193"/>
        <v>0</v>
      </c>
      <c r="O264" s="67">
        <f>M264*J264</f>
        <v>0</v>
      </c>
      <c r="P264" s="1003"/>
    </row>
    <row r="265" spans="2:16" x14ac:dyDescent="0.25">
      <c r="B265" s="998"/>
      <c r="C265" s="1001" t="s">
        <v>85</v>
      </c>
      <c r="D265" s="61" t="s">
        <v>77</v>
      </c>
      <c r="E265" s="62">
        <v>0</v>
      </c>
      <c r="F265" s="63">
        <f t="shared" si="195"/>
        <v>19900</v>
      </c>
      <c r="G265" s="63">
        <v>18900</v>
      </c>
      <c r="H265" s="64">
        <v>1000</v>
      </c>
      <c r="I265" s="79">
        <f t="shared" si="197"/>
        <v>67923</v>
      </c>
      <c r="J265" s="4">
        <f t="shared" si="190"/>
        <v>62550</v>
      </c>
      <c r="K265" s="4">
        <f t="shared" si="196"/>
        <v>5373</v>
      </c>
      <c r="L265" s="65" t="e">
        <f t="shared" si="199"/>
        <v>#DIV/0!</v>
      </c>
      <c r="M265" s="148">
        <v>5.5069999999999997</v>
      </c>
      <c r="N265" s="67">
        <f t="shared" si="193"/>
        <v>104082.29999999999</v>
      </c>
      <c r="O265" s="67">
        <f>M265*J265</f>
        <v>344462.85</v>
      </c>
      <c r="P265" s="1003"/>
    </row>
    <row r="266" spans="2:16" x14ac:dyDescent="0.25">
      <c r="B266" s="998"/>
      <c r="C266" s="1001"/>
      <c r="D266" s="61" t="s">
        <v>112</v>
      </c>
      <c r="E266" s="62">
        <v>0</v>
      </c>
      <c r="F266" s="63">
        <f t="shared" si="195"/>
        <v>0</v>
      </c>
      <c r="G266" s="63">
        <v>0</v>
      </c>
      <c r="H266" s="64">
        <v>0</v>
      </c>
      <c r="I266" s="79">
        <f t="shared" si="197"/>
        <v>0</v>
      </c>
      <c r="J266" s="4">
        <f t="shared" si="190"/>
        <v>0</v>
      </c>
      <c r="K266" s="4">
        <f t="shared" si="196"/>
        <v>0</v>
      </c>
      <c r="L266" s="65" t="e">
        <f t="shared" si="199"/>
        <v>#DIV/0!</v>
      </c>
      <c r="M266" s="147">
        <v>5.6550000000000002</v>
      </c>
      <c r="N266" s="67">
        <f t="shared" si="193"/>
        <v>0</v>
      </c>
      <c r="O266" s="67">
        <f>M266*J266</f>
        <v>0</v>
      </c>
      <c r="P266" s="1003"/>
    </row>
    <row r="267" spans="2:16" x14ac:dyDescent="0.25">
      <c r="B267" s="998"/>
      <c r="C267" s="1001"/>
      <c r="D267" s="61" t="s">
        <v>118</v>
      </c>
      <c r="E267" s="62">
        <v>0</v>
      </c>
      <c r="F267" s="63">
        <f t="shared" si="195"/>
        <v>0</v>
      </c>
      <c r="G267" s="63">
        <v>0</v>
      </c>
      <c r="H267" s="64">
        <v>0</v>
      </c>
      <c r="I267" s="79">
        <f t="shared" si="197"/>
        <v>0</v>
      </c>
      <c r="J267" s="4">
        <f t="shared" si="190"/>
        <v>0</v>
      </c>
      <c r="K267" s="4">
        <f t="shared" si="196"/>
        <v>0</v>
      </c>
      <c r="L267" s="65" t="e">
        <f t="shared" si="199"/>
        <v>#DIV/0!</v>
      </c>
      <c r="M267" s="152">
        <v>5.6550000000000002</v>
      </c>
      <c r="N267" s="67">
        <f t="shared" si="193"/>
        <v>0</v>
      </c>
      <c r="O267" s="67">
        <f>M267*J267</f>
        <v>0</v>
      </c>
      <c r="P267" s="1003"/>
    </row>
    <row r="268" spans="2:16" x14ac:dyDescent="0.25">
      <c r="B268" s="998"/>
      <c r="C268" s="1001"/>
      <c r="D268" s="61" t="s">
        <v>121</v>
      </c>
      <c r="E268" s="62">
        <v>0</v>
      </c>
      <c r="F268" s="63">
        <f t="shared" si="195"/>
        <v>0</v>
      </c>
      <c r="G268" s="63">
        <v>0</v>
      </c>
      <c r="H268" s="64">
        <v>0</v>
      </c>
      <c r="I268" s="79">
        <f t="shared" si="197"/>
        <v>9700</v>
      </c>
      <c r="J268" s="4">
        <f t="shared" si="190"/>
        <v>8200</v>
      </c>
      <c r="K268" s="4">
        <f t="shared" si="196"/>
        <v>1500</v>
      </c>
      <c r="L268" s="65" t="e">
        <f t="shared" si="199"/>
        <v>#DIV/0!</v>
      </c>
      <c r="M268" s="66">
        <v>5.7885299999999997</v>
      </c>
      <c r="N268" s="67">
        <f>+M268*G268</f>
        <v>0</v>
      </c>
      <c r="O268" s="67">
        <f>M268*J268</f>
        <v>47465.945999999996</v>
      </c>
      <c r="P268" s="1003"/>
    </row>
    <row r="269" spans="2:16" x14ac:dyDescent="0.25">
      <c r="B269" s="998"/>
      <c r="C269" s="1001"/>
      <c r="D269" s="61" t="s">
        <v>136</v>
      </c>
      <c r="E269" s="62">
        <v>0</v>
      </c>
      <c r="F269" s="63">
        <f t="shared" si="195"/>
        <v>0</v>
      </c>
      <c r="G269" s="63">
        <v>0</v>
      </c>
      <c r="H269" s="64">
        <v>0</v>
      </c>
      <c r="I269" s="79">
        <f t="shared" si="197"/>
        <v>0</v>
      </c>
      <c r="J269" s="4">
        <f t="shared" si="190"/>
        <v>0</v>
      </c>
      <c r="K269" s="4">
        <f t="shared" si="196"/>
        <v>0</v>
      </c>
      <c r="L269" s="65" t="e">
        <f t="shared" si="199"/>
        <v>#DIV/0!</v>
      </c>
      <c r="M269" s="152">
        <v>5.6550000000000002</v>
      </c>
      <c r="N269" s="67">
        <f t="shared" ref="N269:N271" si="200">+M269*G269</f>
        <v>0</v>
      </c>
      <c r="O269" s="67">
        <f t="shared" ref="O269:O272" si="201">M269*J269</f>
        <v>0</v>
      </c>
      <c r="P269" s="1003"/>
    </row>
    <row r="270" spans="2:16" x14ac:dyDescent="0.25">
      <c r="B270" s="998"/>
      <c r="C270" s="173" t="s">
        <v>86</v>
      </c>
      <c r="D270" s="61" t="s">
        <v>77</v>
      </c>
      <c r="E270" s="62">
        <v>0</v>
      </c>
      <c r="F270" s="63">
        <f t="shared" si="195"/>
        <v>0</v>
      </c>
      <c r="G270" s="63">
        <v>0</v>
      </c>
      <c r="H270" s="64">
        <v>0</v>
      </c>
      <c r="I270" s="79">
        <f t="shared" si="197"/>
        <v>0</v>
      </c>
      <c r="J270" s="4">
        <f t="shared" si="190"/>
        <v>0</v>
      </c>
      <c r="K270" s="4">
        <f t="shared" si="196"/>
        <v>0</v>
      </c>
      <c r="L270" s="65" t="e">
        <f t="shared" si="199"/>
        <v>#DIV/0!</v>
      </c>
      <c r="M270" s="66">
        <v>3.2963</v>
      </c>
      <c r="N270" s="67">
        <f t="shared" si="200"/>
        <v>0</v>
      </c>
      <c r="O270" s="67">
        <f t="shared" si="201"/>
        <v>0</v>
      </c>
      <c r="P270" s="1003"/>
    </row>
    <row r="271" spans="2:16" x14ac:dyDescent="0.25">
      <c r="B271" s="998"/>
      <c r="C271" s="173" t="s">
        <v>87</v>
      </c>
      <c r="D271" s="61" t="s">
        <v>77</v>
      </c>
      <c r="E271" s="62">
        <v>0</v>
      </c>
      <c r="F271" s="63">
        <f t="shared" si="195"/>
        <v>0</v>
      </c>
      <c r="G271" s="63">
        <v>0</v>
      </c>
      <c r="H271" s="64">
        <v>0</v>
      </c>
      <c r="I271" s="79">
        <f t="shared" si="197"/>
        <v>0</v>
      </c>
      <c r="J271" s="4">
        <f t="shared" si="190"/>
        <v>0</v>
      </c>
      <c r="K271" s="4">
        <f t="shared" si="196"/>
        <v>0</v>
      </c>
      <c r="L271" s="65" t="e">
        <f t="shared" si="199"/>
        <v>#DIV/0!</v>
      </c>
      <c r="M271" s="66">
        <v>3.2963</v>
      </c>
      <c r="N271" s="67">
        <f t="shared" si="200"/>
        <v>0</v>
      </c>
      <c r="O271" s="67">
        <f t="shared" si="201"/>
        <v>0</v>
      </c>
      <c r="P271" s="1003"/>
    </row>
    <row r="272" spans="2:16" ht="15.75" thickBot="1" x14ac:dyDescent="0.3">
      <c r="B272" s="998"/>
      <c r="C272" s="68" t="s">
        <v>88</v>
      </c>
      <c r="D272" s="69" t="s">
        <v>89</v>
      </c>
      <c r="E272" s="70">
        <v>0</v>
      </c>
      <c r="F272" s="71">
        <f t="shared" si="195"/>
        <v>0</v>
      </c>
      <c r="G272" s="71">
        <v>0</v>
      </c>
      <c r="H272" s="72">
        <v>0</v>
      </c>
      <c r="I272" s="80">
        <f t="shared" si="197"/>
        <v>0</v>
      </c>
      <c r="J272" s="4">
        <f t="shared" si="190"/>
        <v>0</v>
      </c>
      <c r="K272" s="4">
        <f t="shared" si="196"/>
        <v>0</v>
      </c>
      <c r="L272" s="65" t="e">
        <f t="shared" si="199"/>
        <v>#DIV/0!</v>
      </c>
      <c r="M272" s="73">
        <v>2.3201000000000001</v>
      </c>
      <c r="N272" s="74">
        <f t="shared" ref="N272" si="202">M272*G272</f>
        <v>0</v>
      </c>
      <c r="O272" s="74">
        <f t="shared" si="201"/>
        <v>0</v>
      </c>
      <c r="P272" s="1004"/>
    </row>
    <row r="273" spans="2:16" ht="15.75" thickBot="1" x14ac:dyDescent="0.3">
      <c r="B273" s="999"/>
      <c r="C273" s="1007" t="s">
        <v>99</v>
      </c>
      <c r="D273" s="1008"/>
      <c r="E273" s="1008"/>
      <c r="F273" s="1008"/>
      <c r="G273" s="1008"/>
      <c r="H273" s="1009"/>
      <c r="I273" s="116">
        <f>J273+K273</f>
        <v>277565</v>
      </c>
      <c r="J273" s="115">
        <f>SUM(J245:J272)</f>
        <v>265475</v>
      </c>
      <c r="K273" s="115">
        <f>SUM(K245:K272)</f>
        <v>12090</v>
      </c>
      <c r="L273" s="114"/>
      <c r="M273" s="113"/>
      <c r="N273" s="114"/>
      <c r="O273" s="97">
        <f>SUM(O245:O272)</f>
        <v>2105299.7009999999</v>
      </c>
      <c r="P273" s="96"/>
    </row>
    <row r="274" spans="2:16" ht="15.75" thickBot="1" x14ac:dyDescent="0.3">
      <c r="B274" s="100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2"/>
    </row>
    <row r="275" spans="2:16" ht="15.75" thickBot="1" x14ac:dyDescent="0.3">
      <c r="B275" s="992" t="s">
        <v>100</v>
      </c>
      <c r="C275" s="993"/>
      <c r="D275" s="993"/>
      <c r="E275" s="993"/>
      <c r="F275" s="993"/>
      <c r="G275" s="993"/>
      <c r="H275" s="993"/>
      <c r="I275" s="993"/>
      <c r="J275" s="993"/>
      <c r="K275" s="993"/>
      <c r="L275" s="993"/>
      <c r="M275" s="993"/>
      <c r="N275" s="994"/>
      <c r="O275" s="103">
        <f>+O273+O244+O229</f>
        <v>5268211.0190000003</v>
      </c>
      <c r="P275" s="96"/>
    </row>
    <row r="276" spans="2:16" ht="15.75" thickBot="1" x14ac:dyDescent="0.3"/>
    <row r="277" spans="2:16" x14ac:dyDescent="0.25">
      <c r="B277" s="1026" t="s">
        <v>1</v>
      </c>
      <c r="C277" s="1028" t="s">
        <v>2</v>
      </c>
      <c r="D277" s="1031" t="s">
        <v>3</v>
      </c>
      <c r="E277" s="1034" t="s">
        <v>4</v>
      </c>
      <c r="F277" s="1035"/>
      <c r="G277" s="1035"/>
      <c r="H277" s="1035"/>
      <c r="I277" s="1035"/>
      <c r="J277" s="1035"/>
      <c r="K277" s="1035"/>
      <c r="L277" s="1036"/>
      <c r="M277" s="1037" t="s">
        <v>5</v>
      </c>
      <c r="N277" s="1038"/>
      <c r="O277" s="1039"/>
      <c r="P277" s="1031" t="s">
        <v>6</v>
      </c>
    </row>
    <row r="278" spans="2:16" x14ac:dyDescent="0.25">
      <c r="B278" s="1027"/>
      <c r="C278" s="1029"/>
      <c r="D278" s="1032"/>
      <c r="E278" s="1040" t="s">
        <v>7</v>
      </c>
      <c r="F278" s="1042" t="s">
        <v>144</v>
      </c>
      <c r="G278" s="1042"/>
      <c r="H278" s="1043"/>
      <c r="I278" s="1044" t="s">
        <v>8</v>
      </c>
      <c r="J278" s="1042"/>
      <c r="K278" s="1042"/>
      <c r="L278" s="1043" t="s">
        <v>9</v>
      </c>
      <c r="M278" s="1046" t="s">
        <v>10</v>
      </c>
      <c r="N278" s="1048" t="s">
        <v>11</v>
      </c>
      <c r="O278" s="1050" t="s">
        <v>12</v>
      </c>
      <c r="P278" s="1032"/>
    </row>
    <row r="279" spans="2:16" ht="15.75" thickBot="1" x14ac:dyDescent="0.3">
      <c r="B279" s="1027"/>
      <c r="C279" s="1030"/>
      <c r="D279" s="1033"/>
      <c r="E279" s="1041"/>
      <c r="F279" s="2" t="s">
        <v>13</v>
      </c>
      <c r="G279" s="2" t="s">
        <v>14</v>
      </c>
      <c r="H279" s="179" t="s">
        <v>15</v>
      </c>
      <c r="I279" s="142" t="s">
        <v>13</v>
      </c>
      <c r="J279" s="2" t="s">
        <v>14</v>
      </c>
      <c r="K279" s="2" t="s">
        <v>15</v>
      </c>
      <c r="L279" s="1045"/>
      <c r="M279" s="1047"/>
      <c r="N279" s="1049"/>
      <c r="O279" s="1051"/>
      <c r="P279" s="1033"/>
    </row>
    <row r="280" spans="2:16" x14ac:dyDescent="0.25">
      <c r="B280" s="1010" t="s">
        <v>53</v>
      </c>
      <c r="C280" s="29"/>
      <c r="D280" s="117" t="s">
        <v>143</v>
      </c>
      <c r="E280" s="98">
        <v>0</v>
      </c>
      <c r="F280" s="4">
        <f>+G280+H280</f>
        <v>43254</v>
      </c>
      <c r="G280" s="4">
        <v>42280</v>
      </c>
      <c r="H280" s="8">
        <v>974</v>
      </c>
      <c r="I280" s="6">
        <f>J280+K280</f>
        <v>157068</v>
      </c>
      <c r="J280" s="4">
        <f>G280+J215</f>
        <v>155120</v>
      </c>
      <c r="K280" s="4">
        <f>H280+K215</f>
        <v>1948</v>
      </c>
      <c r="L280" s="33" t="e">
        <f>+J280/E280</f>
        <v>#DIV/0!</v>
      </c>
      <c r="M280" s="104">
        <v>1.3652</v>
      </c>
      <c r="N280" s="31">
        <f>G280*M280</f>
        <v>57720.655999999995</v>
      </c>
      <c r="O280" s="86">
        <f>M280*J280</f>
        <v>211769.82399999999</v>
      </c>
      <c r="P280" s="1012"/>
    </row>
    <row r="281" spans="2:16" x14ac:dyDescent="0.25">
      <c r="B281" s="1011"/>
      <c r="C281" s="32"/>
      <c r="D281" s="118" t="s">
        <v>109</v>
      </c>
      <c r="E281" s="99">
        <v>0</v>
      </c>
      <c r="F281" s="9">
        <f>+G281+H281</f>
        <v>0</v>
      </c>
      <c r="G281" s="9">
        <v>0</v>
      </c>
      <c r="H281" s="10">
        <v>0</v>
      </c>
      <c r="I281" s="6">
        <f>J281+K281</f>
        <v>0</v>
      </c>
      <c r="J281" s="4">
        <f>+G281+J216</f>
        <v>0</v>
      </c>
      <c r="K281" s="4">
        <f>+H281+K216</f>
        <v>0</v>
      </c>
      <c r="L281" s="33"/>
      <c r="M281" s="105">
        <v>5.9917999999999996</v>
      </c>
      <c r="N281" s="34">
        <f>M281*G281</f>
        <v>0</v>
      </c>
      <c r="O281" s="87">
        <f>M281*J281</f>
        <v>0</v>
      </c>
      <c r="P281" s="1013"/>
    </row>
    <row r="282" spans="2:16" x14ac:dyDescent="0.25">
      <c r="B282" s="1011"/>
      <c r="C282" s="35"/>
      <c r="D282" s="119" t="s">
        <v>55</v>
      </c>
      <c r="E282" s="99">
        <v>0</v>
      </c>
      <c r="F282" s="9">
        <f t="shared" ref="F282:F286" si="203">+G282+H282</f>
        <v>174116</v>
      </c>
      <c r="G282" s="9">
        <f>57500+115000</f>
        <v>172500</v>
      </c>
      <c r="H282" s="10">
        <f>774+842</f>
        <v>1616</v>
      </c>
      <c r="I282" s="6">
        <f t="shared" ref="I282:I286" si="204">J282+K282</f>
        <v>931077</v>
      </c>
      <c r="J282" s="4">
        <f t="shared" ref="J282:J286" si="205">+G282+J217</f>
        <v>923250</v>
      </c>
      <c r="K282" s="4">
        <f t="shared" ref="K282:K286" si="206">+H282+K217</f>
        <v>7827</v>
      </c>
      <c r="L282" s="33" t="e">
        <f t="shared" ref="L282" si="207">+J282/E282</f>
        <v>#DIV/0!</v>
      </c>
      <c r="M282" s="106">
        <v>2.3807999999999998</v>
      </c>
      <c r="N282" s="36">
        <f>G282*M282</f>
        <v>410687.99999999994</v>
      </c>
      <c r="O282" s="88">
        <f>M282*J282</f>
        <v>2198073.5999999996</v>
      </c>
      <c r="P282" s="1013"/>
    </row>
    <row r="283" spans="2:16" x14ac:dyDescent="0.25">
      <c r="B283" s="1011"/>
      <c r="C283" s="35"/>
      <c r="D283" s="119" t="s">
        <v>56</v>
      </c>
      <c r="E283" s="99">
        <v>0</v>
      </c>
      <c r="F283" s="9">
        <f t="shared" si="203"/>
        <v>0</v>
      </c>
      <c r="G283" s="9">
        <v>0</v>
      </c>
      <c r="H283" s="10">
        <v>0</v>
      </c>
      <c r="I283" s="6">
        <f t="shared" si="204"/>
        <v>0</v>
      </c>
      <c r="J283" s="4">
        <f t="shared" si="205"/>
        <v>0</v>
      </c>
      <c r="K283" s="4">
        <f t="shared" si="206"/>
        <v>0</v>
      </c>
      <c r="L283" s="33"/>
      <c r="M283" s="106">
        <v>2.1457999999999999</v>
      </c>
      <c r="N283" s="36">
        <f t="shared" ref="N283:N286" si="208">G283*M283</f>
        <v>0</v>
      </c>
      <c r="O283" s="88">
        <f>M283*J283</f>
        <v>0</v>
      </c>
      <c r="P283" s="1013"/>
    </row>
    <row r="284" spans="2:16" x14ac:dyDescent="0.25">
      <c r="B284" s="1011"/>
      <c r="C284" s="35"/>
      <c r="D284" s="119" t="s">
        <v>106</v>
      </c>
      <c r="E284" s="99">
        <v>0</v>
      </c>
      <c r="F284" s="9">
        <f t="shared" si="203"/>
        <v>0</v>
      </c>
      <c r="G284" s="9">
        <v>0</v>
      </c>
      <c r="H284" s="10">
        <v>0</v>
      </c>
      <c r="I284" s="6">
        <f t="shared" si="204"/>
        <v>0</v>
      </c>
      <c r="J284" s="4">
        <f t="shared" si="205"/>
        <v>0</v>
      </c>
      <c r="K284" s="4">
        <f t="shared" si="206"/>
        <v>0</v>
      </c>
      <c r="L284" s="33" t="e">
        <f t="shared" ref="L284:L285" si="209">+J284/E284</f>
        <v>#DIV/0!</v>
      </c>
      <c r="M284" s="143">
        <v>4.0426000000000002</v>
      </c>
      <c r="N284" s="36">
        <f t="shared" si="208"/>
        <v>0</v>
      </c>
      <c r="O284" s="88">
        <f>M284*J284</f>
        <v>0</v>
      </c>
      <c r="P284" s="1013"/>
    </row>
    <row r="285" spans="2:16" x14ac:dyDescent="0.25">
      <c r="B285" s="1011"/>
      <c r="C285" s="35"/>
      <c r="D285" s="119" t="s">
        <v>110</v>
      </c>
      <c r="E285" s="99">
        <v>0</v>
      </c>
      <c r="F285" s="9">
        <f t="shared" si="203"/>
        <v>0</v>
      </c>
      <c r="G285" s="9">
        <v>0</v>
      </c>
      <c r="H285" s="10">
        <v>0</v>
      </c>
      <c r="I285" s="6">
        <f t="shared" si="204"/>
        <v>0</v>
      </c>
      <c r="J285" s="4">
        <f t="shared" si="205"/>
        <v>0</v>
      </c>
      <c r="K285" s="4">
        <f t="shared" si="206"/>
        <v>0</v>
      </c>
      <c r="L285" s="33" t="e">
        <f t="shared" si="209"/>
        <v>#DIV/0!</v>
      </c>
      <c r="M285" s="143">
        <v>3.8715000000000002</v>
      </c>
      <c r="N285" s="36">
        <f t="shared" si="208"/>
        <v>0</v>
      </c>
      <c r="O285" s="88">
        <f t="shared" ref="O285:O286" si="210">M285*J285</f>
        <v>0</v>
      </c>
      <c r="P285" s="1013"/>
    </row>
    <row r="286" spans="2:16" ht="15.75" thickBot="1" x14ac:dyDescent="0.3">
      <c r="B286" s="1011"/>
      <c r="C286" s="82"/>
      <c r="D286" s="120" t="s">
        <v>57</v>
      </c>
      <c r="E286" s="108">
        <v>0</v>
      </c>
      <c r="F286" s="12">
        <f t="shared" si="203"/>
        <v>0</v>
      </c>
      <c r="G286" s="12">
        <v>0</v>
      </c>
      <c r="H286" s="13">
        <v>0</v>
      </c>
      <c r="I286" s="21">
        <f t="shared" si="204"/>
        <v>0</v>
      </c>
      <c r="J286" s="4">
        <f t="shared" si="205"/>
        <v>0</v>
      </c>
      <c r="K286" s="4">
        <f t="shared" si="206"/>
        <v>0</v>
      </c>
      <c r="L286" s="81"/>
      <c r="M286" s="127">
        <v>12.284700000000001</v>
      </c>
      <c r="N286" s="36">
        <f t="shared" si="208"/>
        <v>0</v>
      </c>
      <c r="O286" s="128">
        <f t="shared" si="210"/>
        <v>0</v>
      </c>
      <c r="P286" s="1013"/>
    </row>
    <row r="287" spans="2:16" ht="15.75" thickBot="1" x14ac:dyDescent="0.3">
      <c r="B287" s="1011"/>
      <c r="C287" s="1016" t="s">
        <v>104</v>
      </c>
      <c r="D287" s="1017"/>
      <c r="E287" s="129"/>
      <c r="F287" s="130">
        <f>SUM(F280:F286)</f>
        <v>217370</v>
      </c>
      <c r="G287" s="130">
        <f>SUM(G280:G286)</f>
        <v>214780</v>
      </c>
      <c r="H287" s="131">
        <f>SUM(H280:H286)</f>
        <v>2590</v>
      </c>
      <c r="I287" s="132">
        <f>+J287+K287</f>
        <v>1088145</v>
      </c>
      <c r="J287" s="133">
        <f>SUM(J280:J286)</f>
        <v>1078370</v>
      </c>
      <c r="K287" s="133">
        <f>SUM(K280:K286)</f>
        <v>9775</v>
      </c>
      <c r="L287" s="134"/>
      <c r="M287" s="135"/>
      <c r="N287" s="136"/>
      <c r="O287" s="137">
        <f>SUM(O280:O286)</f>
        <v>2409843.4239999996</v>
      </c>
      <c r="P287" s="1014"/>
    </row>
    <row r="288" spans="2:16" x14ac:dyDescent="0.25">
      <c r="B288" s="1011"/>
      <c r="C288" s="32"/>
      <c r="D288" s="118" t="s">
        <v>58</v>
      </c>
      <c r="E288" s="98">
        <v>0</v>
      </c>
      <c r="F288" s="4">
        <f t="shared" ref="F288:F291" si="211">+G288+H288</f>
        <v>0</v>
      </c>
      <c r="G288" s="4">
        <v>0</v>
      </c>
      <c r="H288" s="8">
        <v>0</v>
      </c>
      <c r="I288" s="6">
        <f t="shared" ref="I288:I292" si="212">J288+K288</f>
        <v>0</v>
      </c>
      <c r="J288" s="4">
        <f>G288+J223</f>
        <v>0</v>
      </c>
      <c r="K288" s="4">
        <f>H288+K223</f>
        <v>0</v>
      </c>
      <c r="L288" s="33" t="e">
        <f t="shared" ref="L288" si="213">+J288/E288</f>
        <v>#DIV/0!</v>
      </c>
      <c r="M288" s="105">
        <v>12.029500000000001</v>
      </c>
      <c r="N288" s="34">
        <f>M288*G288</f>
        <v>0</v>
      </c>
      <c r="O288" s="87">
        <f t="shared" ref="O288:O290" si="214">M288*J288</f>
        <v>0</v>
      </c>
      <c r="P288" s="1013"/>
    </row>
    <row r="289" spans="2:16" x14ac:dyDescent="0.25">
      <c r="B289" s="1011"/>
      <c r="C289" s="35"/>
      <c r="D289" s="119" t="s">
        <v>59</v>
      </c>
      <c r="E289" s="99">
        <v>0</v>
      </c>
      <c r="F289" s="9">
        <f t="shared" si="211"/>
        <v>0</v>
      </c>
      <c r="G289" s="9">
        <v>0</v>
      </c>
      <c r="H289" s="10">
        <v>0</v>
      </c>
      <c r="I289" s="6">
        <f t="shared" si="212"/>
        <v>0</v>
      </c>
      <c r="J289" s="4">
        <f>G289+J224</f>
        <v>0</v>
      </c>
      <c r="K289" s="4">
        <f>H289+K224</f>
        <v>0</v>
      </c>
      <c r="L289" s="33"/>
      <c r="M289" s="106">
        <v>0</v>
      </c>
      <c r="N289" s="36"/>
      <c r="O289" s="88">
        <f t="shared" si="214"/>
        <v>0</v>
      </c>
      <c r="P289" s="1013"/>
    </row>
    <row r="290" spans="2:16" x14ac:dyDescent="0.25">
      <c r="B290" s="1011"/>
      <c r="C290" s="35"/>
      <c r="D290" s="119" t="s">
        <v>97</v>
      </c>
      <c r="E290" s="99">
        <v>0</v>
      </c>
      <c r="F290" s="9">
        <f t="shared" si="211"/>
        <v>0</v>
      </c>
      <c r="G290" s="9">
        <v>0</v>
      </c>
      <c r="H290" s="10">
        <v>0</v>
      </c>
      <c r="I290" s="6">
        <f t="shared" si="212"/>
        <v>0</v>
      </c>
      <c r="J290" s="4">
        <f t="shared" ref="J290:J292" si="215">G290+J225</f>
        <v>0</v>
      </c>
      <c r="K290" s="4">
        <f t="shared" ref="K290:K292" si="216">H290+K225</f>
        <v>0</v>
      </c>
      <c r="L290" s="33" t="e">
        <f t="shared" ref="L290:L292" si="217">+J290/E290</f>
        <v>#DIV/0!</v>
      </c>
      <c r="M290" s="106">
        <v>19.688600000000001</v>
      </c>
      <c r="N290" s="36">
        <f>M290*G290</f>
        <v>0</v>
      </c>
      <c r="O290" s="88">
        <f t="shared" si="214"/>
        <v>0</v>
      </c>
      <c r="P290" s="1013"/>
    </row>
    <row r="291" spans="2:16" x14ac:dyDescent="0.25">
      <c r="B291" s="1011"/>
      <c r="C291" s="35"/>
      <c r="D291" s="119" t="s">
        <v>61</v>
      </c>
      <c r="E291" s="99">
        <v>0</v>
      </c>
      <c r="F291" s="9">
        <f t="shared" si="211"/>
        <v>0</v>
      </c>
      <c r="G291" s="9">
        <v>0</v>
      </c>
      <c r="H291" s="10">
        <v>0</v>
      </c>
      <c r="I291" s="6">
        <f t="shared" si="212"/>
        <v>0</v>
      </c>
      <c r="J291" s="4">
        <f t="shared" si="215"/>
        <v>0</v>
      </c>
      <c r="K291" s="4">
        <f t="shared" si="216"/>
        <v>0</v>
      </c>
      <c r="L291" s="33" t="e">
        <f t="shared" si="217"/>
        <v>#DIV/0!</v>
      </c>
      <c r="M291" s="106">
        <v>1.2824</v>
      </c>
      <c r="N291" s="151">
        <f>M291*G291</f>
        <v>0</v>
      </c>
      <c r="O291" s="88">
        <f>M291*J291</f>
        <v>0</v>
      </c>
      <c r="P291" s="1013"/>
    </row>
    <row r="292" spans="2:16" ht="15.75" thickBot="1" x14ac:dyDescent="0.3">
      <c r="B292" s="1011"/>
      <c r="C292" s="82"/>
      <c r="D292" s="120" t="s">
        <v>60</v>
      </c>
      <c r="E292" s="108">
        <v>0</v>
      </c>
      <c r="F292" s="12">
        <v>0</v>
      </c>
      <c r="G292" s="12">
        <v>0</v>
      </c>
      <c r="H292" s="13">
        <v>0</v>
      </c>
      <c r="I292" s="21">
        <f t="shared" si="212"/>
        <v>0</v>
      </c>
      <c r="J292" s="4">
        <f t="shared" si="215"/>
        <v>0</v>
      </c>
      <c r="K292" s="4">
        <f t="shared" si="216"/>
        <v>0</v>
      </c>
      <c r="L292" s="81" t="e">
        <f t="shared" si="217"/>
        <v>#DIV/0!</v>
      </c>
      <c r="M292" s="107">
        <v>18.2316</v>
      </c>
      <c r="N292" s="75"/>
      <c r="O292" s="89">
        <f t="shared" ref="O292" si="218">M292*J292</f>
        <v>0</v>
      </c>
      <c r="P292" s="1015"/>
    </row>
    <row r="293" spans="2:16" ht="15.75" thickBot="1" x14ac:dyDescent="0.3">
      <c r="B293" s="995" t="s">
        <v>105</v>
      </c>
      <c r="C293" s="996"/>
      <c r="D293" s="996"/>
      <c r="E293" s="124"/>
      <c r="F293" s="125">
        <f>+G293+H293</f>
        <v>0</v>
      </c>
      <c r="G293" s="125">
        <f>SUM(G288:G292)</f>
        <v>0</v>
      </c>
      <c r="H293" s="126">
        <f>SUM(H288:H292)</f>
        <v>0</v>
      </c>
      <c r="I293" s="121">
        <f>J293+K293</f>
        <v>0</v>
      </c>
      <c r="J293" s="122">
        <f>SUM(J288:J292)</f>
        <v>0</v>
      </c>
      <c r="K293" s="123">
        <f>SUM(K288:K292)</f>
        <v>0</v>
      </c>
      <c r="L293" s="138"/>
      <c r="M293" s="139"/>
      <c r="N293" s="140"/>
      <c r="O293" s="141">
        <f>SUM(O288:O292)</f>
        <v>0</v>
      </c>
      <c r="P293" s="177"/>
    </row>
    <row r="294" spans="2:16" ht="15.75" thickBot="1" x14ac:dyDescent="0.3">
      <c r="B294" s="995" t="s">
        <v>98</v>
      </c>
      <c r="C294" s="996"/>
      <c r="D294" s="996"/>
      <c r="E294" s="1018"/>
      <c r="F294" s="1018"/>
      <c r="G294" s="1018"/>
      <c r="H294" s="1018"/>
      <c r="I294" s="996"/>
      <c r="J294" s="996"/>
      <c r="K294" s="996"/>
      <c r="L294" s="996"/>
      <c r="M294" s="996"/>
      <c r="N294" s="1019"/>
      <c r="O294" s="83">
        <f>O287+O293</f>
        <v>2409843.4239999996</v>
      </c>
      <c r="P294" s="177"/>
    </row>
    <row r="295" spans="2:16" x14ac:dyDescent="0.25">
      <c r="B295" s="1010" t="s">
        <v>62</v>
      </c>
      <c r="C295" s="37" t="s">
        <v>63</v>
      </c>
      <c r="D295" s="28" t="s">
        <v>64</v>
      </c>
      <c r="E295" s="38">
        <v>0</v>
      </c>
      <c r="F295" s="14">
        <f>+G295+H295</f>
        <v>0</v>
      </c>
      <c r="G295" s="14">
        <v>0</v>
      </c>
      <c r="H295" s="5">
        <v>0</v>
      </c>
      <c r="I295" s="17">
        <f t="shared" ref="I295:I301" si="219">J295+K295</f>
        <v>0</v>
      </c>
      <c r="J295" s="4">
        <f>G295+J230</f>
        <v>0</v>
      </c>
      <c r="K295" s="4">
        <f>H295+K230</f>
        <v>0</v>
      </c>
      <c r="L295" s="30" t="e">
        <f>+J295/E295</f>
        <v>#DIV/0!</v>
      </c>
      <c r="M295" s="146">
        <v>2.2141000000000002</v>
      </c>
      <c r="N295" s="15">
        <f>+M295*G295</f>
        <v>0</v>
      </c>
      <c r="O295" s="90">
        <f>+M295*J295</f>
        <v>0</v>
      </c>
      <c r="P295" s="1021"/>
    </row>
    <row r="296" spans="2:16" x14ac:dyDescent="0.25">
      <c r="B296" s="1011"/>
      <c r="C296" s="39"/>
      <c r="D296" s="22" t="s">
        <v>65</v>
      </c>
      <c r="E296" s="3">
        <v>0</v>
      </c>
      <c r="F296" s="9">
        <f t="shared" ref="F296:F301" si="220">+G296+H296</f>
        <v>0</v>
      </c>
      <c r="G296" s="4">
        <v>0</v>
      </c>
      <c r="H296" s="8">
        <v>0</v>
      </c>
      <c r="I296" s="6">
        <f t="shared" si="219"/>
        <v>0</v>
      </c>
      <c r="J296" s="4">
        <f>+G296+J231</f>
        <v>0</v>
      </c>
      <c r="K296" s="4">
        <f>+H296+K231</f>
        <v>0</v>
      </c>
      <c r="L296" s="40" t="e">
        <f t="shared" ref="L296:L297" si="221">+J296/E296</f>
        <v>#DIV/0!</v>
      </c>
      <c r="M296" s="145">
        <v>2.4565999999999999</v>
      </c>
      <c r="N296" s="11">
        <f t="shared" ref="N296:N298" si="222">+M296*G296</f>
        <v>0</v>
      </c>
      <c r="O296" s="91">
        <f t="shared" ref="O296:O298" si="223">+M296*J296</f>
        <v>0</v>
      </c>
      <c r="P296" s="1022"/>
    </row>
    <row r="297" spans="2:16" x14ac:dyDescent="0.25">
      <c r="B297" s="1011"/>
      <c r="C297" s="39"/>
      <c r="D297" s="23" t="s">
        <v>126</v>
      </c>
      <c r="E297" s="3">
        <v>0</v>
      </c>
      <c r="F297" s="9">
        <f t="shared" si="220"/>
        <v>0</v>
      </c>
      <c r="G297" s="4">
        <v>0</v>
      </c>
      <c r="H297" s="8">
        <v>0</v>
      </c>
      <c r="I297" s="6">
        <f t="shared" si="219"/>
        <v>0</v>
      </c>
      <c r="J297" s="4">
        <f t="shared" ref="J297:J301" si="224">+G297+J232</f>
        <v>0</v>
      </c>
      <c r="K297" s="4">
        <f t="shared" ref="K297:K301" si="225">+H297+K232</f>
        <v>0</v>
      </c>
      <c r="L297" s="40" t="e">
        <f t="shared" si="221"/>
        <v>#DIV/0!</v>
      </c>
      <c r="M297" s="145">
        <v>2.2907000000000002</v>
      </c>
      <c r="N297" s="11">
        <f t="shared" si="222"/>
        <v>0</v>
      </c>
      <c r="O297" s="91">
        <f t="shared" si="223"/>
        <v>0</v>
      </c>
      <c r="P297" s="1022"/>
    </row>
    <row r="298" spans="2:16" x14ac:dyDescent="0.25">
      <c r="B298" s="1011"/>
      <c r="C298" s="39"/>
      <c r="D298" s="22" t="s">
        <v>131</v>
      </c>
      <c r="E298" s="3"/>
      <c r="F298" s="9">
        <f t="shared" si="220"/>
        <v>0</v>
      </c>
      <c r="G298" s="4">
        <v>0</v>
      </c>
      <c r="H298" s="8">
        <v>0</v>
      </c>
      <c r="I298" s="6">
        <f t="shared" si="219"/>
        <v>0</v>
      </c>
      <c r="J298" s="4">
        <f t="shared" si="224"/>
        <v>0</v>
      </c>
      <c r="K298" s="4">
        <f t="shared" si="225"/>
        <v>0</v>
      </c>
      <c r="L298" s="33"/>
      <c r="M298" s="150">
        <v>2.544</v>
      </c>
      <c r="N298" s="11">
        <f t="shared" si="222"/>
        <v>0</v>
      </c>
      <c r="O298" s="91">
        <f t="shared" si="223"/>
        <v>0</v>
      </c>
      <c r="P298" s="1022"/>
    </row>
    <row r="299" spans="2:16" x14ac:dyDescent="0.25">
      <c r="B299" s="1011"/>
      <c r="C299" s="39" t="s">
        <v>66</v>
      </c>
      <c r="D299" s="22" t="s">
        <v>133</v>
      </c>
      <c r="E299" s="3">
        <v>0</v>
      </c>
      <c r="F299" s="9">
        <f t="shared" si="220"/>
        <v>78150</v>
      </c>
      <c r="G299" s="4">
        <v>76500</v>
      </c>
      <c r="H299" s="8">
        <v>1650</v>
      </c>
      <c r="I299" s="6">
        <f t="shared" si="219"/>
        <v>172032</v>
      </c>
      <c r="J299" s="4">
        <f t="shared" si="224"/>
        <v>167250</v>
      </c>
      <c r="K299" s="4">
        <f t="shared" si="225"/>
        <v>4782</v>
      </c>
      <c r="L299" s="33" t="e">
        <f>+J299/E299</f>
        <v>#DIV/0!</v>
      </c>
      <c r="M299" s="144">
        <v>2.2141000000000002</v>
      </c>
      <c r="N299" s="7">
        <f>+M299*G299</f>
        <v>169378.65000000002</v>
      </c>
      <c r="O299" s="85">
        <f>+M299*J299</f>
        <v>370308.22500000003</v>
      </c>
      <c r="P299" s="1022"/>
    </row>
    <row r="300" spans="2:16" x14ac:dyDescent="0.25">
      <c r="B300" s="1011"/>
      <c r="C300" s="39"/>
      <c r="D300" s="22" t="s">
        <v>65</v>
      </c>
      <c r="E300" s="3">
        <v>0</v>
      </c>
      <c r="F300" s="9">
        <f t="shared" si="220"/>
        <v>0</v>
      </c>
      <c r="G300" s="4">
        <v>0</v>
      </c>
      <c r="H300" s="8">
        <v>0</v>
      </c>
      <c r="I300" s="6">
        <f t="shared" si="219"/>
        <v>0</v>
      </c>
      <c r="J300" s="4">
        <f t="shared" si="224"/>
        <v>0</v>
      </c>
      <c r="K300" s="4">
        <f t="shared" si="225"/>
        <v>0</v>
      </c>
      <c r="L300" s="40" t="e">
        <f t="shared" ref="L300:L301" si="226">+J300/E300</f>
        <v>#DIV/0!</v>
      </c>
      <c r="M300" s="145">
        <v>2.4565999999999999</v>
      </c>
      <c r="N300" s="11">
        <f t="shared" ref="N300:N301" si="227">+M300*G300</f>
        <v>0</v>
      </c>
      <c r="O300" s="91">
        <f t="shared" ref="O300" si="228">+M300*J300</f>
        <v>0</v>
      </c>
      <c r="P300" s="1022"/>
    </row>
    <row r="301" spans="2:16" ht="15.75" thickBot="1" x14ac:dyDescent="0.3">
      <c r="B301" s="1011"/>
      <c r="C301" s="39"/>
      <c r="D301" s="22" t="s">
        <v>126</v>
      </c>
      <c r="E301" s="3">
        <v>0</v>
      </c>
      <c r="F301" s="9">
        <f t="shared" si="220"/>
        <v>0</v>
      </c>
      <c r="G301" s="4">
        <v>0</v>
      </c>
      <c r="H301" s="8">
        <v>0</v>
      </c>
      <c r="I301" s="6">
        <f t="shared" si="219"/>
        <v>0</v>
      </c>
      <c r="J301" s="4">
        <f t="shared" si="224"/>
        <v>0</v>
      </c>
      <c r="K301" s="4">
        <f t="shared" si="225"/>
        <v>0</v>
      </c>
      <c r="L301" s="40" t="e">
        <f t="shared" si="226"/>
        <v>#DIV/0!</v>
      </c>
      <c r="M301" s="145">
        <v>2.2907000000000002</v>
      </c>
      <c r="N301" s="11">
        <f t="shared" si="227"/>
        <v>0</v>
      </c>
      <c r="O301" s="154">
        <f>+M301*J301</f>
        <v>0</v>
      </c>
      <c r="P301" s="1023"/>
    </row>
    <row r="302" spans="2:16" ht="15.75" thickBot="1" x14ac:dyDescent="0.3">
      <c r="B302" s="1011"/>
      <c r="C302" s="41" t="s">
        <v>29</v>
      </c>
      <c r="D302" s="27" t="str">
        <f>+C302</f>
        <v>TOTAL 1/2</v>
      </c>
      <c r="E302" s="42">
        <f>SUM(E295:E301)</f>
        <v>0</v>
      </c>
      <c r="F302" s="43">
        <f>SUM(F295:F301)</f>
        <v>78150</v>
      </c>
      <c r="G302" s="43">
        <f>SUM(G295:G301)</f>
        <v>76500</v>
      </c>
      <c r="H302" s="44">
        <f>SUM(H295:H301)</f>
        <v>1650</v>
      </c>
      <c r="I302" s="45">
        <f>SUM(I299:I301)</f>
        <v>172032</v>
      </c>
      <c r="J302" s="43">
        <f>SUM(J295:J301)</f>
        <v>167250</v>
      </c>
      <c r="K302" s="43">
        <f>SUM(K295:K301)</f>
        <v>4782</v>
      </c>
      <c r="L302" s="46" t="e">
        <f>+J302/E302</f>
        <v>#DIV/0!</v>
      </c>
      <c r="M302" s="47"/>
      <c r="N302" s="48">
        <f>SUM(N299:N301)</f>
        <v>169378.65000000002</v>
      </c>
      <c r="O302" s="49">
        <f>SUM(O295:O301)</f>
        <v>370308.22500000003</v>
      </c>
      <c r="P302" s="178"/>
    </row>
    <row r="303" spans="2:16" x14ac:dyDescent="0.25">
      <c r="B303" s="1011"/>
      <c r="C303" s="1024" t="s">
        <v>67</v>
      </c>
      <c r="D303" s="22" t="s">
        <v>64</v>
      </c>
      <c r="E303" s="3">
        <v>0</v>
      </c>
      <c r="F303" s="4">
        <f>G303+H303</f>
        <v>0</v>
      </c>
      <c r="G303" s="4">
        <v>0</v>
      </c>
      <c r="H303" s="8">
        <v>0</v>
      </c>
      <c r="I303" s="16">
        <f>J303+K303</f>
        <v>109220</v>
      </c>
      <c r="J303" s="4">
        <f>G303+J238</f>
        <v>105750</v>
      </c>
      <c r="K303" s="4">
        <f>H303+K238</f>
        <v>3470</v>
      </c>
      <c r="L303" s="50" t="e">
        <f>+J303/E303</f>
        <v>#DIV/0!</v>
      </c>
      <c r="M303" s="144">
        <v>4.1712999999999996</v>
      </c>
      <c r="N303" s="7">
        <f>+M303*G303</f>
        <v>0</v>
      </c>
      <c r="O303" s="93">
        <f>+M303*J303</f>
        <v>441114.97499999998</v>
      </c>
      <c r="P303" s="1021"/>
    </row>
    <row r="304" spans="2:16" x14ac:dyDescent="0.25">
      <c r="B304" s="1011"/>
      <c r="C304" s="1025"/>
      <c r="D304" s="22" t="s">
        <v>65</v>
      </c>
      <c r="E304" s="3">
        <v>0</v>
      </c>
      <c r="F304" s="4">
        <f>G304+H304</f>
        <v>0</v>
      </c>
      <c r="G304" s="4">
        <v>0</v>
      </c>
      <c r="H304" s="8">
        <v>0</v>
      </c>
      <c r="I304" s="6">
        <f>+R1348+F304</f>
        <v>0</v>
      </c>
      <c r="J304" s="4">
        <f>G304+J239</f>
        <v>120000</v>
      </c>
      <c r="K304" s="4">
        <f>H304+K239</f>
        <v>3230</v>
      </c>
      <c r="L304" s="51" t="e">
        <f t="shared" ref="L304:L308" si="229">+J304/E304</f>
        <v>#DIV/0!</v>
      </c>
      <c r="M304" s="145">
        <v>4.8285999999999998</v>
      </c>
      <c r="N304" s="11">
        <f t="shared" ref="N304:N306" si="230">+M304*G304</f>
        <v>0</v>
      </c>
      <c r="O304" s="94">
        <f t="shared" ref="O304:O306" si="231">+M304*J304</f>
        <v>579432</v>
      </c>
      <c r="P304" s="1022"/>
    </row>
    <row r="305" spans="2:16" x14ac:dyDescent="0.25">
      <c r="B305" s="1011"/>
      <c r="C305" s="1025"/>
      <c r="D305" s="22" t="s">
        <v>127</v>
      </c>
      <c r="E305" s="3"/>
      <c r="F305" s="4">
        <f>G305+H305</f>
        <v>0</v>
      </c>
      <c r="G305" s="4">
        <v>0</v>
      </c>
      <c r="H305" s="8">
        <v>0</v>
      </c>
      <c r="I305" s="6">
        <f>+R1349+F305</f>
        <v>0</v>
      </c>
      <c r="J305" s="4">
        <f t="shared" ref="J305:J306" si="232">G305+J240</f>
        <v>0</v>
      </c>
      <c r="K305" s="4">
        <f t="shared" ref="K305:K306" si="233">H305+K240</f>
        <v>0</v>
      </c>
      <c r="L305" s="51" t="e">
        <f t="shared" si="229"/>
        <v>#DIV/0!</v>
      </c>
      <c r="M305" s="144">
        <v>4.5023</v>
      </c>
      <c r="N305" s="11">
        <f t="shared" si="230"/>
        <v>0</v>
      </c>
      <c r="O305" s="94">
        <f t="shared" si="231"/>
        <v>0</v>
      </c>
      <c r="P305" s="1022"/>
    </row>
    <row r="306" spans="2:16" ht="15.75" thickBot="1" x14ac:dyDescent="0.3">
      <c r="B306" s="1011"/>
      <c r="C306" s="1025"/>
      <c r="D306" s="22" t="s">
        <v>111</v>
      </c>
      <c r="E306" s="3">
        <v>0</v>
      </c>
      <c r="F306" s="4">
        <f t="shared" ref="F306" si="234">G306+H306</f>
        <v>0</v>
      </c>
      <c r="G306" s="4">
        <v>0</v>
      </c>
      <c r="H306" s="8">
        <v>0</v>
      </c>
      <c r="I306" s="6">
        <f>+R1349+F306</f>
        <v>0</v>
      </c>
      <c r="J306" s="4">
        <f t="shared" si="232"/>
        <v>0</v>
      </c>
      <c r="K306" s="4">
        <f t="shared" si="233"/>
        <v>0</v>
      </c>
      <c r="L306" s="51" t="e">
        <f t="shared" si="229"/>
        <v>#DIV/0!</v>
      </c>
      <c r="M306" s="144">
        <v>4.4065000000000003</v>
      </c>
      <c r="N306" s="11">
        <f t="shared" si="230"/>
        <v>0</v>
      </c>
      <c r="O306" s="94">
        <f t="shared" si="231"/>
        <v>0</v>
      </c>
      <c r="P306" s="1022"/>
    </row>
    <row r="307" spans="2:16" ht="15.75" thickBot="1" x14ac:dyDescent="0.3">
      <c r="B307" s="1011"/>
      <c r="C307" s="41" t="s">
        <v>31</v>
      </c>
      <c r="D307" s="18" t="str">
        <f>+C307</f>
        <v>TOTAL 4/4</v>
      </c>
      <c r="E307" s="42">
        <f t="shared" ref="E307:K307" si="235">SUM(E303:E306)</f>
        <v>0</v>
      </c>
      <c r="F307" s="43">
        <f t="shared" si="235"/>
        <v>0</v>
      </c>
      <c r="G307" s="43">
        <f t="shared" si="235"/>
        <v>0</v>
      </c>
      <c r="H307" s="44">
        <f t="shared" si="235"/>
        <v>0</v>
      </c>
      <c r="I307" s="45">
        <f t="shared" si="235"/>
        <v>109220</v>
      </c>
      <c r="J307" s="43">
        <f t="shared" si="235"/>
        <v>225750</v>
      </c>
      <c r="K307" s="43">
        <f t="shared" si="235"/>
        <v>6700</v>
      </c>
      <c r="L307" s="46" t="e">
        <f t="shared" si="229"/>
        <v>#DIV/0!</v>
      </c>
      <c r="M307" s="47"/>
      <c r="N307" s="48">
        <f>SUM(N303:N306)</f>
        <v>0</v>
      </c>
      <c r="O307" s="92">
        <f>SUM(O303:O306)</f>
        <v>1020546.975</v>
      </c>
      <c r="P307" s="1023"/>
    </row>
    <row r="308" spans="2:16" ht="15.75" thickBot="1" x14ac:dyDescent="0.3">
      <c r="B308" s="1020"/>
      <c r="C308" s="41" t="s">
        <v>68</v>
      </c>
      <c r="D308" s="27" t="s">
        <v>64</v>
      </c>
      <c r="E308" s="25">
        <v>0</v>
      </c>
      <c r="F308" s="20">
        <f>G308+H308</f>
        <v>0</v>
      </c>
      <c r="G308" s="20">
        <v>0</v>
      </c>
      <c r="H308" s="24">
        <v>0</v>
      </c>
      <c r="I308" s="19">
        <f>J308+K308</f>
        <v>0</v>
      </c>
      <c r="J308" s="4">
        <f>G308+J243</f>
        <v>0</v>
      </c>
      <c r="K308" s="4">
        <f>H308+K243</f>
        <v>0</v>
      </c>
      <c r="L308" s="52" t="e">
        <f t="shared" si="229"/>
        <v>#DIV/0!</v>
      </c>
      <c r="M308" s="149">
        <v>1.4086000000000001</v>
      </c>
      <c r="N308" s="26">
        <f t="shared" ref="N308" si="236">+M308*G308</f>
        <v>0</v>
      </c>
      <c r="O308" s="95">
        <f t="shared" ref="O308" si="237">+M308*J308</f>
        <v>0</v>
      </c>
      <c r="P308" s="53"/>
    </row>
    <row r="309" spans="2:16" ht="15.75" thickBot="1" x14ac:dyDescent="0.3">
      <c r="B309" s="995" t="s">
        <v>95</v>
      </c>
      <c r="C309" s="996"/>
      <c r="D309" s="996"/>
      <c r="E309" s="996"/>
      <c r="F309" s="996"/>
      <c r="G309" s="996"/>
      <c r="H309" s="996"/>
      <c r="I309" s="110">
        <f>J309+K309</f>
        <v>404482</v>
      </c>
      <c r="J309" s="110">
        <f>J302+J307+J308</f>
        <v>393000</v>
      </c>
      <c r="K309" s="110">
        <f>K302+K307+K308</f>
        <v>11482</v>
      </c>
      <c r="L309" s="111"/>
      <c r="M309" s="112"/>
      <c r="N309" s="109"/>
      <c r="O309" s="77">
        <f>+O308+O307+O302</f>
        <v>1390855.2</v>
      </c>
      <c r="P309" s="84"/>
    </row>
    <row r="310" spans="2:16" x14ac:dyDescent="0.25">
      <c r="B310" s="997" t="s">
        <v>69</v>
      </c>
      <c r="C310" s="1000" t="s">
        <v>70</v>
      </c>
      <c r="D310" s="54" t="s">
        <v>71</v>
      </c>
      <c r="E310" s="55">
        <v>0</v>
      </c>
      <c r="F310" s="56">
        <f>G310+H310</f>
        <v>0</v>
      </c>
      <c r="G310" s="56">
        <v>0</v>
      </c>
      <c r="H310" s="57">
        <v>0</v>
      </c>
      <c r="I310" s="78">
        <f>J310+K310</f>
        <v>0</v>
      </c>
      <c r="J310" s="4">
        <f>G310+J245</f>
        <v>0</v>
      </c>
      <c r="K310" s="4">
        <f>H310+K245</f>
        <v>0</v>
      </c>
      <c r="L310" s="58" t="e">
        <f t="shared" ref="L310" si="238">+J310/E310</f>
        <v>#DIV/0!</v>
      </c>
      <c r="M310" s="59">
        <v>32.946300000000001</v>
      </c>
      <c r="N310" s="60">
        <f>+M310*G310</f>
        <v>0</v>
      </c>
      <c r="O310" s="60">
        <f>M310*J310</f>
        <v>0</v>
      </c>
      <c r="P310" s="1002"/>
    </row>
    <row r="311" spans="2:16" x14ac:dyDescent="0.25">
      <c r="B311" s="998"/>
      <c r="C311" s="1001"/>
      <c r="D311" s="61" t="s">
        <v>72</v>
      </c>
      <c r="E311" s="62">
        <v>0</v>
      </c>
      <c r="F311" s="63">
        <f>G311+H311</f>
        <v>5070</v>
      </c>
      <c r="G311" s="63">
        <v>5000</v>
      </c>
      <c r="H311" s="64">
        <v>70</v>
      </c>
      <c r="I311" s="79">
        <f>J311+K311</f>
        <v>10150</v>
      </c>
      <c r="J311" s="4">
        <f>G311+J246</f>
        <v>10000</v>
      </c>
      <c r="K311" s="4">
        <f>H311+K246</f>
        <v>150</v>
      </c>
      <c r="L311" s="65" t="e">
        <f>+J311/E311</f>
        <v>#DIV/0!</v>
      </c>
      <c r="M311" s="66">
        <v>35.398400000000002</v>
      </c>
      <c r="N311" s="67">
        <f>+M311*G311</f>
        <v>176992</v>
      </c>
      <c r="O311" s="67">
        <f>M311*J311</f>
        <v>353984</v>
      </c>
      <c r="P311" s="1003"/>
    </row>
    <row r="312" spans="2:16" x14ac:dyDescent="0.25">
      <c r="B312" s="998"/>
      <c r="C312" s="1001"/>
      <c r="D312" s="61" t="s">
        <v>73</v>
      </c>
      <c r="E312" s="62">
        <v>0</v>
      </c>
      <c r="F312" s="63">
        <f t="shared" ref="F312:F315" si="239">G312+H312</f>
        <v>0</v>
      </c>
      <c r="G312" s="63">
        <v>0</v>
      </c>
      <c r="H312" s="64">
        <v>0</v>
      </c>
      <c r="I312" s="79">
        <f t="shared" ref="I312:I321" si="240">J312+K312</f>
        <v>0</v>
      </c>
      <c r="J312" s="4">
        <f t="shared" ref="J312:J337" si="241">G312+J247</f>
        <v>0</v>
      </c>
      <c r="K312" s="4">
        <f t="shared" ref="K312:K316" si="242">H312+K247</f>
        <v>0</v>
      </c>
      <c r="L312" s="65" t="e">
        <f t="shared" ref="L312:L325" si="243">+J312/E312</f>
        <v>#DIV/0!</v>
      </c>
      <c r="M312" s="66">
        <v>32.946300000000001</v>
      </c>
      <c r="N312" s="67">
        <f t="shared" ref="N312:N332" si="244">+M312*G312</f>
        <v>0</v>
      </c>
      <c r="O312" s="67">
        <f t="shared" ref="O312:O320" si="245">M312*J312</f>
        <v>0</v>
      </c>
      <c r="P312" s="1003"/>
    </row>
    <row r="313" spans="2:16" x14ac:dyDescent="0.25">
      <c r="B313" s="998"/>
      <c r="C313" s="1001" t="s">
        <v>74</v>
      </c>
      <c r="D313" s="61" t="s">
        <v>75</v>
      </c>
      <c r="E313" s="62">
        <v>0</v>
      </c>
      <c r="F313" s="63">
        <f t="shared" si="239"/>
        <v>0</v>
      </c>
      <c r="G313" s="63">
        <v>0</v>
      </c>
      <c r="H313" s="64">
        <v>0</v>
      </c>
      <c r="I313" s="79">
        <f t="shared" si="240"/>
        <v>4976</v>
      </c>
      <c r="J313" s="4">
        <f t="shared" si="241"/>
        <v>4800</v>
      </c>
      <c r="K313" s="4">
        <f t="shared" si="242"/>
        <v>176</v>
      </c>
      <c r="L313" s="65" t="e">
        <f t="shared" si="243"/>
        <v>#DIV/0!</v>
      </c>
      <c r="M313" s="66">
        <v>55.4758</v>
      </c>
      <c r="N313" s="67">
        <f t="shared" si="244"/>
        <v>0</v>
      </c>
      <c r="O313" s="67">
        <f t="shared" si="245"/>
        <v>266283.84000000003</v>
      </c>
      <c r="P313" s="1003"/>
    </row>
    <row r="314" spans="2:16" x14ac:dyDescent="0.25">
      <c r="B314" s="998"/>
      <c r="C314" s="1001"/>
      <c r="D314" s="61" t="s">
        <v>134</v>
      </c>
      <c r="E314" s="62">
        <v>0</v>
      </c>
      <c r="F314" s="63">
        <f t="shared" si="239"/>
        <v>0</v>
      </c>
      <c r="G314" s="63">
        <v>0</v>
      </c>
      <c r="H314" s="64">
        <v>0</v>
      </c>
      <c r="I314" s="79">
        <f t="shared" si="240"/>
        <v>0</v>
      </c>
      <c r="J314" s="4">
        <f t="shared" si="241"/>
        <v>0</v>
      </c>
      <c r="K314" s="4">
        <f t="shared" si="242"/>
        <v>0</v>
      </c>
      <c r="L314" s="65" t="e">
        <f t="shared" si="243"/>
        <v>#DIV/0!</v>
      </c>
      <c r="M314" s="66">
        <v>53.515999999999998</v>
      </c>
      <c r="N314" s="67">
        <f t="shared" si="244"/>
        <v>0</v>
      </c>
      <c r="O314" s="67">
        <f t="shared" si="245"/>
        <v>0</v>
      </c>
      <c r="P314" s="1003"/>
    </row>
    <row r="315" spans="2:16" x14ac:dyDescent="0.25">
      <c r="B315" s="998"/>
      <c r="C315" s="1001"/>
      <c r="D315" s="61" t="s">
        <v>72</v>
      </c>
      <c r="E315" s="62">
        <v>0</v>
      </c>
      <c r="F315" s="63">
        <f t="shared" si="239"/>
        <v>2440</v>
      </c>
      <c r="G315" s="63">
        <v>2400</v>
      </c>
      <c r="H315" s="64">
        <v>40</v>
      </c>
      <c r="I315" s="79">
        <f t="shared" si="240"/>
        <v>2440</v>
      </c>
      <c r="J315" s="4">
        <f t="shared" si="241"/>
        <v>2400</v>
      </c>
      <c r="K315" s="4">
        <f t="shared" si="242"/>
        <v>40</v>
      </c>
      <c r="L315" s="65" t="e">
        <f t="shared" si="243"/>
        <v>#DIV/0!</v>
      </c>
      <c r="M315" s="66">
        <v>58.836300000000001</v>
      </c>
      <c r="N315" s="67">
        <f t="shared" si="244"/>
        <v>141207.12</v>
      </c>
      <c r="O315" s="67">
        <f t="shared" si="245"/>
        <v>141207.12</v>
      </c>
      <c r="P315" s="1003"/>
    </row>
    <row r="316" spans="2:16" x14ac:dyDescent="0.25">
      <c r="B316" s="998"/>
      <c r="C316" s="1005" t="s">
        <v>76</v>
      </c>
      <c r="D316" s="61" t="s">
        <v>77</v>
      </c>
      <c r="E316" s="62">
        <v>0</v>
      </c>
      <c r="F316" s="63">
        <f>G316+H316</f>
        <v>0</v>
      </c>
      <c r="G316" s="63">
        <v>0</v>
      </c>
      <c r="H316" s="64">
        <v>0</v>
      </c>
      <c r="I316" s="79">
        <f t="shared" si="240"/>
        <v>3675</v>
      </c>
      <c r="J316" s="4">
        <f t="shared" si="241"/>
        <v>3575</v>
      </c>
      <c r="K316" s="4">
        <f t="shared" si="242"/>
        <v>100</v>
      </c>
      <c r="L316" s="65" t="e">
        <f t="shared" si="243"/>
        <v>#DIV/0!</v>
      </c>
      <c r="M316" s="66">
        <v>25.687200000000001</v>
      </c>
      <c r="N316" s="67">
        <f t="shared" si="244"/>
        <v>0</v>
      </c>
      <c r="O316" s="67">
        <f t="shared" si="245"/>
        <v>91831.74</v>
      </c>
      <c r="P316" s="1003"/>
    </row>
    <row r="317" spans="2:16" x14ac:dyDescent="0.25">
      <c r="B317" s="998"/>
      <c r="C317" s="1006"/>
      <c r="D317" s="61" t="s">
        <v>117</v>
      </c>
      <c r="E317" s="62">
        <v>0</v>
      </c>
      <c r="F317" s="63">
        <f>G317+H317</f>
        <v>0</v>
      </c>
      <c r="G317" s="63">
        <v>0</v>
      </c>
      <c r="H317" s="64">
        <v>0</v>
      </c>
      <c r="I317" s="79">
        <f t="shared" si="240"/>
        <v>0</v>
      </c>
      <c r="J317" s="4">
        <f t="shared" si="241"/>
        <v>0</v>
      </c>
      <c r="K317" s="4">
        <f>H317+K252</f>
        <v>0</v>
      </c>
      <c r="L317" s="65" t="e">
        <f t="shared" si="243"/>
        <v>#DIV/0!</v>
      </c>
      <c r="M317" s="66">
        <v>25.033899999999999</v>
      </c>
      <c r="N317" s="67">
        <f t="shared" si="244"/>
        <v>0</v>
      </c>
      <c r="O317" s="67">
        <f t="shared" si="245"/>
        <v>0</v>
      </c>
      <c r="P317" s="1003"/>
    </row>
    <row r="318" spans="2:16" x14ac:dyDescent="0.25">
      <c r="B318" s="998"/>
      <c r="C318" s="1005" t="s">
        <v>78</v>
      </c>
      <c r="D318" s="61" t="s">
        <v>79</v>
      </c>
      <c r="E318" s="62">
        <v>0</v>
      </c>
      <c r="F318" s="63">
        <f t="shared" ref="F318:F337" si="246">G318+H318</f>
        <v>0</v>
      </c>
      <c r="G318" s="63">
        <v>0</v>
      </c>
      <c r="H318" s="64">
        <v>0</v>
      </c>
      <c r="I318" s="79">
        <f t="shared" si="240"/>
        <v>8113</v>
      </c>
      <c r="J318" s="4">
        <f t="shared" si="241"/>
        <v>8000</v>
      </c>
      <c r="K318" s="4">
        <f t="shared" ref="K318:K337" si="247">H318+K253</f>
        <v>113</v>
      </c>
      <c r="L318" s="65" t="e">
        <f t="shared" si="243"/>
        <v>#DIV/0!</v>
      </c>
      <c r="M318" s="66">
        <v>41.992699999999999</v>
      </c>
      <c r="N318" s="67">
        <f t="shared" si="244"/>
        <v>0</v>
      </c>
      <c r="O318" s="67">
        <f t="shared" si="245"/>
        <v>335941.6</v>
      </c>
      <c r="P318" s="1003"/>
    </row>
    <row r="319" spans="2:16" x14ac:dyDescent="0.25">
      <c r="B319" s="998"/>
      <c r="C319" s="1006"/>
      <c r="D319" s="61" t="s">
        <v>72</v>
      </c>
      <c r="E319" s="62">
        <v>0</v>
      </c>
      <c r="F319" s="63">
        <f t="shared" si="246"/>
        <v>0</v>
      </c>
      <c r="G319" s="63">
        <v>0</v>
      </c>
      <c r="H319" s="64">
        <v>0</v>
      </c>
      <c r="I319" s="79">
        <f t="shared" si="240"/>
        <v>0</v>
      </c>
      <c r="J319" s="4">
        <f t="shared" si="241"/>
        <v>0</v>
      </c>
      <c r="K319" s="4">
        <f t="shared" si="247"/>
        <v>0</v>
      </c>
      <c r="L319" s="65" t="e">
        <f t="shared" si="243"/>
        <v>#DIV/0!</v>
      </c>
      <c r="M319" s="66">
        <v>42.283799999999999</v>
      </c>
      <c r="N319" s="67">
        <f t="shared" si="244"/>
        <v>0</v>
      </c>
      <c r="O319" s="67">
        <f t="shared" si="245"/>
        <v>0</v>
      </c>
      <c r="P319" s="1003"/>
    </row>
    <row r="320" spans="2:16" x14ac:dyDescent="0.25">
      <c r="B320" s="998"/>
      <c r="C320" s="176" t="s">
        <v>80</v>
      </c>
      <c r="D320" s="61" t="s">
        <v>81</v>
      </c>
      <c r="E320" s="62">
        <v>0</v>
      </c>
      <c r="F320" s="63">
        <f t="shared" si="246"/>
        <v>10898</v>
      </c>
      <c r="G320" s="63">
        <v>10500</v>
      </c>
      <c r="H320" s="64">
        <v>398</v>
      </c>
      <c r="I320" s="79">
        <f t="shared" si="240"/>
        <v>10898</v>
      </c>
      <c r="J320" s="4">
        <f t="shared" si="241"/>
        <v>10500</v>
      </c>
      <c r="K320" s="4">
        <f t="shared" si="247"/>
        <v>398</v>
      </c>
      <c r="L320" s="65" t="e">
        <f t="shared" si="243"/>
        <v>#DIV/0!</v>
      </c>
      <c r="M320" s="66">
        <v>4.3535000000000004</v>
      </c>
      <c r="N320" s="67">
        <f t="shared" si="244"/>
        <v>45711.750000000007</v>
      </c>
      <c r="O320" s="67">
        <f t="shared" si="245"/>
        <v>45711.750000000007</v>
      </c>
      <c r="P320" s="1003"/>
    </row>
    <row r="321" spans="2:16" x14ac:dyDescent="0.25">
      <c r="B321" s="998"/>
      <c r="C321" s="1001" t="s">
        <v>82</v>
      </c>
      <c r="D321" s="61" t="s">
        <v>77</v>
      </c>
      <c r="E321" s="62">
        <v>0</v>
      </c>
      <c r="F321" s="63">
        <f t="shared" si="246"/>
        <v>0</v>
      </c>
      <c r="G321" s="63">
        <v>0</v>
      </c>
      <c r="H321" s="64">
        <v>0</v>
      </c>
      <c r="I321" s="79">
        <f t="shared" si="240"/>
        <v>0</v>
      </c>
      <c r="J321" s="4">
        <f t="shared" si="241"/>
        <v>0</v>
      </c>
      <c r="K321" s="4">
        <f t="shared" si="247"/>
        <v>0</v>
      </c>
      <c r="L321" s="65" t="e">
        <f t="shared" si="243"/>
        <v>#DIV/0!</v>
      </c>
      <c r="M321" s="66">
        <v>4.6184000000000003</v>
      </c>
      <c r="N321" s="67">
        <f t="shared" si="244"/>
        <v>0</v>
      </c>
      <c r="O321" s="67">
        <f>M321*J321</f>
        <v>0</v>
      </c>
      <c r="P321" s="1003"/>
    </row>
    <row r="322" spans="2:16" x14ac:dyDescent="0.25">
      <c r="B322" s="998"/>
      <c r="C322" s="1001"/>
      <c r="D322" s="61" t="s">
        <v>119</v>
      </c>
      <c r="E322" s="62">
        <v>0</v>
      </c>
      <c r="F322" s="63">
        <f t="shared" si="246"/>
        <v>0</v>
      </c>
      <c r="G322" s="63">
        <v>0</v>
      </c>
      <c r="H322" s="64">
        <v>0</v>
      </c>
      <c r="I322" s="79">
        <f>J322+K322</f>
        <v>0</v>
      </c>
      <c r="J322" s="4">
        <f t="shared" si="241"/>
        <v>0</v>
      </c>
      <c r="K322" s="4">
        <f t="shared" si="247"/>
        <v>0</v>
      </c>
      <c r="L322" s="65" t="e">
        <f t="shared" si="243"/>
        <v>#DIV/0!</v>
      </c>
      <c r="M322" s="153">
        <v>4.6184000000000003</v>
      </c>
      <c r="N322" s="67">
        <f t="shared" si="244"/>
        <v>0</v>
      </c>
      <c r="O322" s="67">
        <f>M322*J322</f>
        <v>0</v>
      </c>
      <c r="P322" s="1003"/>
    </row>
    <row r="323" spans="2:16" x14ac:dyDescent="0.25">
      <c r="B323" s="998"/>
      <c r="C323" s="1001"/>
      <c r="D323" s="61" t="s">
        <v>123</v>
      </c>
      <c r="E323" s="62">
        <v>0</v>
      </c>
      <c r="F323" s="63">
        <f t="shared" si="246"/>
        <v>0</v>
      </c>
      <c r="G323" s="63">
        <v>0</v>
      </c>
      <c r="H323" s="64">
        <v>0</v>
      </c>
      <c r="I323" s="79">
        <f t="shared" ref="I323:I337" si="248">J323+K323</f>
        <v>0</v>
      </c>
      <c r="J323" s="4">
        <f t="shared" si="241"/>
        <v>0</v>
      </c>
      <c r="K323" s="4">
        <f t="shared" si="247"/>
        <v>0</v>
      </c>
      <c r="L323" s="65" t="e">
        <f t="shared" si="243"/>
        <v>#DIV/0!</v>
      </c>
      <c r="M323" s="153">
        <v>4.6184000000000003</v>
      </c>
      <c r="N323" s="67">
        <f t="shared" si="244"/>
        <v>0</v>
      </c>
      <c r="O323" s="67">
        <f t="shared" ref="O323:O328" si="249">M323*J323</f>
        <v>0</v>
      </c>
      <c r="P323" s="1003"/>
    </row>
    <row r="324" spans="2:16" x14ac:dyDescent="0.25">
      <c r="B324" s="998"/>
      <c r="C324" s="1001"/>
      <c r="D324" s="61" t="s">
        <v>124</v>
      </c>
      <c r="E324" s="62">
        <v>0</v>
      </c>
      <c r="F324" s="63">
        <f t="shared" si="246"/>
        <v>23055</v>
      </c>
      <c r="G324" s="63">
        <v>22755</v>
      </c>
      <c r="H324" s="64">
        <v>300</v>
      </c>
      <c r="I324" s="79">
        <f t="shared" si="248"/>
        <v>102924</v>
      </c>
      <c r="J324" s="4">
        <f t="shared" si="241"/>
        <v>99255</v>
      </c>
      <c r="K324" s="4">
        <f t="shared" si="247"/>
        <v>3669</v>
      </c>
      <c r="L324" s="65" t="e">
        <f t="shared" si="243"/>
        <v>#DIV/0!</v>
      </c>
      <c r="M324" s="153">
        <v>4.7636000000000003</v>
      </c>
      <c r="N324" s="67">
        <f t="shared" si="244"/>
        <v>108395.71800000001</v>
      </c>
      <c r="O324" s="67">
        <f t="shared" si="249"/>
        <v>472811.11800000002</v>
      </c>
      <c r="P324" s="1003"/>
    </row>
    <row r="325" spans="2:16" x14ac:dyDescent="0.25">
      <c r="B325" s="998"/>
      <c r="C325" s="1001"/>
      <c r="D325" s="61" t="s">
        <v>83</v>
      </c>
      <c r="E325" s="62">
        <v>0</v>
      </c>
      <c r="F325" s="63">
        <f t="shared" si="246"/>
        <v>0</v>
      </c>
      <c r="G325" s="63">
        <v>0</v>
      </c>
      <c r="H325" s="64">
        <v>0</v>
      </c>
      <c r="I325" s="79">
        <f t="shared" si="248"/>
        <v>0</v>
      </c>
      <c r="J325" s="4">
        <f t="shared" si="241"/>
        <v>0</v>
      </c>
      <c r="K325" s="4">
        <f t="shared" si="247"/>
        <v>0</v>
      </c>
      <c r="L325" s="65" t="e">
        <f t="shared" si="243"/>
        <v>#DIV/0!</v>
      </c>
      <c r="M325" s="66">
        <v>4.8738000000000001</v>
      </c>
      <c r="N325" s="67">
        <f t="shared" si="244"/>
        <v>0</v>
      </c>
      <c r="O325" s="67">
        <f t="shared" si="249"/>
        <v>0</v>
      </c>
      <c r="P325" s="1003"/>
    </row>
    <row r="326" spans="2:16" x14ac:dyDescent="0.25">
      <c r="B326" s="998"/>
      <c r="C326" s="176" t="s">
        <v>128</v>
      </c>
      <c r="D326" s="61" t="s">
        <v>124</v>
      </c>
      <c r="E326" s="62"/>
      <c r="F326" s="63">
        <f t="shared" si="246"/>
        <v>0</v>
      </c>
      <c r="G326" s="63">
        <v>0</v>
      </c>
      <c r="H326" s="64">
        <v>0</v>
      </c>
      <c r="I326" s="79">
        <f t="shared" si="248"/>
        <v>0</v>
      </c>
      <c r="J326" s="4">
        <f t="shared" si="241"/>
        <v>0</v>
      </c>
      <c r="K326" s="4">
        <f t="shared" si="247"/>
        <v>0</v>
      </c>
      <c r="L326" s="65"/>
      <c r="M326" s="66">
        <v>4.8738000000000001</v>
      </c>
      <c r="N326" s="67">
        <f t="shared" si="244"/>
        <v>0</v>
      </c>
      <c r="O326" s="67">
        <f t="shared" si="249"/>
        <v>0</v>
      </c>
      <c r="P326" s="1003"/>
    </row>
    <row r="327" spans="2:16" x14ac:dyDescent="0.25">
      <c r="B327" s="998"/>
      <c r="C327" s="1001" t="s">
        <v>84</v>
      </c>
      <c r="D327" s="61" t="s">
        <v>77</v>
      </c>
      <c r="E327" s="62">
        <v>0</v>
      </c>
      <c r="F327" s="63">
        <f t="shared" si="246"/>
        <v>0</v>
      </c>
      <c r="G327" s="63">
        <v>0</v>
      </c>
      <c r="H327" s="64">
        <v>0</v>
      </c>
      <c r="I327" s="79">
        <f t="shared" si="248"/>
        <v>98229</v>
      </c>
      <c r="J327" s="4">
        <f t="shared" si="241"/>
        <v>96850</v>
      </c>
      <c r="K327" s="4">
        <f t="shared" si="247"/>
        <v>1379</v>
      </c>
      <c r="L327" s="65" t="e">
        <f t="shared" ref="L327:L337" si="250">+J327/E327</f>
        <v>#DIV/0!</v>
      </c>
      <c r="M327" s="66">
        <v>4.9344999999999999</v>
      </c>
      <c r="N327" s="67">
        <f t="shared" si="244"/>
        <v>0</v>
      </c>
      <c r="O327" s="67">
        <f t="shared" si="249"/>
        <v>477906.32500000001</v>
      </c>
      <c r="P327" s="1003"/>
    </row>
    <row r="328" spans="2:16" x14ac:dyDescent="0.25">
      <c r="B328" s="998"/>
      <c r="C328" s="1001"/>
      <c r="D328" s="61" t="s">
        <v>135</v>
      </c>
      <c r="E328" s="62"/>
      <c r="F328" s="63">
        <f t="shared" si="246"/>
        <v>0</v>
      </c>
      <c r="G328" s="63">
        <v>0</v>
      </c>
      <c r="H328" s="64">
        <v>0</v>
      </c>
      <c r="I328" s="79">
        <f t="shared" si="248"/>
        <v>0</v>
      </c>
      <c r="J328" s="4">
        <f t="shared" si="241"/>
        <v>0</v>
      </c>
      <c r="K328" s="4">
        <f t="shared" si="247"/>
        <v>0</v>
      </c>
      <c r="L328" s="65" t="e">
        <f t="shared" si="250"/>
        <v>#DIV/0!</v>
      </c>
      <c r="M328" s="66">
        <v>4.9344999999999999</v>
      </c>
      <c r="N328" s="67">
        <f t="shared" si="244"/>
        <v>0</v>
      </c>
      <c r="O328" s="67">
        <f t="shared" si="249"/>
        <v>0</v>
      </c>
      <c r="P328" s="1003"/>
    </row>
    <row r="329" spans="2:16" x14ac:dyDescent="0.25">
      <c r="B329" s="998"/>
      <c r="C329" s="1001"/>
      <c r="D329" s="61" t="s">
        <v>129</v>
      </c>
      <c r="E329" s="62">
        <v>0</v>
      </c>
      <c r="F329" s="63">
        <f t="shared" si="246"/>
        <v>0</v>
      </c>
      <c r="G329" s="155">
        <v>0</v>
      </c>
      <c r="H329" s="156">
        <v>0</v>
      </c>
      <c r="I329" s="157">
        <f t="shared" si="248"/>
        <v>0</v>
      </c>
      <c r="J329" s="4">
        <f t="shared" si="241"/>
        <v>0</v>
      </c>
      <c r="K329" s="4">
        <f t="shared" si="247"/>
        <v>0</v>
      </c>
      <c r="L329" s="158" t="e">
        <f t="shared" si="250"/>
        <v>#DIV/0!</v>
      </c>
      <c r="M329" s="66">
        <v>4.9344999999999999</v>
      </c>
      <c r="N329" s="159">
        <f t="shared" si="244"/>
        <v>0</v>
      </c>
      <c r="O329" s="67">
        <f>M329*J329</f>
        <v>0</v>
      </c>
      <c r="P329" s="1003"/>
    </row>
    <row r="330" spans="2:16" x14ac:dyDescent="0.25">
      <c r="B330" s="998"/>
      <c r="C330" s="1001" t="s">
        <v>85</v>
      </c>
      <c r="D330" s="61" t="s">
        <v>77</v>
      </c>
      <c r="E330" s="62">
        <v>0</v>
      </c>
      <c r="F330" s="63">
        <f t="shared" si="246"/>
        <v>14800</v>
      </c>
      <c r="G330" s="63">
        <v>14400</v>
      </c>
      <c r="H330" s="64">
        <v>400</v>
      </c>
      <c r="I330" s="79">
        <f t="shared" si="248"/>
        <v>82723</v>
      </c>
      <c r="J330" s="4">
        <f t="shared" si="241"/>
        <v>76950</v>
      </c>
      <c r="K330" s="4">
        <f t="shared" si="247"/>
        <v>5773</v>
      </c>
      <c r="L330" s="65" t="e">
        <f t="shared" si="250"/>
        <v>#DIV/0!</v>
      </c>
      <c r="M330" s="148">
        <v>5.5069999999999997</v>
      </c>
      <c r="N330" s="67">
        <f t="shared" si="244"/>
        <v>79300.799999999988</v>
      </c>
      <c r="O330" s="67">
        <f>M330*J330</f>
        <v>423763.64999999997</v>
      </c>
      <c r="P330" s="1003"/>
    </row>
    <row r="331" spans="2:16" x14ac:dyDescent="0.25">
      <c r="B331" s="998"/>
      <c r="C331" s="1001"/>
      <c r="D331" s="61" t="s">
        <v>112</v>
      </c>
      <c r="E331" s="62">
        <v>0</v>
      </c>
      <c r="F331" s="63">
        <f t="shared" si="246"/>
        <v>0</v>
      </c>
      <c r="G331" s="63">
        <v>0</v>
      </c>
      <c r="H331" s="64">
        <v>0</v>
      </c>
      <c r="I331" s="79">
        <f t="shared" si="248"/>
        <v>0</v>
      </c>
      <c r="J331" s="4">
        <f t="shared" si="241"/>
        <v>0</v>
      </c>
      <c r="K331" s="4">
        <f t="shared" si="247"/>
        <v>0</v>
      </c>
      <c r="L331" s="65" t="e">
        <f t="shared" si="250"/>
        <v>#DIV/0!</v>
      </c>
      <c r="M331" s="147">
        <v>5.6550000000000002</v>
      </c>
      <c r="N331" s="67">
        <f t="shared" si="244"/>
        <v>0</v>
      </c>
      <c r="O331" s="67">
        <f>M331*J331</f>
        <v>0</v>
      </c>
      <c r="P331" s="1003"/>
    </row>
    <row r="332" spans="2:16" x14ac:dyDescent="0.25">
      <c r="B332" s="998"/>
      <c r="C332" s="1001"/>
      <c r="D332" s="61" t="s">
        <v>118</v>
      </c>
      <c r="E332" s="62">
        <v>0</v>
      </c>
      <c r="F332" s="63">
        <f t="shared" si="246"/>
        <v>0</v>
      </c>
      <c r="G332" s="63">
        <v>0</v>
      </c>
      <c r="H332" s="64">
        <v>0</v>
      </c>
      <c r="I332" s="79">
        <f t="shared" si="248"/>
        <v>0</v>
      </c>
      <c r="J332" s="4">
        <f t="shared" si="241"/>
        <v>0</v>
      </c>
      <c r="K332" s="4">
        <f t="shared" si="247"/>
        <v>0</v>
      </c>
      <c r="L332" s="65" t="e">
        <f t="shared" si="250"/>
        <v>#DIV/0!</v>
      </c>
      <c r="M332" s="152">
        <v>5.6550000000000002</v>
      </c>
      <c r="N332" s="67">
        <f t="shared" si="244"/>
        <v>0</v>
      </c>
      <c r="O332" s="67">
        <f>M332*J332</f>
        <v>0</v>
      </c>
      <c r="P332" s="1003"/>
    </row>
    <row r="333" spans="2:16" x14ac:dyDescent="0.25">
      <c r="B333" s="998"/>
      <c r="C333" s="1001"/>
      <c r="D333" s="61" t="s">
        <v>121</v>
      </c>
      <c r="E333" s="62">
        <v>0</v>
      </c>
      <c r="F333" s="63">
        <f t="shared" si="246"/>
        <v>0</v>
      </c>
      <c r="G333" s="63">
        <v>0</v>
      </c>
      <c r="H333" s="64">
        <v>0</v>
      </c>
      <c r="I333" s="79">
        <f t="shared" si="248"/>
        <v>9700</v>
      </c>
      <c r="J333" s="4">
        <f t="shared" si="241"/>
        <v>8200</v>
      </c>
      <c r="K333" s="4">
        <f t="shared" si="247"/>
        <v>1500</v>
      </c>
      <c r="L333" s="65" t="e">
        <f t="shared" si="250"/>
        <v>#DIV/0!</v>
      </c>
      <c r="M333" s="66">
        <v>5.7885299999999997</v>
      </c>
      <c r="N333" s="67">
        <f>+M333*G333</f>
        <v>0</v>
      </c>
      <c r="O333" s="67">
        <f>M333*J333</f>
        <v>47465.945999999996</v>
      </c>
      <c r="P333" s="1003"/>
    </row>
    <row r="334" spans="2:16" x14ac:dyDescent="0.25">
      <c r="B334" s="998"/>
      <c r="C334" s="1001"/>
      <c r="D334" s="61" t="s">
        <v>136</v>
      </c>
      <c r="E334" s="62">
        <v>0</v>
      </c>
      <c r="F334" s="63">
        <f t="shared" si="246"/>
        <v>0</v>
      </c>
      <c r="G334" s="63">
        <v>0</v>
      </c>
      <c r="H334" s="64">
        <v>0</v>
      </c>
      <c r="I334" s="79">
        <f t="shared" si="248"/>
        <v>0</v>
      </c>
      <c r="J334" s="4">
        <f t="shared" si="241"/>
        <v>0</v>
      </c>
      <c r="K334" s="4">
        <f t="shared" si="247"/>
        <v>0</v>
      </c>
      <c r="L334" s="65" t="e">
        <f t="shared" si="250"/>
        <v>#DIV/0!</v>
      </c>
      <c r="M334" s="152">
        <v>5.6550000000000002</v>
      </c>
      <c r="N334" s="67">
        <f t="shared" ref="N334:N336" si="251">+M334*G334</f>
        <v>0</v>
      </c>
      <c r="O334" s="67">
        <f t="shared" ref="O334:O337" si="252">M334*J334</f>
        <v>0</v>
      </c>
      <c r="P334" s="1003"/>
    </row>
    <row r="335" spans="2:16" x14ac:dyDescent="0.25">
      <c r="B335" s="998"/>
      <c r="C335" s="176" t="s">
        <v>86</v>
      </c>
      <c r="D335" s="61" t="s">
        <v>77</v>
      </c>
      <c r="E335" s="62">
        <v>0</v>
      </c>
      <c r="F335" s="63">
        <f t="shared" si="246"/>
        <v>0</v>
      </c>
      <c r="G335" s="63">
        <v>0</v>
      </c>
      <c r="H335" s="64">
        <v>0</v>
      </c>
      <c r="I335" s="79">
        <f t="shared" si="248"/>
        <v>0</v>
      </c>
      <c r="J335" s="4">
        <f t="shared" si="241"/>
        <v>0</v>
      </c>
      <c r="K335" s="4">
        <f t="shared" si="247"/>
        <v>0</v>
      </c>
      <c r="L335" s="65" t="e">
        <f t="shared" si="250"/>
        <v>#DIV/0!</v>
      </c>
      <c r="M335" s="66">
        <v>3.2963</v>
      </c>
      <c r="N335" s="67">
        <f t="shared" si="251"/>
        <v>0</v>
      </c>
      <c r="O335" s="67">
        <f t="shared" si="252"/>
        <v>0</v>
      </c>
      <c r="P335" s="1003"/>
    </row>
    <row r="336" spans="2:16" x14ac:dyDescent="0.25">
      <c r="B336" s="998"/>
      <c r="C336" s="176" t="s">
        <v>87</v>
      </c>
      <c r="D336" s="61" t="s">
        <v>77</v>
      </c>
      <c r="E336" s="62">
        <v>0</v>
      </c>
      <c r="F336" s="63">
        <f t="shared" si="246"/>
        <v>0</v>
      </c>
      <c r="G336" s="63">
        <v>0</v>
      </c>
      <c r="H336" s="64">
        <v>0</v>
      </c>
      <c r="I336" s="79">
        <f t="shared" si="248"/>
        <v>0</v>
      </c>
      <c r="J336" s="4">
        <f t="shared" si="241"/>
        <v>0</v>
      </c>
      <c r="K336" s="4">
        <f t="shared" si="247"/>
        <v>0</v>
      </c>
      <c r="L336" s="65" t="e">
        <f t="shared" si="250"/>
        <v>#DIV/0!</v>
      </c>
      <c r="M336" s="66">
        <v>3.2963</v>
      </c>
      <c r="N336" s="67">
        <f t="shared" si="251"/>
        <v>0</v>
      </c>
      <c r="O336" s="67">
        <f t="shared" si="252"/>
        <v>0</v>
      </c>
      <c r="P336" s="1003"/>
    </row>
    <row r="337" spans="2:16" ht="15.75" thickBot="1" x14ac:dyDescent="0.3">
      <c r="B337" s="998"/>
      <c r="C337" s="68" t="s">
        <v>88</v>
      </c>
      <c r="D337" s="69" t="s">
        <v>89</v>
      </c>
      <c r="E337" s="70">
        <v>0</v>
      </c>
      <c r="F337" s="71">
        <f t="shared" si="246"/>
        <v>0</v>
      </c>
      <c r="G337" s="71">
        <v>0</v>
      </c>
      <c r="H337" s="72">
        <v>0</v>
      </c>
      <c r="I337" s="80">
        <f t="shared" si="248"/>
        <v>0</v>
      </c>
      <c r="J337" s="4">
        <f t="shared" si="241"/>
        <v>0</v>
      </c>
      <c r="K337" s="4">
        <f t="shared" si="247"/>
        <v>0</v>
      </c>
      <c r="L337" s="65" t="e">
        <f t="shared" si="250"/>
        <v>#DIV/0!</v>
      </c>
      <c r="M337" s="73">
        <v>2.3201000000000001</v>
      </c>
      <c r="N337" s="74">
        <f t="shared" ref="N337" si="253">M337*G337</f>
        <v>0</v>
      </c>
      <c r="O337" s="74">
        <f t="shared" si="252"/>
        <v>0</v>
      </c>
      <c r="P337" s="1004"/>
    </row>
    <row r="338" spans="2:16" ht="15.75" thickBot="1" x14ac:dyDescent="0.3">
      <c r="B338" s="999"/>
      <c r="C338" s="1007" t="s">
        <v>99</v>
      </c>
      <c r="D338" s="1008"/>
      <c r="E338" s="1008"/>
      <c r="F338" s="1008"/>
      <c r="G338" s="1008"/>
      <c r="H338" s="1009"/>
      <c r="I338" s="116">
        <f>J338+K338</f>
        <v>333828</v>
      </c>
      <c r="J338" s="115">
        <f>SUM(J310:J337)</f>
        <v>320530</v>
      </c>
      <c r="K338" s="115">
        <f>SUM(K310:K337)</f>
        <v>13298</v>
      </c>
      <c r="L338" s="114"/>
      <c r="M338" s="113"/>
      <c r="N338" s="114"/>
      <c r="O338" s="97">
        <f>SUM(O310:O337)</f>
        <v>2656907.0890000002</v>
      </c>
      <c r="P338" s="96"/>
    </row>
    <row r="339" spans="2:16" ht="15.75" thickBot="1" x14ac:dyDescent="0.3">
      <c r="B339" s="100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2"/>
    </row>
    <row r="340" spans="2:16" ht="15.75" thickBot="1" x14ac:dyDescent="0.3">
      <c r="B340" s="992" t="s">
        <v>100</v>
      </c>
      <c r="C340" s="993"/>
      <c r="D340" s="993"/>
      <c r="E340" s="993"/>
      <c r="F340" s="993"/>
      <c r="G340" s="993"/>
      <c r="H340" s="993"/>
      <c r="I340" s="993"/>
      <c r="J340" s="993"/>
      <c r="K340" s="993"/>
      <c r="L340" s="993"/>
      <c r="M340" s="993"/>
      <c r="N340" s="994"/>
      <c r="O340" s="103">
        <f>+O338+O309+O294</f>
        <v>6457605.7129999995</v>
      </c>
      <c r="P340" s="96"/>
    </row>
    <row r="341" spans="2:16" ht="15.75" thickBot="1" x14ac:dyDescent="0.3"/>
    <row r="342" spans="2:16" x14ac:dyDescent="0.25">
      <c r="B342" s="1026" t="s">
        <v>1</v>
      </c>
      <c r="C342" s="1028" t="s">
        <v>2</v>
      </c>
      <c r="D342" s="1031" t="s">
        <v>3</v>
      </c>
      <c r="E342" s="1034" t="s">
        <v>4</v>
      </c>
      <c r="F342" s="1035"/>
      <c r="G342" s="1035"/>
      <c r="H342" s="1035"/>
      <c r="I342" s="1035"/>
      <c r="J342" s="1035"/>
      <c r="K342" s="1035"/>
      <c r="L342" s="1036"/>
      <c r="M342" s="1037" t="s">
        <v>5</v>
      </c>
      <c r="N342" s="1038"/>
      <c r="O342" s="1039"/>
      <c r="P342" s="1031" t="s">
        <v>6</v>
      </c>
    </row>
    <row r="343" spans="2:16" x14ac:dyDescent="0.25">
      <c r="B343" s="1027"/>
      <c r="C343" s="1029"/>
      <c r="D343" s="1032"/>
      <c r="E343" s="1040" t="s">
        <v>7</v>
      </c>
      <c r="F343" s="1042" t="s">
        <v>145</v>
      </c>
      <c r="G343" s="1042"/>
      <c r="H343" s="1043"/>
      <c r="I343" s="1044" t="s">
        <v>8</v>
      </c>
      <c r="J343" s="1042"/>
      <c r="K343" s="1042"/>
      <c r="L343" s="1043" t="s">
        <v>9</v>
      </c>
      <c r="M343" s="1046" t="s">
        <v>10</v>
      </c>
      <c r="N343" s="1048" t="s">
        <v>11</v>
      </c>
      <c r="O343" s="1050" t="s">
        <v>12</v>
      </c>
      <c r="P343" s="1032"/>
    </row>
    <row r="344" spans="2:16" ht="15.75" thickBot="1" x14ac:dyDescent="0.3">
      <c r="B344" s="1027"/>
      <c r="C344" s="1030"/>
      <c r="D344" s="1033"/>
      <c r="E344" s="1041"/>
      <c r="F344" s="2" t="s">
        <v>13</v>
      </c>
      <c r="G344" s="2" t="s">
        <v>14</v>
      </c>
      <c r="H344" s="183" t="s">
        <v>15</v>
      </c>
      <c r="I344" s="142" t="s">
        <v>13</v>
      </c>
      <c r="J344" s="2" t="s">
        <v>14</v>
      </c>
      <c r="K344" s="2" t="s">
        <v>15</v>
      </c>
      <c r="L344" s="1045"/>
      <c r="M344" s="1047"/>
      <c r="N344" s="1049"/>
      <c r="O344" s="1051"/>
      <c r="P344" s="1033"/>
    </row>
    <row r="345" spans="2:16" x14ac:dyDescent="0.25">
      <c r="B345" s="1010" t="s">
        <v>53</v>
      </c>
      <c r="C345" s="29"/>
      <c r="D345" s="117" t="s">
        <v>143</v>
      </c>
      <c r="E345" s="98">
        <v>0</v>
      </c>
      <c r="F345" s="4">
        <f>+G345+H345</f>
        <v>874</v>
      </c>
      <c r="G345" s="4">
        <v>0</v>
      </c>
      <c r="H345" s="8">
        <v>874</v>
      </c>
      <c r="I345" s="6">
        <f>J345+K345</f>
        <v>157942</v>
      </c>
      <c r="J345" s="4">
        <f>G345+J280</f>
        <v>155120</v>
      </c>
      <c r="K345" s="4">
        <f>H345+K280</f>
        <v>2822</v>
      </c>
      <c r="L345" s="33" t="e">
        <f>+J345/E345</f>
        <v>#DIV/0!</v>
      </c>
      <c r="M345" s="104">
        <v>1.3652</v>
      </c>
      <c r="N345" s="31">
        <f>G345*M345</f>
        <v>0</v>
      </c>
      <c r="O345" s="86">
        <f>M345*J345</f>
        <v>211769.82399999999</v>
      </c>
      <c r="P345" s="1012"/>
    </row>
    <row r="346" spans="2:16" x14ac:dyDescent="0.25">
      <c r="B346" s="1011"/>
      <c r="C346" s="32"/>
      <c r="D346" s="118" t="s">
        <v>109</v>
      </c>
      <c r="E346" s="99">
        <v>0</v>
      </c>
      <c r="F346" s="9">
        <f>+G346+H346</f>
        <v>0</v>
      </c>
      <c r="G346" s="9">
        <v>0</v>
      </c>
      <c r="H346" s="10">
        <v>0</v>
      </c>
      <c r="I346" s="6">
        <f>J346+K346</f>
        <v>0</v>
      </c>
      <c r="J346" s="4">
        <f>+G346+J281</f>
        <v>0</v>
      </c>
      <c r="K346" s="4">
        <f>+H346+K281</f>
        <v>0</v>
      </c>
      <c r="L346" s="33"/>
      <c r="M346" s="105">
        <v>5.9917999999999996</v>
      </c>
      <c r="N346" s="34">
        <f>M346*G346</f>
        <v>0</v>
      </c>
      <c r="O346" s="87">
        <f>M346*J346</f>
        <v>0</v>
      </c>
      <c r="P346" s="1013"/>
    </row>
    <row r="347" spans="2:16" x14ac:dyDescent="0.25">
      <c r="B347" s="1011"/>
      <c r="C347" s="35"/>
      <c r="D347" s="119" t="s">
        <v>55</v>
      </c>
      <c r="E347" s="99">
        <v>0</v>
      </c>
      <c r="F347" s="9">
        <f t="shared" ref="F347:F351" si="254">+G347+H347</f>
        <v>231610</v>
      </c>
      <c r="G347" s="9">
        <v>230000</v>
      </c>
      <c r="H347" s="10">
        <f>876+734</f>
        <v>1610</v>
      </c>
      <c r="I347" s="6">
        <f t="shared" ref="I347:I351" si="255">J347+K347</f>
        <v>1162687</v>
      </c>
      <c r="J347" s="4">
        <f t="shared" ref="J347:J351" si="256">+G347+J282</f>
        <v>1153250</v>
      </c>
      <c r="K347" s="4">
        <f t="shared" ref="K347:K351" si="257">+H347+K282</f>
        <v>9437</v>
      </c>
      <c r="L347" s="33" t="e">
        <f t="shared" ref="L347" si="258">+J347/E347</f>
        <v>#DIV/0!</v>
      </c>
      <c r="M347" s="106">
        <v>2.3807999999999998</v>
      </c>
      <c r="N347" s="36">
        <f>G347*M347</f>
        <v>547584</v>
      </c>
      <c r="O347" s="88">
        <f>M347*J347</f>
        <v>2745657.5999999996</v>
      </c>
      <c r="P347" s="1013"/>
    </row>
    <row r="348" spans="2:16" x14ac:dyDescent="0.25">
      <c r="B348" s="1011"/>
      <c r="C348" s="35"/>
      <c r="D348" s="119" t="s">
        <v>56</v>
      </c>
      <c r="E348" s="99">
        <v>0</v>
      </c>
      <c r="F348" s="9">
        <f t="shared" si="254"/>
        <v>0</v>
      </c>
      <c r="G348" s="9">
        <v>0</v>
      </c>
      <c r="H348" s="10">
        <v>0</v>
      </c>
      <c r="I348" s="6">
        <f t="shared" si="255"/>
        <v>0</v>
      </c>
      <c r="J348" s="4">
        <f t="shared" si="256"/>
        <v>0</v>
      </c>
      <c r="K348" s="4">
        <f t="shared" si="257"/>
        <v>0</v>
      </c>
      <c r="L348" s="33"/>
      <c r="M348" s="106">
        <v>2.1457999999999999</v>
      </c>
      <c r="N348" s="36">
        <f t="shared" ref="N348:N351" si="259">G348*M348</f>
        <v>0</v>
      </c>
      <c r="O348" s="88">
        <f>M348*J348</f>
        <v>0</v>
      </c>
      <c r="P348" s="1013"/>
    </row>
    <row r="349" spans="2:16" x14ac:dyDescent="0.25">
      <c r="B349" s="1011"/>
      <c r="C349" s="35"/>
      <c r="D349" s="119" t="s">
        <v>106</v>
      </c>
      <c r="E349" s="99">
        <v>0</v>
      </c>
      <c r="F349" s="9">
        <f t="shared" si="254"/>
        <v>0</v>
      </c>
      <c r="G349" s="9">
        <v>0</v>
      </c>
      <c r="H349" s="10">
        <v>0</v>
      </c>
      <c r="I349" s="6">
        <f t="shared" si="255"/>
        <v>0</v>
      </c>
      <c r="J349" s="4">
        <f t="shared" si="256"/>
        <v>0</v>
      </c>
      <c r="K349" s="4">
        <f t="shared" si="257"/>
        <v>0</v>
      </c>
      <c r="L349" s="33" t="e">
        <f t="shared" ref="L349:L350" si="260">+J349/E349</f>
        <v>#DIV/0!</v>
      </c>
      <c r="M349" s="143">
        <v>4.0426000000000002</v>
      </c>
      <c r="N349" s="36">
        <f t="shared" si="259"/>
        <v>0</v>
      </c>
      <c r="O349" s="88">
        <f>M349*J349</f>
        <v>0</v>
      </c>
      <c r="P349" s="1013"/>
    </row>
    <row r="350" spans="2:16" x14ac:dyDescent="0.25">
      <c r="B350" s="1011"/>
      <c r="C350" s="35"/>
      <c r="D350" s="119" t="s">
        <v>110</v>
      </c>
      <c r="E350" s="99">
        <v>0</v>
      </c>
      <c r="F350" s="9">
        <f t="shared" si="254"/>
        <v>0</v>
      </c>
      <c r="G350" s="9">
        <v>0</v>
      </c>
      <c r="H350" s="10">
        <v>0</v>
      </c>
      <c r="I350" s="6">
        <f t="shared" si="255"/>
        <v>0</v>
      </c>
      <c r="J350" s="4">
        <f t="shared" si="256"/>
        <v>0</v>
      </c>
      <c r="K350" s="4">
        <f t="shared" si="257"/>
        <v>0</v>
      </c>
      <c r="L350" s="33" t="e">
        <f t="shared" si="260"/>
        <v>#DIV/0!</v>
      </c>
      <c r="M350" s="143">
        <v>3.8715000000000002</v>
      </c>
      <c r="N350" s="36">
        <f t="shared" si="259"/>
        <v>0</v>
      </c>
      <c r="O350" s="88">
        <f t="shared" ref="O350:O351" si="261">M350*J350</f>
        <v>0</v>
      </c>
      <c r="P350" s="1013"/>
    </row>
    <row r="351" spans="2:16" ht="15.75" thickBot="1" x14ac:dyDescent="0.3">
      <c r="B351" s="1011"/>
      <c r="C351" s="82"/>
      <c r="D351" s="120" t="s">
        <v>57</v>
      </c>
      <c r="E351" s="108">
        <v>0</v>
      </c>
      <c r="F351" s="12">
        <f t="shared" si="254"/>
        <v>0</v>
      </c>
      <c r="G351" s="12">
        <v>0</v>
      </c>
      <c r="H351" s="13">
        <v>0</v>
      </c>
      <c r="I351" s="21">
        <f t="shared" si="255"/>
        <v>0</v>
      </c>
      <c r="J351" s="4">
        <f t="shared" si="256"/>
        <v>0</v>
      </c>
      <c r="K351" s="4">
        <f t="shared" si="257"/>
        <v>0</v>
      </c>
      <c r="L351" s="81"/>
      <c r="M351" s="127">
        <v>12.284700000000001</v>
      </c>
      <c r="N351" s="36">
        <f t="shared" si="259"/>
        <v>0</v>
      </c>
      <c r="O351" s="128">
        <f t="shared" si="261"/>
        <v>0</v>
      </c>
      <c r="P351" s="1013"/>
    </row>
    <row r="352" spans="2:16" ht="15.75" thickBot="1" x14ac:dyDescent="0.3">
      <c r="B352" s="1011"/>
      <c r="C352" s="1016" t="s">
        <v>104</v>
      </c>
      <c r="D352" s="1017"/>
      <c r="E352" s="129"/>
      <c r="F352" s="130">
        <f>SUM(F345:F351)</f>
        <v>232484</v>
      </c>
      <c r="G352" s="130">
        <f>SUM(G345:G351)</f>
        <v>230000</v>
      </c>
      <c r="H352" s="131">
        <f>SUM(H345:H351)</f>
        <v>2484</v>
      </c>
      <c r="I352" s="132">
        <f>+J352+K352</f>
        <v>1320629</v>
      </c>
      <c r="J352" s="133">
        <f>SUM(J345:J351)</f>
        <v>1308370</v>
      </c>
      <c r="K352" s="133">
        <f>SUM(K345:K351)</f>
        <v>12259</v>
      </c>
      <c r="L352" s="134"/>
      <c r="M352" s="135"/>
      <c r="N352" s="136"/>
      <c r="O352" s="137">
        <f>SUM(O345:O351)</f>
        <v>2957427.4239999996</v>
      </c>
      <c r="P352" s="1014"/>
    </row>
    <row r="353" spans="2:16" x14ac:dyDescent="0.25">
      <c r="B353" s="1011"/>
      <c r="C353" s="32"/>
      <c r="D353" s="118" t="s">
        <v>58</v>
      </c>
      <c r="E353" s="98">
        <v>0</v>
      </c>
      <c r="F353" s="4">
        <f t="shared" ref="F353:F356" si="262">+G353+H353</f>
        <v>0</v>
      </c>
      <c r="G353" s="4">
        <v>0</v>
      </c>
      <c r="H353" s="8">
        <v>0</v>
      </c>
      <c r="I353" s="6">
        <f t="shared" ref="I353:I357" si="263">J353+K353</f>
        <v>0</v>
      </c>
      <c r="J353" s="4">
        <f>G353+J288</f>
        <v>0</v>
      </c>
      <c r="K353" s="4">
        <f>H353+K288</f>
        <v>0</v>
      </c>
      <c r="L353" s="33" t="e">
        <f t="shared" ref="L353" si="264">+J353/E353</f>
        <v>#DIV/0!</v>
      </c>
      <c r="M353" s="105">
        <v>12.029500000000001</v>
      </c>
      <c r="N353" s="34">
        <f>M353*G353</f>
        <v>0</v>
      </c>
      <c r="O353" s="87">
        <f t="shared" ref="O353:O355" si="265">M353*J353</f>
        <v>0</v>
      </c>
      <c r="P353" s="1013"/>
    </row>
    <row r="354" spans="2:16" x14ac:dyDescent="0.25">
      <c r="B354" s="1011"/>
      <c r="C354" s="35"/>
      <c r="D354" s="119" t="s">
        <v>59</v>
      </c>
      <c r="E354" s="99">
        <v>0</v>
      </c>
      <c r="F354" s="9">
        <f t="shared" si="262"/>
        <v>0</v>
      </c>
      <c r="G354" s="9">
        <v>0</v>
      </c>
      <c r="H354" s="10">
        <v>0</v>
      </c>
      <c r="I354" s="6">
        <f t="shared" si="263"/>
        <v>0</v>
      </c>
      <c r="J354" s="4">
        <f>G354+J289</f>
        <v>0</v>
      </c>
      <c r="K354" s="4">
        <f>H354+K289</f>
        <v>0</v>
      </c>
      <c r="L354" s="33"/>
      <c r="M354" s="106">
        <v>0</v>
      </c>
      <c r="N354" s="36"/>
      <c r="O354" s="88">
        <f t="shared" si="265"/>
        <v>0</v>
      </c>
      <c r="P354" s="1013"/>
    </row>
    <row r="355" spans="2:16" x14ac:dyDescent="0.25">
      <c r="B355" s="1011"/>
      <c r="C355" s="35"/>
      <c r="D355" s="119" t="s">
        <v>97</v>
      </c>
      <c r="E355" s="99">
        <v>0</v>
      </c>
      <c r="F355" s="9">
        <f t="shared" si="262"/>
        <v>0</v>
      </c>
      <c r="G355" s="9">
        <v>0</v>
      </c>
      <c r="H355" s="10">
        <v>0</v>
      </c>
      <c r="I355" s="6">
        <f t="shared" si="263"/>
        <v>0</v>
      </c>
      <c r="J355" s="4">
        <f t="shared" ref="J355:J357" si="266">G355+J290</f>
        <v>0</v>
      </c>
      <c r="K355" s="4">
        <f t="shared" ref="K355:K357" si="267">H355+K290</f>
        <v>0</v>
      </c>
      <c r="L355" s="33" t="e">
        <f t="shared" ref="L355:L357" si="268">+J355/E355</f>
        <v>#DIV/0!</v>
      </c>
      <c r="M355" s="106">
        <v>19.688600000000001</v>
      </c>
      <c r="N355" s="36">
        <f>M355*G355</f>
        <v>0</v>
      </c>
      <c r="O355" s="88">
        <f t="shared" si="265"/>
        <v>0</v>
      </c>
      <c r="P355" s="1013"/>
    </row>
    <row r="356" spans="2:16" x14ac:dyDescent="0.25">
      <c r="B356" s="1011"/>
      <c r="C356" s="35"/>
      <c r="D356" s="119" t="s">
        <v>61</v>
      </c>
      <c r="E356" s="99">
        <v>0</v>
      </c>
      <c r="F356" s="9">
        <f t="shared" si="262"/>
        <v>0</v>
      </c>
      <c r="G356" s="9">
        <v>0</v>
      </c>
      <c r="H356" s="10">
        <v>0</v>
      </c>
      <c r="I356" s="6">
        <f t="shared" si="263"/>
        <v>0</v>
      </c>
      <c r="J356" s="4">
        <f t="shared" si="266"/>
        <v>0</v>
      </c>
      <c r="K356" s="4">
        <f t="shared" si="267"/>
        <v>0</v>
      </c>
      <c r="L356" s="33" t="e">
        <f t="shared" si="268"/>
        <v>#DIV/0!</v>
      </c>
      <c r="M356" s="106">
        <v>1.2824</v>
      </c>
      <c r="N356" s="151">
        <f>M356*G356</f>
        <v>0</v>
      </c>
      <c r="O356" s="88">
        <f>M356*J356</f>
        <v>0</v>
      </c>
      <c r="P356" s="1013"/>
    </row>
    <row r="357" spans="2:16" ht="15.75" thickBot="1" x14ac:dyDescent="0.3">
      <c r="B357" s="1011"/>
      <c r="C357" s="82"/>
      <c r="D357" s="120" t="s">
        <v>60</v>
      </c>
      <c r="E357" s="108">
        <v>0</v>
      </c>
      <c r="F357" s="12">
        <v>0</v>
      </c>
      <c r="G357" s="12">
        <v>0</v>
      </c>
      <c r="H357" s="13">
        <v>0</v>
      </c>
      <c r="I357" s="21">
        <f t="shared" si="263"/>
        <v>0</v>
      </c>
      <c r="J357" s="4">
        <f t="shared" si="266"/>
        <v>0</v>
      </c>
      <c r="K357" s="4">
        <f t="shared" si="267"/>
        <v>0</v>
      </c>
      <c r="L357" s="81" t="e">
        <f t="shared" si="268"/>
        <v>#DIV/0!</v>
      </c>
      <c r="M357" s="107">
        <v>18.2316</v>
      </c>
      <c r="N357" s="75"/>
      <c r="O357" s="89">
        <f t="shared" ref="O357" si="269">M357*J357</f>
        <v>0</v>
      </c>
      <c r="P357" s="1015"/>
    </row>
    <row r="358" spans="2:16" ht="15.75" thickBot="1" x14ac:dyDescent="0.3">
      <c r="B358" s="995" t="s">
        <v>105</v>
      </c>
      <c r="C358" s="996"/>
      <c r="D358" s="996"/>
      <c r="E358" s="124"/>
      <c r="F358" s="125">
        <f>+G358+H358</f>
        <v>0</v>
      </c>
      <c r="G358" s="125">
        <f>SUM(G353:G357)</f>
        <v>0</v>
      </c>
      <c r="H358" s="126">
        <f>SUM(H353:H357)</f>
        <v>0</v>
      </c>
      <c r="I358" s="121">
        <f>J358+K358</f>
        <v>0</v>
      </c>
      <c r="J358" s="122">
        <f>SUM(J353:J357)</f>
        <v>0</v>
      </c>
      <c r="K358" s="123">
        <f>SUM(K353:K357)</f>
        <v>0</v>
      </c>
      <c r="L358" s="138"/>
      <c r="M358" s="139"/>
      <c r="N358" s="140"/>
      <c r="O358" s="141">
        <f>SUM(O353:O357)</f>
        <v>0</v>
      </c>
      <c r="P358" s="182"/>
    </row>
    <row r="359" spans="2:16" ht="15.75" thickBot="1" x14ac:dyDescent="0.3">
      <c r="B359" s="995" t="s">
        <v>98</v>
      </c>
      <c r="C359" s="996"/>
      <c r="D359" s="996"/>
      <c r="E359" s="1018"/>
      <c r="F359" s="1018"/>
      <c r="G359" s="1018"/>
      <c r="H359" s="1018"/>
      <c r="I359" s="996"/>
      <c r="J359" s="996"/>
      <c r="K359" s="996"/>
      <c r="L359" s="996"/>
      <c r="M359" s="996"/>
      <c r="N359" s="1019"/>
      <c r="O359" s="83">
        <f>O352+O358</f>
        <v>2957427.4239999996</v>
      </c>
      <c r="P359" s="182"/>
    </row>
    <row r="360" spans="2:16" x14ac:dyDescent="0.25">
      <c r="B360" s="1010" t="s">
        <v>62</v>
      </c>
      <c r="C360" s="37" t="s">
        <v>63</v>
      </c>
      <c r="D360" s="28" t="s">
        <v>64</v>
      </c>
      <c r="E360" s="38">
        <v>0</v>
      </c>
      <c r="F360" s="14">
        <f>+G360+H360</f>
        <v>0</v>
      </c>
      <c r="G360" s="14">
        <v>0</v>
      </c>
      <c r="H360" s="5">
        <v>0</v>
      </c>
      <c r="I360" s="17">
        <f t="shared" ref="I360:I366" si="270">J360+K360</f>
        <v>0</v>
      </c>
      <c r="J360" s="4">
        <f>G360+J295</f>
        <v>0</v>
      </c>
      <c r="K360" s="4">
        <f>H360+K295</f>
        <v>0</v>
      </c>
      <c r="L360" s="30" t="e">
        <f>+J360/E360</f>
        <v>#DIV/0!</v>
      </c>
      <c r="M360" s="146">
        <v>2.2141000000000002</v>
      </c>
      <c r="N360" s="15">
        <f>+M360*G360</f>
        <v>0</v>
      </c>
      <c r="O360" s="90">
        <f>+M360*J360</f>
        <v>0</v>
      </c>
      <c r="P360" s="1021"/>
    </row>
    <row r="361" spans="2:16" x14ac:dyDescent="0.25">
      <c r="B361" s="1011"/>
      <c r="C361" s="39"/>
      <c r="D361" s="22" t="s">
        <v>65</v>
      </c>
      <c r="E361" s="3">
        <v>0</v>
      </c>
      <c r="F361" s="9">
        <f t="shared" ref="F361:F366" si="271">+G361+H361</f>
        <v>0</v>
      </c>
      <c r="G361" s="4">
        <v>0</v>
      </c>
      <c r="H361" s="8">
        <v>0</v>
      </c>
      <c r="I361" s="6">
        <f t="shared" si="270"/>
        <v>0</v>
      </c>
      <c r="J361" s="4">
        <f>+G361+J296</f>
        <v>0</v>
      </c>
      <c r="K361" s="4">
        <f>+H361+K296</f>
        <v>0</v>
      </c>
      <c r="L361" s="40" t="e">
        <f t="shared" ref="L361:L362" si="272">+J361/E361</f>
        <v>#DIV/0!</v>
      </c>
      <c r="M361" s="145">
        <v>2.4565999999999999</v>
      </c>
      <c r="N361" s="11">
        <f t="shared" ref="N361:N363" si="273">+M361*G361</f>
        <v>0</v>
      </c>
      <c r="O361" s="91">
        <f t="shared" ref="O361:O363" si="274">+M361*J361</f>
        <v>0</v>
      </c>
      <c r="P361" s="1022"/>
    </row>
    <row r="362" spans="2:16" x14ac:dyDescent="0.25">
      <c r="B362" s="1011"/>
      <c r="C362" s="39"/>
      <c r="D362" s="23" t="s">
        <v>126</v>
      </c>
      <c r="E362" s="3">
        <v>0</v>
      </c>
      <c r="F362" s="9">
        <f t="shared" si="271"/>
        <v>0</v>
      </c>
      <c r="G362" s="4">
        <v>0</v>
      </c>
      <c r="H362" s="8">
        <v>0</v>
      </c>
      <c r="I362" s="6">
        <f t="shared" si="270"/>
        <v>0</v>
      </c>
      <c r="J362" s="4">
        <f t="shared" ref="J362:J366" si="275">+G362+J297</f>
        <v>0</v>
      </c>
      <c r="K362" s="4">
        <f t="shared" ref="K362:K366" si="276">+H362+K297</f>
        <v>0</v>
      </c>
      <c r="L362" s="40" t="e">
        <f t="shared" si="272"/>
        <v>#DIV/0!</v>
      </c>
      <c r="M362" s="145">
        <v>2.2907000000000002</v>
      </c>
      <c r="N362" s="11">
        <f t="shared" si="273"/>
        <v>0</v>
      </c>
      <c r="O362" s="91">
        <f t="shared" si="274"/>
        <v>0</v>
      </c>
      <c r="P362" s="1022"/>
    </row>
    <row r="363" spans="2:16" x14ac:dyDescent="0.25">
      <c r="B363" s="1011"/>
      <c r="C363" s="39"/>
      <c r="D363" s="22" t="s">
        <v>131</v>
      </c>
      <c r="E363" s="3"/>
      <c r="F363" s="9">
        <f t="shared" si="271"/>
        <v>0</v>
      </c>
      <c r="G363" s="4">
        <v>0</v>
      </c>
      <c r="H363" s="8">
        <v>0</v>
      </c>
      <c r="I363" s="6">
        <f t="shared" si="270"/>
        <v>0</v>
      </c>
      <c r="J363" s="4">
        <f t="shared" si="275"/>
        <v>0</v>
      </c>
      <c r="K363" s="4">
        <f t="shared" si="276"/>
        <v>0</v>
      </c>
      <c r="L363" s="33"/>
      <c r="M363" s="150">
        <v>2.544</v>
      </c>
      <c r="N363" s="11">
        <f t="shared" si="273"/>
        <v>0</v>
      </c>
      <c r="O363" s="91">
        <f t="shared" si="274"/>
        <v>0</v>
      </c>
      <c r="P363" s="1022"/>
    </row>
    <row r="364" spans="2:16" x14ac:dyDescent="0.25">
      <c r="B364" s="1011"/>
      <c r="C364" s="39" t="s">
        <v>66</v>
      </c>
      <c r="D364" s="22" t="s">
        <v>133</v>
      </c>
      <c r="E364" s="3">
        <v>0</v>
      </c>
      <c r="F364" s="9">
        <f t="shared" si="271"/>
        <v>91045</v>
      </c>
      <c r="G364" s="4">
        <v>89500</v>
      </c>
      <c r="H364" s="8">
        <v>1545</v>
      </c>
      <c r="I364" s="6">
        <f t="shared" si="270"/>
        <v>263077</v>
      </c>
      <c r="J364" s="4">
        <f>+G364+J299</f>
        <v>256750</v>
      </c>
      <c r="K364" s="4">
        <f t="shared" si="276"/>
        <v>6327</v>
      </c>
      <c r="L364" s="33" t="e">
        <f>+J364/E364</f>
        <v>#DIV/0!</v>
      </c>
      <c r="M364" s="144">
        <v>2.2141000000000002</v>
      </c>
      <c r="N364" s="7">
        <f>+M364*G364</f>
        <v>198161.95</v>
      </c>
      <c r="O364" s="85">
        <f>+M364*J364</f>
        <v>568470.17500000005</v>
      </c>
      <c r="P364" s="1022"/>
    </row>
    <row r="365" spans="2:16" x14ac:dyDescent="0.25">
      <c r="B365" s="1011"/>
      <c r="C365" s="39"/>
      <c r="D365" s="22" t="s">
        <v>65</v>
      </c>
      <c r="E365" s="3">
        <v>0</v>
      </c>
      <c r="F365" s="9">
        <f t="shared" si="271"/>
        <v>0</v>
      </c>
      <c r="G365" s="4">
        <v>0</v>
      </c>
      <c r="H365" s="8">
        <v>0</v>
      </c>
      <c r="I365" s="6">
        <f t="shared" si="270"/>
        <v>0</v>
      </c>
      <c r="J365" s="4">
        <f t="shared" si="275"/>
        <v>0</v>
      </c>
      <c r="K365" s="4">
        <f t="shared" si="276"/>
        <v>0</v>
      </c>
      <c r="L365" s="40" t="e">
        <f t="shared" ref="L365:L366" si="277">+J365/E365</f>
        <v>#DIV/0!</v>
      </c>
      <c r="M365" s="145">
        <v>2.4565999999999999</v>
      </c>
      <c r="N365" s="11">
        <f t="shared" ref="N365:N366" si="278">+M365*G365</f>
        <v>0</v>
      </c>
      <c r="O365" s="91">
        <f t="shared" ref="O365" si="279">+M365*J365</f>
        <v>0</v>
      </c>
      <c r="P365" s="1022"/>
    </row>
    <row r="366" spans="2:16" ht="15.75" thickBot="1" x14ac:dyDescent="0.3">
      <c r="B366" s="1011"/>
      <c r="C366" s="39"/>
      <c r="D366" s="22" t="s">
        <v>126</v>
      </c>
      <c r="E366" s="3">
        <v>0</v>
      </c>
      <c r="F366" s="9">
        <f t="shared" si="271"/>
        <v>0</v>
      </c>
      <c r="G366" s="4">
        <v>0</v>
      </c>
      <c r="H366" s="8">
        <v>0</v>
      </c>
      <c r="I366" s="6">
        <f t="shared" si="270"/>
        <v>0</v>
      </c>
      <c r="J366" s="4">
        <f t="shared" si="275"/>
        <v>0</v>
      </c>
      <c r="K366" s="4">
        <f t="shared" si="276"/>
        <v>0</v>
      </c>
      <c r="L366" s="40" t="e">
        <f t="shared" si="277"/>
        <v>#DIV/0!</v>
      </c>
      <c r="M366" s="145">
        <v>2.2907000000000002</v>
      </c>
      <c r="N366" s="11">
        <f t="shared" si="278"/>
        <v>0</v>
      </c>
      <c r="O366" s="154">
        <f>+M366*J366</f>
        <v>0</v>
      </c>
      <c r="P366" s="1023"/>
    </row>
    <row r="367" spans="2:16" ht="15.75" thickBot="1" x14ac:dyDescent="0.3">
      <c r="B367" s="1011"/>
      <c r="C367" s="41" t="s">
        <v>29</v>
      </c>
      <c r="D367" s="27" t="str">
        <f>+C367</f>
        <v>TOTAL 1/2</v>
      </c>
      <c r="E367" s="42">
        <f>SUM(E360:E366)</f>
        <v>0</v>
      </c>
      <c r="F367" s="43">
        <f>SUM(F360:F366)</f>
        <v>91045</v>
      </c>
      <c r="G367" s="43">
        <f>SUM(G360:G366)</f>
        <v>89500</v>
      </c>
      <c r="H367" s="44">
        <f>SUM(H360:H366)</f>
        <v>1545</v>
      </c>
      <c r="I367" s="45">
        <f>SUM(I364:I366)</f>
        <v>263077</v>
      </c>
      <c r="J367" s="43">
        <f>SUM(J360:J366)</f>
        <v>256750</v>
      </c>
      <c r="K367" s="43">
        <f>SUM(K360:K366)</f>
        <v>6327</v>
      </c>
      <c r="L367" s="46" t="e">
        <f>+J367/E367</f>
        <v>#DIV/0!</v>
      </c>
      <c r="M367" s="47"/>
      <c r="N367" s="48">
        <f>SUM(N364:N366)</f>
        <v>198161.95</v>
      </c>
      <c r="O367" s="49">
        <f>SUM(O360:O366)</f>
        <v>568470.17500000005</v>
      </c>
      <c r="P367" s="181"/>
    </row>
    <row r="368" spans="2:16" x14ac:dyDescent="0.25">
      <c r="B368" s="1011"/>
      <c r="C368" s="1024" t="s">
        <v>67</v>
      </c>
      <c r="D368" s="22" t="s">
        <v>64</v>
      </c>
      <c r="E368" s="3">
        <v>0</v>
      </c>
      <c r="F368" s="4">
        <f>G368+H368</f>
        <v>0</v>
      </c>
      <c r="G368" s="4">
        <v>0</v>
      </c>
      <c r="H368" s="8">
        <v>0</v>
      </c>
      <c r="I368" s="16">
        <f>J368+K368</f>
        <v>109220</v>
      </c>
      <c r="J368" s="4">
        <f>G368+J303</f>
        <v>105750</v>
      </c>
      <c r="K368" s="4">
        <f>H368+K303</f>
        <v>3470</v>
      </c>
      <c r="L368" s="50" t="e">
        <f>+J368/E368</f>
        <v>#DIV/0!</v>
      </c>
      <c r="M368" s="144">
        <v>4.1712999999999996</v>
      </c>
      <c r="N368" s="7">
        <f>+M368*G368</f>
        <v>0</v>
      </c>
      <c r="O368" s="93">
        <f>+M368*J368</f>
        <v>441114.97499999998</v>
      </c>
      <c r="P368" s="1021"/>
    </row>
    <row r="369" spans="2:16" x14ac:dyDescent="0.25">
      <c r="B369" s="1011"/>
      <c r="C369" s="1025"/>
      <c r="D369" s="22" t="s">
        <v>65</v>
      </c>
      <c r="E369" s="3">
        <v>0</v>
      </c>
      <c r="F369" s="4">
        <f>G369+H369</f>
        <v>0</v>
      </c>
      <c r="G369" s="4">
        <v>0</v>
      </c>
      <c r="H369" s="8">
        <v>0</v>
      </c>
      <c r="I369" s="6">
        <f>+R1413+F369</f>
        <v>0</v>
      </c>
      <c r="J369" s="4">
        <f>G369+J304</f>
        <v>120000</v>
      </c>
      <c r="K369" s="4">
        <f>H369+K304</f>
        <v>3230</v>
      </c>
      <c r="L369" s="51" t="e">
        <f t="shared" ref="L369:L373" si="280">+J369/E369</f>
        <v>#DIV/0!</v>
      </c>
      <c r="M369" s="145">
        <v>4.8285999999999998</v>
      </c>
      <c r="N369" s="11">
        <f t="shared" ref="N369:N371" si="281">+M369*G369</f>
        <v>0</v>
      </c>
      <c r="O369" s="94">
        <f t="shared" ref="O369:O371" si="282">+M369*J369</f>
        <v>579432</v>
      </c>
      <c r="P369" s="1022"/>
    </row>
    <row r="370" spans="2:16" x14ac:dyDescent="0.25">
      <c r="B370" s="1011"/>
      <c r="C370" s="1025"/>
      <c r="D370" s="22" t="s">
        <v>127</v>
      </c>
      <c r="E370" s="3"/>
      <c r="F370" s="4">
        <f>G370+H370</f>
        <v>0</v>
      </c>
      <c r="G370" s="4">
        <v>0</v>
      </c>
      <c r="H370" s="8">
        <v>0</v>
      </c>
      <c r="I370" s="6">
        <f>+R1414+F370</f>
        <v>0</v>
      </c>
      <c r="J370" s="4">
        <f t="shared" ref="J370:J371" si="283">G370+J305</f>
        <v>0</v>
      </c>
      <c r="K370" s="4">
        <f t="shared" ref="K370:K371" si="284">H370+K305</f>
        <v>0</v>
      </c>
      <c r="L370" s="51" t="e">
        <f t="shared" si="280"/>
        <v>#DIV/0!</v>
      </c>
      <c r="M370" s="144">
        <v>4.5023</v>
      </c>
      <c r="N370" s="11">
        <f t="shared" si="281"/>
        <v>0</v>
      </c>
      <c r="O370" s="94">
        <f t="shared" si="282"/>
        <v>0</v>
      </c>
      <c r="P370" s="1022"/>
    </row>
    <row r="371" spans="2:16" ht="15.75" thickBot="1" x14ac:dyDescent="0.3">
      <c r="B371" s="1011"/>
      <c r="C371" s="1025"/>
      <c r="D371" s="22" t="s">
        <v>111</v>
      </c>
      <c r="E371" s="3">
        <v>0</v>
      </c>
      <c r="F371" s="4">
        <f t="shared" ref="F371" si="285">G371+H371</f>
        <v>0</v>
      </c>
      <c r="G371" s="4">
        <v>0</v>
      </c>
      <c r="H371" s="8">
        <v>0</v>
      </c>
      <c r="I371" s="6">
        <f>+R1414+F371</f>
        <v>0</v>
      </c>
      <c r="J371" s="4">
        <f t="shared" si="283"/>
        <v>0</v>
      </c>
      <c r="K371" s="4">
        <f t="shared" si="284"/>
        <v>0</v>
      </c>
      <c r="L371" s="51" t="e">
        <f t="shared" si="280"/>
        <v>#DIV/0!</v>
      </c>
      <c r="M371" s="144">
        <v>4.4065000000000003</v>
      </c>
      <c r="N371" s="11">
        <f t="shared" si="281"/>
        <v>0</v>
      </c>
      <c r="O371" s="94">
        <f t="shared" si="282"/>
        <v>0</v>
      </c>
      <c r="P371" s="1022"/>
    </row>
    <row r="372" spans="2:16" ht="15.75" thickBot="1" x14ac:dyDescent="0.3">
      <c r="B372" s="1011"/>
      <c r="C372" s="41" t="s">
        <v>31</v>
      </c>
      <c r="D372" s="18" t="str">
        <f>+C372</f>
        <v>TOTAL 4/4</v>
      </c>
      <c r="E372" s="42">
        <f t="shared" ref="E372:K372" si="286">SUM(E368:E371)</f>
        <v>0</v>
      </c>
      <c r="F372" s="43">
        <f t="shared" si="286"/>
        <v>0</v>
      </c>
      <c r="G372" s="43">
        <f t="shared" si="286"/>
        <v>0</v>
      </c>
      <c r="H372" s="44">
        <f t="shared" si="286"/>
        <v>0</v>
      </c>
      <c r="I372" s="45">
        <f t="shared" si="286"/>
        <v>109220</v>
      </c>
      <c r="J372" s="43">
        <f t="shared" si="286"/>
        <v>225750</v>
      </c>
      <c r="K372" s="43">
        <f t="shared" si="286"/>
        <v>6700</v>
      </c>
      <c r="L372" s="46" t="e">
        <f t="shared" si="280"/>
        <v>#DIV/0!</v>
      </c>
      <c r="M372" s="47"/>
      <c r="N372" s="48">
        <f>SUM(N368:N371)</f>
        <v>0</v>
      </c>
      <c r="O372" s="92">
        <f>SUM(O368:O371)</f>
        <v>1020546.975</v>
      </c>
      <c r="P372" s="1023"/>
    </row>
    <row r="373" spans="2:16" ht="15.75" thickBot="1" x14ac:dyDescent="0.3">
      <c r="B373" s="1020"/>
      <c r="C373" s="41" t="s">
        <v>68</v>
      </c>
      <c r="D373" s="27" t="s">
        <v>64</v>
      </c>
      <c r="E373" s="25">
        <v>0</v>
      </c>
      <c r="F373" s="20">
        <f>G373+H373</f>
        <v>0</v>
      </c>
      <c r="G373" s="20">
        <v>0</v>
      </c>
      <c r="H373" s="24">
        <v>0</v>
      </c>
      <c r="I373" s="19">
        <f>J373+K373</f>
        <v>0</v>
      </c>
      <c r="J373" s="4">
        <f>G373+J308</f>
        <v>0</v>
      </c>
      <c r="K373" s="4">
        <f>H373+K308</f>
        <v>0</v>
      </c>
      <c r="L373" s="52" t="e">
        <f t="shared" si="280"/>
        <v>#DIV/0!</v>
      </c>
      <c r="M373" s="149">
        <v>1.4086000000000001</v>
      </c>
      <c r="N373" s="26">
        <f t="shared" ref="N373" si="287">+M373*G373</f>
        <v>0</v>
      </c>
      <c r="O373" s="95">
        <f t="shared" ref="O373" si="288">+M373*J373</f>
        <v>0</v>
      </c>
      <c r="P373" s="53"/>
    </row>
    <row r="374" spans="2:16" ht="15.75" thickBot="1" x14ac:dyDescent="0.3">
      <c r="B374" s="995" t="s">
        <v>95</v>
      </c>
      <c r="C374" s="996"/>
      <c r="D374" s="996"/>
      <c r="E374" s="996"/>
      <c r="F374" s="996"/>
      <c r="G374" s="996"/>
      <c r="H374" s="996"/>
      <c r="I374" s="110">
        <f>J374+K374</f>
        <v>495527</v>
      </c>
      <c r="J374" s="110">
        <f>J367+J372+J373</f>
        <v>482500</v>
      </c>
      <c r="K374" s="110">
        <f>K367+K372+K373</f>
        <v>13027</v>
      </c>
      <c r="L374" s="111"/>
      <c r="M374" s="112"/>
      <c r="N374" s="109"/>
      <c r="O374" s="77">
        <f>+O373+O372+O367</f>
        <v>1589017.15</v>
      </c>
      <c r="P374" s="84"/>
    </row>
    <row r="375" spans="2:16" x14ac:dyDescent="0.25">
      <c r="B375" s="997" t="s">
        <v>69</v>
      </c>
      <c r="C375" s="1000" t="s">
        <v>70</v>
      </c>
      <c r="D375" s="54" t="s">
        <v>71</v>
      </c>
      <c r="E375" s="55">
        <v>0</v>
      </c>
      <c r="F375" s="56">
        <f>G375+H375</f>
        <v>0</v>
      </c>
      <c r="G375" s="56">
        <v>0</v>
      </c>
      <c r="H375" s="57">
        <v>0</v>
      </c>
      <c r="I375" s="78">
        <f>J375+K375</f>
        <v>0</v>
      </c>
      <c r="J375" s="4">
        <f>G375+J310</f>
        <v>0</v>
      </c>
      <c r="K375" s="4">
        <f>H375+K310</f>
        <v>0</v>
      </c>
      <c r="L375" s="58" t="e">
        <f t="shared" ref="L375" si="289">+J375/E375</f>
        <v>#DIV/0!</v>
      </c>
      <c r="M375" s="59">
        <v>32.946300000000001</v>
      </c>
      <c r="N375" s="60">
        <f>+M375*G375</f>
        <v>0</v>
      </c>
      <c r="O375" s="60">
        <f>M375*J375</f>
        <v>0</v>
      </c>
      <c r="P375" s="1002"/>
    </row>
    <row r="376" spans="2:16" x14ac:dyDescent="0.25">
      <c r="B376" s="998"/>
      <c r="C376" s="1001"/>
      <c r="D376" s="61" t="s">
        <v>72</v>
      </c>
      <c r="E376" s="62">
        <v>0</v>
      </c>
      <c r="F376" s="63">
        <f>G376+H376</f>
        <v>10145</v>
      </c>
      <c r="G376" s="63">
        <v>10000</v>
      </c>
      <c r="H376" s="64">
        <v>145</v>
      </c>
      <c r="I376" s="79">
        <f>J376+K376</f>
        <v>20295</v>
      </c>
      <c r="J376" s="4">
        <f>G376+J311</f>
        <v>20000</v>
      </c>
      <c r="K376" s="4">
        <f>H376+K311</f>
        <v>295</v>
      </c>
      <c r="L376" s="65" t="e">
        <f>+J376/E376</f>
        <v>#DIV/0!</v>
      </c>
      <c r="M376" s="66">
        <v>35.398400000000002</v>
      </c>
      <c r="N376" s="67">
        <f>+M376*G376</f>
        <v>353984</v>
      </c>
      <c r="O376" s="67">
        <f>M376*J376</f>
        <v>707968</v>
      </c>
      <c r="P376" s="1003"/>
    </row>
    <row r="377" spans="2:16" x14ac:dyDescent="0.25">
      <c r="B377" s="998"/>
      <c r="C377" s="1001"/>
      <c r="D377" s="61" t="s">
        <v>73</v>
      </c>
      <c r="E377" s="62">
        <v>0</v>
      </c>
      <c r="F377" s="63">
        <f t="shared" ref="F377:F380" si="290">G377+H377</f>
        <v>0</v>
      </c>
      <c r="G377" s="63">
        <v>0</v>
      </c>
      <c r="H377" s="64">
        <v>0</v>
      </c>
      <c r="I377" s="79">
        <f t="shared" ref="I377:I386" si="291">J377+K377</f>
        <v>0</v>
      </c>
      <c r="J377" s="4">
        <f t="shared" ref="J377:J402" si="292">G377+J312</f>
        <v>0</v>
      </c>
      <c r="K377" s="4">
        <f t="shared" ref="K377:K381" si="293">H377+K312</f>
        <v>0</v>
      </c>
      <c r="L377" s="65" t="e">
        <f t="shared" ref="L377:L390" si="294">+J377/E377</f>
        <v>#DIV/0!</v>
      </c>
      <c r="M377" s="66">
        <v>32.946300000000001</v>
      </c>
      <c r="N377" s="67">
        <f t="shared" ref="N377:N397" si="295">+M377*G377</f>
        <v>0</v>
      </c>
      <c r="O377" s="67">
        <f t="shared" ref="O377:O385" si="296">M377*J377</f>
        <v>0</v>
      </c>
      <c r="P377" s="1003"/>
    </row>
    <row r="378" spans="2:16" x14ac:dyDescent="0.25">
      <c r="B378" s="998"/>
      <c r="C378" s="1001" t="s">
        <v>74</v>
      </c>
      <c r="D378" s="61" t="s">
        <v>75</v>
      </c>
      <c r="E378" s="62">
        <v>0</v>
      </c>
      <c r="F378" s="63">
        <f t="shared" si="290"/>
        <v>0</v>
      </c>
      <c r="G378" s="63">
        <v>0</v>
      </c>
      <c r="H378" s="64">
        <v>0</v>
      </c>
      <c r="I378" s="79">
        <f t="shared" si="291"/>
        <v>4976</v>
      </c>
      <c r="J378" s="4">
        <f t="shared" si="292"/>
        <v>4800</v>
      </c>
      <c r="K378" s="4">
        <f t="shared" si="293"/>
        <v>176</v>
      </c>
      <c r="L378" s="65" t="e">
        <f t="shared" si="294"/>
        <v>#DIV/0!</v>
      </c>
      <c r="M378" s="66">
        <v>55.4758</v>
      </c>
      <c r="N378" s="67">
        <f t="shared" si="295"/>
        <v>0</v>
      </c>
      <c r="O378" s="67">
        <f t="shared" si="296"/>
        <v>266283.84000000003</v>
      </c>
      <c r="P378" s="1003"/>
    </row>
    <row r="379" spans="2:16" x14ac:dyDescent="0.25">
      <c r="B379" s="998"/>
      <c r="C379" s="1001"/>
      <c r="D379" s="61" t="s">
        <v>134</v>
      </c>
      <c r="E379" s="62">
        <v>0</v>
      </c>
      <c r="F379" s="63">
        <f t="shared" si="290"/>
        <v>0</v>
      </c>
      <c r="G379" s="63">
        <v>0</v>
      </c>
      <c r="H379" s="64">
        <v>0</v>
      </c>
      <c r="I379" s="79">
        <f t="shared" si="291"/>
        <v>0</v>
      </c>
      <c r="J379" s="4">
        <f t="shared" si="292"/>
        <v>0</v>
      </c>
      <c r="K379" s="4">
        <f t="shared" si="293"/>
        <v>0</v>
      </c>
      <c r="L379" s="65" t="e">
        <f t="shared" si="294"/>
        <v>#DIV/0!</v>
      </c>
      <c r="M379" s="66">
        <v>53.515999999999998</v>
      </c>
      <c r="N379" s="67">
        <f t="shared" si="295"/>
        <v>0</v>
      </c>
      <c r="O379" s="67">
        <f t="shared" si="296"/>
        <v>0</v>
      </c>
      <c r="P379" s="1003"/>
    </row>
    <row r="380" spans="2:16" x14ac:dyDescent="0.25">
      <c r="B380" s="998"/>
      <c r="C380" s="1001"/>
      <c r="D380" s="61" t="s">
        <v>72</v>
      </c>
      <c r="E380" s="62">
        <v>0</v>
      </c>
      <c r="F380" s="63">
        <f t="shared" si="290"/>
        <v>4885</v>
      </c>
      <c r="G380" s="63">
        <v>4800</v>
      </c>
      <c r="H380" s="64">
        <v>85</v>
      </c>
      <c r="I380" s="79">
        <f t="shared" si="291"/>
        <v>7325</v>
      </c>
      <c r="J380" s="4">
        <f t="shared" si="292"/>
        <v>7200</v>
      </c>
      <c r="K380" s="4">
        <f t="shared" si="293"/>
        <v>125</v>
      </c>
      <c r="L380" s="65" t="e">
        <f t="shared" si="294"/>
        <v>#DIV/0!</v>
      </c>
      <c r="M380" s="66">
        <v>58.836300000000001</v>
      </c>
      <c r="N380" s="67">
        <f t="shared" si="295"/>
        <v>282414.24</v>
      </c>
      <c r="O380" s="67">
        <f t="shared" si="296"/>
        <v>423621.36</v>
      </c>
      <c r="P380" s="1003"/>
    </row>
    <row r="381" spans="2:16" x14ac:dyDescent="0.25">
      <c r="B381" s="998"/>
      <c r="C381" s="1005" t="s">
        <v>76</v>
      </c>
      <c r="D381" s="61" t="s">
        <v>77</v>
      </c>
      <c r="E381" s="62">
        <v>0</v>
      </c>
      <c r="F381" s="63">
        <f>G381+H381</f>
        <v>0</v>
      </c>
      <c r="G381" s="63">
        <v>0</v>
      </c>
      <c r="H381" s="64">
        <v>0</v>
      </c>
      <c r="I381" s="79">
        <f t="shared" si="291"/>
        <v>3675</v>
      </c>
      <c r="J381" s="4">
        <f t="shared" si="292"/>
        <v>3575</v>
      </c>
      <c r="K381" s="4">
        <f t="shared" si="293"/>
        <v>100</v>
      </c>
      <c r="L381" s="65" t="e">
        <f t="shared" si="294"/>
        <v>#DIV/0!</v>
      </c>
      <c r="M381" s="66">
        <v>25.687200000000001</v>
      </c>
      <c r="N381" s="67">
        <f t="shared" si="295"/>
        <v>0</v>
      </c>
      <c r="O381" s="67">
        <f t="shared" si="296"/>
        <v>91831.74</v>
      </c>
      <c r="P381" s="1003"/>
    </row>
    <row r="382" spans="2:16" x14ac:dyDescent="0.25">
      <c r="B382" s="998"/>
      <c r="C382" s="1006"/>
      <c r="D382" s="61" t="s">
        <v>117</v>
      </c>
      <c r="E382" s="62">
        <v>0</v>
      </c>
      <c r="F382" s="63">
        <f>G382+H382</f>
        <v>0</v>
      </c>
      <c r="G382" s="63">
        <v>0</v>
      </c>
      <c r="H382" s="64">
        <v>0</v>
      </c>
      <c r="I382" s="79">
        <f t="shared" si="291"/>
        <v>0</v>
      </c>
      <c r="J382" s="4">
        <f t="shared" si="292"/>
        <v>0</v>
      </c>
      <c r="K382" s="4">
        <f>H382+K317</f>
        <v>0</v>
      </c>
      <c r="L382" s="65" t="e">
        <f t="shared" si="294"/>
        <v>#DIV/0!</v>
      </c>
      <c r="M382" s="66">
        <v>25.033899999999999</v>
      </c>
      <c r="N382" s="67">
        <f t="shared" si="295"/>
        <v>0</v>
      </c>
      <c r="O382" s="67">
        <f t="shared" si="296"/>
        <v>0</v>
      </c>
      <c r="P382" s="1003"/>
    </row>
    <row r="383" spans="2:16" x14ac:dyDescent="0.25">
      <c r="B383" s="998"/>
      <c r="C383" s="1005" t="s">
        <v>78</v>
      </c>
      <c r="D383" s="61" t="s">
        <v>79</v>
      </c>
      <c r="E383" s="62">
        <v>0</v>
      </c>
      <c r="F383" s="63">
        <f t="shared" ref="F383:F402" si="297">G383+H383</f>
        <v>0</v>
      </c>
      <c r="G383" s="63">
        <v>0</v>
      </c>
      <c r="H383" s="64">
        <v>0</v>
      </c>
      <c r="I383" s="79">
        <f t="shared" si="291"/>
        <v>8113</v>
      </c>
      <c r="J383" s="4">
        <f t="shared" si="292"/>
        <v>8000</v>
      </c>
      <c r="K383" s="4">
        <f t="shared" ref="K383:K402" si="298">H383+K318</f>
        <v>113</v>
      </c>
      <c r="L383" s="65" t="e">
        <f t="shared" si="294"/>
        <v>#DIV/0!</v>
      </c>
      <c r="M383" s="66">
        <v>41.992699999999999</v>
      </c>
      <c r="N383" s="67">
        <f t="shared" si="295"/>
        <v>0</v>
      </c>
      <c r="O383" s="67">
        <f t="shared" si="296"/>
        <v>335941.6</v>
      </c>
      <c r="P383" s="1003"/>
    </row>
    <row r="384" spans="2:16" x14ac:dyDescent="0.25">
      <c r="B384" s="998"/>
      <c r="C384" s="1006"/>
      <c r="D384" s="61" t="s">
        <v>72</v>
      </c>
      <c r="E384" s="62">
        <v>0</v>
      </c>
      <c r="F384" s="63">
        <f t="shared" si="297"/>
        <v>0</v>
      </c>
      <c r="G384" s="63">
        <v>0</v>
      </c>
      <c r="H384" s="64">
        <v>0</v>
      </c>
      <c r="I384" s="79">
        <f t="shared" si="291"/>
        <v>0</v>
      </c>
      <c r="J384" s="4">
        <f t="shared" si="292"/>
        <v>0</v>
      </c>
      <c r="K384" s="4">
        <f t="shared" si="298"/>
        <v>0</v>
      </c>
      <c r="L384" s="65" t="e">
        <f t="shared" si="294"/>
        <v>#DIV/0!</v>
      </c>
      <c r="M384" s="66">
        <v>42.283799999999999</v>
      </c>
      <c r="N384" s="67">
        <f t="shared" si="295"/>
        <v>0</v>
      </c>
      <c r="O384" s="67">
        <f t="shared" si="296"/>
        <v>0</v>
      </c>
      <c r="P384" s="1003"/>
    </row>
    <row r="385" spans="2:16" x14ac:dyDescent="0.25">
      <c r="B385" s="998"/>
      <c r="C385" s="180" t="s">
        <v>80</v>
      </c>
      <c r="D385" s="61" t="s">
        <v>81</v>
      </c>
      <c r="E385" s="62">
        <v>0</v>
      </c>
      <c r="F385" s="63">
        <f t="shared" si="297"/>
        <v>0</v>
      </c>
      <c r="G385" s="63">
        <v>0</v>
      </c>
      <c r="H385" s="64">
        <v>0</v>
      </c>
      <c r="I385" s="79">
        <f t="shared" si="291"/>
        <v>10898</v>
      </c>
      <c r="J385" s="4">
        <f t="shared" si="292"/>
        <v>10500</v>
      </c>
      <c r="K385" s="4">
        <f t="shared" si="298"/>
        <v>398</v>
      </c>
      <c r="L385" s="65" t="e">
        <f t="shared" si="294"/>
        <v>#DIV/0!</v>
      </c>
      <c r="M385" s="66">
        <v>4.3535000000000004</v>
      </c>
      <c r="N385" s="67">
        <f t="shared" si="295"/>
        <v>0</v>
      </c>
      <c r="O385" s="67">
        <f t="shared" si="296"/>
        <v>45711.750000000007</v>
      </c>
      <c r="P385" s="1003"/>
    </row>
    <row r="386" spans="2:16" x14ac:dyDescent="0.25">
      <c r="B386" s="998"/>
      <c r="C386" s="1001" t="s">
        <v>82</v>
      </c>
      <c r="D386" s="61" t="s">
        <v>77</v>
      </c>
      <c r="E386" s="62">
        <v>0</v>
      </c>
      <c r="F386" s="63">
        <f t="shared" si="297"/>
        <v>0</v>
      </c>
      <c r="G386" s="63">
        <v>0</v>
      </c>
      <c r="H386" s="64">
        <v>0</v>
      </c>
      <c r="I386" s="79">
        <f t="shared" si="291"/>
        <v>0</v>
      </c>
      <c r="J386" s="4">
        <f t="shared" si="292"/>
        <v>0</v>
      </c>
      <c r="K386" s="4">
        <f t="shared" si="298"/>
        <v>0</v>
      </c>
      <c r="L386" s="65" t="e">
        <f t="shared" si="294"/>
        <v>#DIV/0!</v>
      </c>
      <c r="M386" s="66">
        <v>4.6184000000000003</v>
      </c>
      <c r="N386" s="67">
        <f t="shared" si="295"/>
        <v>0</v>
      </c>
      <c r="O386" s="67">
        <f>M386*J386</f>
        <v>0</v>
      </c>
      <c r="P386" s="1003"/>
    </row>
    <row r="387" spans="2:16" x14ac:dyDescent="0.25">
      <c r="B387" s="998"/>
      <c r="C387" s="1001"/>
      <c r="D387" s="61" t="s">
        <v>119</v>
      </c>
      <c r="E387" s="62">
        <v>0</v>
      </c>
      <c r="F387" s="63">
        <f t="shared" si="297"/>
        <v>0</v>
      </c>
      <c r="G387" s="63">
        <v>0</v>
      </c>
      <c r="H387" s="64">
        <v>0</v>
      </c>
      <c r="I387" s="79">
        <f>J387+K387</f>
        <v>0</v>
      </c>
      <c r="J387" s="4">
        <f t="shared" si="292"/>
        <v>0</v>
      </c>
      <c r="K387" s="4">
        <f t="shared" si="298"/>
        <v>0</v>
      </c>
      <c r="L387" s="65" t="e">
        <f t="shared" si="294"/>
        <v>#DIV/0!</v>
      </c>
      <c r="M387" s="153">
        <v>4.6184000000000003</v>
      </c>
      <c r="N387" s="67">
        <f t="shared" si="295"/>
        <v>0</v>
      </c>
      <c r="O387" s="67">
        <f>M387*J387</f>
        <v>0</v>
      </c>
      <c r="P387" s="1003"/>
    </row>
    <row r="388" spans="2:16" x14ac:dyDescent="0.25">
      <c r="B388" s="998"/>
      <c r="C388" s="1001"/>
      <c r="D388" s="61" t="s">
        <v>123</v>
      </c>
      <c r="E388" s="62">
        <v>0</v>
      </c>
      <c r="F388" s="63">
        <f t="shared" si="297"/>
        <v>0</v>
      </c>
      <c r="G388" s="63">
        <v>0</v>
      </c>
      <c r="H388" s="64">
        <v>0</v>
      </c>
      <c r="I388" s="79">
        <f t="shared" ref="I388:I402" si="299">J388+K388</f>
        <v>0</v>
      </c>
      <c r="J388" s="4">
        <f t="shared" si="292"/>
        <v>0</v>
      </c>
      <c r="K388" s="4">
        <f t="shared" si="298"/>
        <v>0</v>
      </c>
      <c r="L388" s="65" t="e">
        <f t="shared" si="294"/>
        <v>#DIV/0!</v>
      </c>
      <c r="M388" s="153">
        <v>4.6184000000000003</v>
      </c>
      <c r="N388" s="67">
        <f t="shared" si="295"/>
        <v>0</v>
      </c>
      <c r="O388" s="67">
        <f t="shared" ref="O388:O393" si="300">M388*J388</f>
        <v>0</v>
      </c>
      <c r="P388" s="1003"/>
    </row>
    <row r="389" spans="2:16" x14ac:dyDescent="0.25">
      <c r="B389" s="998"/>
      <c r="C389" s="1001"/>
      <c r="D389" s="61" t="s">
        <v>124</v>
      </c>
      <c r="E389" s="62">
        <v>0</v>
      </c>
      <c r="F389" s="63">
        <f t="shared" si="297"/>
        <v>24600</v>
      </c>
      <c r="G389" s="63">
        <v>24200</v>
      </c>
      <c r="H389" s="64">
        <v>400</v>
      </c>
      <c r="I389" s="79">
        <f t="shared" si="299"/>
        <v>127524</v>
      </c>
      <c r="J389" s="4">
        <f t="shared" si="292"/>
        <v>123455</v>
      </c>
      <c r="K389" s="4">
        <f t="shared" si="298"/>
        <v>4069</v>
      </c>
      <c r="L389" s="65" t="e">
        <f t="shared" si="294"/>
        <v>#DIV/0!</v>
      </c>
      <c r="M389" s="153">
        <v>4.7636000000000003</v>
      </c>
      <c r="N389" s="67">
        <f t="shared" si="295"/>
        <v>115279.12000000001</v>
      </c>
      <c r="O389" s="67">
        <f t="shared" si="300"/>
        <v>588090.23800000001</v>
      </c>
      <c r="P389" s="1003"/>
    </row>
    <row r="390" spans="2:16" x14ac:dyDescent="0.25">
      <c r="B390" s="998"/>
      <c r="C390" s="1001"/>
      <c r="D390" s="61" t="s">
        <v>83</v>
      </c>
      <c r="E390" s="62">
        <v>0</v>
      </c>
      <c r="F390" s="63">
        <f t="shared" si="297"/>
        <v>0</v>
      </c>
      <c r="G390" s="63">
        <v>0</v>
      </c>
      <c r="H390" s="64">
        <v>0</v>
      </c>
      <c r="I390" s="79">
        <f t="shared" si="299"/>
        <v>0</v>
      </c>
      <c r="J390" s="4">
        <f t="shared" si="292"/>
        <v>0</v>
      </c>
      <c r="K390" s="4">
        <f t="shared" si="298"/>
        <v>0</v>
      </c>
      <c r="L390" s="65" t="e">
        <f t="shared" si="294"/>
        <v>#DIV/0!</v>
      </c>
      <c r="M390" s="66">
        <v>4.8738000000000001</v>
      </c>
      <c r="N390" s="67">
        <f t="shared" si="295"/>
        <v>0</v>
      </c>
      <c r="O390" s="67">
        <f t="shared" si="300"/>
        <v>0</v>
      </c>
      <c r="P390" s="1003"/>
    </row>
    <row r="391" spans="2:16" x14ac:dyDescent="0.25">
      <c r="B391" s="998"/>
      <c r="C391" s="180" t="s">
        <v>128</v>
      </c>
      <c r="D391" s="61" t="s">
        <v>124</v>
      </c>
      <c r="E391" s="62"/>
      <c r="F391" s="63">
        <f t="shared" si="297"/>
        <v>0</v>
      </c>
      <c r="G391" s="63">
        <v>0</v>
      </c>
      <c r="H391" s="64">
        <v>0</v>
      </c>
      <c r="I391" s="79">
        <f t="shared" si="299"/>
        <v>0</v>
      </c>
      <c r="J391" s="4">
        <f t="shared" si="292"/>
        <v>0</v>
      </c>
      <c r="K391" s="4">
        <f t="shared" si="298"/>
        <v>0</v>
      </c>
      <c r="L391" s="65"/>
      <c r="M391" s="66">
        <v>4.8738000000000001</v>
      </c>
      <c r="N391" s="67">
        <f t="shared" si="295"/>
        <v>0</v>
      </c>
      <c r="O391" s="67">
        <f t="shared" si="300"/>
        <v>0</v>
      </c>
      <c r="P391" s="1003"/>
    </row>
    <row r="392" spans="2:16" x14ac:dyDescent="0.25">
      <c r="B392" s="998"/>
      <c r="C392" s="1001" t="s">
        <v>84</v>
      </c>
      <c r="D392" s="61" t="s">
        <v>77</v>
      </c>
      <c r="E392" s="62">
        <v>0</v>
      </c>
      <c r="F392" s="63">
        <f t="shared" si="297"/>
        <v>32250</v>
      </c>
      <c r="G392" s="63">
        <v>31950</v>
      </c>
      <c r="H392" s="64">
        <v>300</v>
      </c>
      <c r="I392" s="79">
        <f t="shared" si="299"/>
        <v>130479</v>
      </c>
      <c r="J392" s="4">
        <f t="shared" si="292"/>
        <v>128800</v>
      </c>
      <c r="K392" s="4">
        <f t="shared" si="298"/>
        <v>1679</v>
      </c>
      <c r="L392" s="65" t="e">
        <f t="shared" ref="L392:L402" si="301">+J392/E392</f>
        <v>#DIV/0!</v>
      </c>
      <c r="M392" s="66">
        <v>4.9344999999999999</v>
      </c>
      <c r="N392" s="67">
        <f t="shared" si="295"/>
        <v>157657.27499999999</v>
      </c>
      <c r="O392" s="67">
        <f t="shared" si="300"/>
        <v>635563.6</v>
      </c>
      <c r="P392" s="1003"/>
    </row>
    <row r="393" spans="2:16" x14ac:dyDescent="0.25">
      <c r="B393" s="998"/>
      <c r="C393" s="1001"/>
      <c r="D393" s="61" t="s">
        <v>135</v>
      </c>
      <c r="E393" s="62"/>
      <c r="F393" s="63">
        <f t="shared" si="297"/>
        <v>0</v>
      </c>
      <c r="G393" s="63">
        <v>0</v>
      </c>
      <c r="H393" s="64">
        <v>0</v>
      </c>
      <c r="I393" s="79">
        <f t="shared" si="299"/>
        <v>0</v>
      </c>
      <c r="J393" s="4">
        <f t="shared" si="292"/>
        <v>0</v>
      </c>
      <c r="K393" s="4">
        <f t="shared" si="298"/>
        <v>0</v>
      </c>
      <c r="L393" s="65" t="e">
        <f t="shared" si="301"/>
        <v>#DIV/0!</v>
      </c>
      <c r="M393" s="66">
        <v>4.9344999999999999</v>
      </c>
      <c r="N393" s="67">
        <f t="shared" si="295"/>
        <v>0</v>
      </c>
      <c r="O393" s="67">
        <f t="shared" si="300"/>
        <v>0</v>
      </c>
      <c r="P393" s="1003"/>
    </row>
    <row r="394" spans="2:16" x14ac:dyDescent="0.25">
      <c r="B394" s="998"/>
      <c r="C394" s="1001"/>
      <c r="D394" s="61" t="s">
        <v>129</v>
      </c>
      <c r="E394" s="62">
        <v>0</v>
      </c>
      <c r="F394" s="63">
        <f t="shared" si="297"/>
        <v>0</v>
      </c>
      <c r="G394" s="155">
        <v>0</v>
      </c>
      <c r="H394" s="156">
        <v>0</v>
      </c>
      <c r="I394" s="157">
        <f t="shared" si="299"/>
        <v>0</v>
      </c>
      <c r="J394" s="4">
        <f t="shared" si="292"/>
        <v>0</v>
      </c>
      <c r="K394" s="4">
        <f t="shared" si="298"/>
        <v>0</v>
      </c>
      <c r="L394" s="158" t="e">
        <f t="shared" si="301"/>
        <v>#DIV/0!</v>
      </c>
      <c r="M394" s="66">
        <v>4.9344999999999999</v>
      </c>
      <c r="N394" s="159">
        <f t="shared" si="295"/>
        <v>0</v>
      </c>
      <c r="O394" s="67">
        <f>M394*J394</f>
        <v>0</v>
      </c>
      <c r="P394" s="1003"/>
    </row>
    <row r="395" spans="2:16" x14ac:dyDescent="0.25">
      <c r="B395" s="998"/>
      <c r="C395" s="1001" t="s">
        <v>85</v>
      </c>
      <c r="D395" s="61" t="s">
        <v>77</v>
      </c>
      <c r="E395" s="62">
        <v>0</v>
      </c>
      <c r="F395" s="63">
        <f t="shared" si="297"/>
        <v>29400</v>
      </c>
      <c r="G395" s="63">
        <v>29000</v>
      </c>
      <c r="H395" s="64">
        <v>400</v>
      </c>
      <c r="I395" s="79">
        <f t="shared" si="299"/>
        <v>112123</v>
      </c>
      <c r="J395" s="4">
        <f t="shared" si="292"/>
        <v>105950</v>
      </c>
      <c r="K395" s="4">
        <f t="shared" si="298"/>
        <v>6173</v>
      </c>
      <c r="L395" s="65" t="e">
        <f t="shared" si="301"/>
        <v>#DIV/0!</v>
      </c>
      <c r="M395" s="148">
        <v>5.5069999999999997</v>
      </c>
      <c r="N395" s="67">
        <f t="shared" si="295"/>
        <v>159703</v>
      </c>
      <c r="O395" s="67">
        <f>M395*J395</f>
        <v>583466.65</v>
      </c>
      <c r="P395" s="1003"/>
    </row>
    <row r="396" spans="2:16" x14ac:dyDescent="0.25">
      <c r="B396" s="998"/>
      <c r="C396" s="1001"/>
      <c r="D396" s="61" t="s">
        <v>112</v>
      </c>
      <c r="E396" s="62">
        <v>0</v>
      </c>
      <c r="F396" s="63">
        <f t="shared" si="297"/>
        <v>0</v>
      </c>
      <c r="G396" s="63">
        <v>0</v>
      </c>
      <c r="H396" s="64">
        <v>0</v>
      </c>
      <c r="I396" s="79">
        <f t="shared" si="299"/>
        <v>0</v>
      </c>
      <c r="J396" s="4">
        <f t="shared" si="292"/>
        <v>0</v>
      </c>
      <c r="K396" s="4">
        <f t="shared" si="298"/>
        <v>0</v>
      </c>
      <c r="L396" s="65" t="e">
        <f t="shared" si="301"/>
        <v>#DIV/0!</v>
      </c>
      <c r="M396" s="147">
        <v>5.6550000000000002</v>
      </c>
      <c r="N396" s="67">
        <f t="shared" si="295"/>
        <v>0</v>
      </c>
      <c r="O396" s="67">
        <f>M396*J396</f>
        <v>0</v>
      </c>
      <c r="P396" s="1003"/>
    </row>
    <row r="397" spans="2:16" x14ac:dyDescent="0.25">
      <c r="B397" s="998"/>
      <c r="C397" s="1001"/>
      <c r="D397" s="61" t="s">
        <v>118</v>
      </c>
      <c r="E397" s="62">
        <v>0</v>
      </c>
      <c r="F397" s="63">
        <f t="shared" si="297"/>
        <v>0</v>
      </c>
      <c r="G397" s="63">
        <v>0</v>
      </c>
      <c r="H397" s="64">
        <v>0</v>
      </c>
      <c r="I397" s="79">
        <f t="shared" si="299"/>
        <v>0</v>
      </c>
      <c r="J397" s="4">
        <f t="shared" si="292"/>
        <v>0</v>
      </c>
      <c r="K397" s="4">
        <f t="shared" si="298"/>
        <v>0</v>
      </c>
      <c r="L397" s="65" t="e">
        <f t="shared" si="301"/>
        <v>#DIV/0!</v>
      </c>
      <c r="M397" s="152">
        <v>5.6550000000000002</v>
      </c>
      <c r="N397" s="67">
        <f t="shared" si="295"/>
        <v>0</v>
      </c>
      <c r="O397" s="67">
        <f>M397*J397</f>
        <v>0</v>
      </c>
      <c r="P397" s="1003"/>
    </row>
    <row r="398" spans="2:16" x14ac:dyDescent="0.25">
      <c r="B398" s="998"/>
      <c r="C398" s="1001"/>
      <c r="D398" s="61" t="s">
        <v>121</v>
      </c>
      <c r="E398" s="62">
        <v>0</v>
      </c>
      <c r="F398" s="63">
        <f t="shared" si="297"/>
        <v>2700</v>
      </c>
      <c r="G398" s="63">
        <v>2700</v>
      </c>
      <c r="H398" s="64">
        <v>0</v>
      </c>
      <c r="I398" s="79">
        <f t="shared" si="299"/>
        <v>12400</v>
      </c>
      <c r="J398" s="4">
        <f t="shared" si="292"/>
        <v>10900</v>
      </c>
      <c r="K398" s="4">
        <f t="shared" si="298"/>
        <v>1500</v>
      </c>
      <c r="L398" s="65" t="e">
        <f t="shared" si="301"/>
        <v>#DIV/0!</v>
      </c>
      <c r="M398" s="66">
        <v>5.7885299999999997</v>
      </c>
      <c r="N398" s="67">
        <f>+M398*G398</f>
        <v>15629.030999999999</v>
      </c>
      <c r="O398" s="67">
        <f>M398*J398</f>
        <v>63094.976999999999</v>
      </c>
      <c r="P398" s="1003"/>
    </row>
    <row r="399" spans="2:16" x14ac:dyDescent="0.25">
      <c r="B399" s="998"/>
      <c r="C399" s="1001"/>
      <c r="D399" s="61" t="s">
        <v>136</v>
      </c>
      <c r="E399" s="62">
        <v>0</v>
      </c>
      <c r="F399" s="63">
        <f t="shared" si="297"/>
        <v>0</v>
      </c>
      <c r="G399" s="63">
        <v>0</v>
      </c>
      <c r="H399" s="64">
        <v>0</v>
      </c>
      <c r="I399" s="79">
        <f t="shared" si="299"/>
        <v>0</v>
      </c>
      <c r="J399" s="4">
        <f t="shared" si="292"/>
        <v>0</v>
      </c>
      <c r="K399" s="4">
        <f t="shared" si="298"/>
        <v>0</v>
      </c>
      <c r="L399" s="65" t="e">
        <f t="shared" si="301"/>
        <v>#DIV/0!</v>
      </c>
      <c r="M399" s="152">
        <v>5.6550000000000002</v>
      </c>
      <c r="N399" s="67">
        <f t="shared" ref="N399:N401" si="302">+M399*G399</f>
        <v>0</v>
      </c>
      <c r="O399" s="67">
        <f t="shared" ref="O399:O402" si="303">M399*J399</f>
        <v>0</v>
      </c>
      <c r="P399" s="1003"/>
    </row>
    <row r="400" spans="2:16" x14ac:dyDescent="0.25">
      <c r="B400" s="998"/>
      <c r="C400" s="180" t="s">
        <v>86</v>
      </c>
      <c r="D400" s="61" t="s">
        <v>77</v>
      </c>
      <c r="E400" s="62">
        <v>0</v>
      </c>
      <c r="F400" s="63">
        <f t="shared" si="297"/>
        <v>0</v>
      </c>
      <c r="G400" s="63">
        <v>0</v>
      </c>
      <c r="H400" s="64">
        <v>0</v>
      </c>
      <c r="I400" s="79">
        <f t="shared" si="299"/>
        <v>0</v>
      </c>
      <c r="J400" s="4">
        <f t="shared" si="292"/>
        <v>0</v>
      </c>
      <c r="K400" s="4">
        <f t="shared" si="298"/>
        <v>0</v>
      </c>
      <c r="L400" s="65" t="e">
        <f t="shared" si="301"/>
        <v>#DIV/0!</v>
      </c>
      <c r="M400" s="66">
        <v>3.2963</v>
      </c>
      <c r="N400" s="67">
        <f t="shared" si="302"/>
        <v>0</v>
      </c>
      <c r="O400" s="67">
        <f t="shared" si="303"/>
        <v>0</v>
      </c>
      <c r="P400" s="1003"/>
    </row>
    <row r="401" spans="2:16" x14ac:dyDescent="0.25">
      <c r="B401" s="998"/>
      <c r="C401" s="180" t="s">
        <v>87</v>
      </c>
      <c r="D401" s="61" t="s">
        <v>77</v>
      </c>
      <c r="E401" s="62">
        <v>0</v>
      </c>
      <c r="F401" s="63">
        <f t="shared" si="297"/>
        <v>0</v>
      </c>
      <c r="G401" s="63">
        <v>0</v>
      </c>
      <c r="H401" s="64">
        <v>0</v>
      </c>
      <c r="I401" s="79">
        <f t="shared" si="299"/>
        <v>0</v>
      </c>
      <c r="J401" s="4">
        <f t="shared" si="292"/>
        <v>0</v>
      </c>
      <c r="K401" s="4">
        <f t="shared" si="298"/>
        <v>0</v>
      </c>
      <c r="L401" s="65" t="e">
        <f t="shared" si="301"/>
        <v>#DIV/0!</v>
      </c>
      <c r="M401" s="66">
        <v>3.2963</v>
      </c>
      <c r="N401" s="67">
        <f t="shared" si="302"/>
        <v>0</v>
      </c>
      <c r="O401" s="67">
        <f t="shared" si="303"/>
        <v>0</v>
      </c>
      <c r="P401" s="1003"/>
    </row>
    <row r="402" spans="2:16" ht="15.75" thickBot="1" x14ac:dyDescent="0.3">
      <c r="B402" s="998"/>
      <c r="C402" s="68" t="s">
        <v>88</v>
      </c>
      <c r="D402" s="69" t="s">
        <v>89</v>
      </c>
      <c r="E402" s="70">
        <v>0</v>
      </c>
      <c r="F402" s="71">
        <f t="shared" si="297"/>
        <v>65030</v>
      </c>
      <c r="G402" s="71">
        <v>65000</v>
      </c>
      <c r="H402" s="72">
        <v>30</v>
      </c>
      <c r="I402" s="80">
        <f t="shared" si="299"/>
        <v>65030</v>
      </c>
      <c r="J402" s="4">
        <f t="shared" si="292"/>
        <v>65000</v>
      </c>
      <c r="K402" s="4">
        <f t="shared" si="298"/>
        <v>30</v>
      </c>
      <c r="L402" s="65" t="e">
        <f t="shared" si="301"/>
        <v>#DIV/0!</v>
      </c>
      <c r="M402" s="73">
        <v>2.3201000000000001</v>
      </c>
      <c r="N402" s="74">
        <f t="shared" ref="N402" si="304">M402*G402</f>
        <v>150806.5</v>
      </c>
      <c r="O402" s="74">
        <f t="shared" si="303"/>
        <v>150806.5</v>
      </c>
      <c r="P402" s="1004"/>
    </row>
    <row r="403" spans="2:16" ht="15.75" thickBot="1" x14ac:dyDescent="0.3">
      <c r="B403" s="999"/>
      <c r="C403" s="1007" t="s">
        <v>99</v>
      </c>
      <c r="D403" s="1008"/>
      <c r="E403" s="1008"/>
      <c r="F403" s="1008"/>
      <c r="G403" s="1008"/>
      <c r="H403" s="1009"/>
      <c r="I403" s="116">
        <f>J403+K403</f>
        <v>502838</v>
      </c>
      <c r="J403" s="115">
        <f>SUM(J375:J402)</f>
        <v>488180</v>
      </c>
      <c r="K403" s="115">
        <f>SUM(K375:K402)</f>
        <v>14658</v>
      </c>
      <c r="L403" s="114"/>
      <c r="M403" s="113"/>
      <c r="N403" s="114"/>
      <c r="O403" s="97">
        <f>SUM(O375:O402)</f>
        <v>3892380.2549999999</v>
      </c>
      <c r="P403" s="96"/>
    </row>
    <row r="404" spans="2:16" ht="15.75" thickBot="1" x14ac:dyDescent="0.3">
      <c r="B404" s="100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2"/>
    </row>
    <row r="405" spans="2:16" ht="15.75" thickBot="1" x14ac:dyDescent="0.3">
      <c r="B405" s="992" t="s">
        <v>100</v>
      </c>
      <c r="C405" s="993"/>
      <c r="D405" s="993"/>
      <c r="E405" s="993"/>
      <c r="F405" s="993"/>
      <c r="G405" s="993"/>
      <c r="H405" s="993"/>
      <c r="I405" s="993"/>
      <c r="J405" s="993"/>
      <c r="K405" s="993"/>
      <c r="L405" s="993"/>
      <c r="M405" s="993"/>
      <c r="N405" s="994"/>
      <c r="O405" s="103">
        <f>+O403+O374+O359</f>
        <v>8438824.8289999999</v>
      </c>
      <c r="P405" s="96"/>
    </row>
    <row r="406" spans="2:16" ht="15.75" thickBot="1" x14ac:dyDescent="0.3"/>
    <row r="407" spans="2:16" x14ac:dyDescent="0.25">
      <c r="B407" s="1026" t="s">
        <v>1</v>
      </c>
      <c r="C407" s="1028" t="s">
        <v>2</v>
      </c>
      <c r="D407" s="1031" t="s">
        <v>3</v>
      </c>
      <c r="E407" s="1034" t="s">
        <v>4</v>
      </c>
      <c r="F407" s="1035"/>
      <c r="G407" s="1035"/>
      <c r="H407" s="1035"/>
      <c r="I407" s="1035"/>
      <c r="J407" s="1035"/>
      <c r="K407" s="1035"/>
      <c r="L407" s="1036"/>
      <c r="M407" s="1037" t="s">
        <v>5</v>
      </c>
      <c r="N407" s="1038"/>
      <c r="O407" s="1039"/>
      <c r="P407" s="1031" t="s">
        <v>6</v>
      </c>
    </row>
    <row r="408" spans="2:16" x14ac:dyDescent="0.25">
      <c r="B408" s="1027"/>
      <c r="C408" s="1029"/>
      <c r="D408" s="1032"/>
      <c r="E408" s="1040" t="s">
        <v>7</v>
      </c>
      <c r="F408" s="1042" t="s">
        <v>146</v>
      </c>
      <c r="G408" s="1042"/>
      <c r="H408" s="1043"/>
      <c r="I408" s="1044" t="s">
        <v>8</v>
      </c>
      <c r="J408" s="1042"/>
      <c r="K408" s="1042"/>
      <c r="L408" s="1043" t="s">
        <v>9</v>
      </c>
      <c r="M408" s="1046" t="s">
        <v>10</v>
      </c>
      <c r="N408" s="1048" t="s">
        <v>11</v>
      </c>
      <c r="O408" s="1050" t="s">
        <v>12</v>
      </c>
      <c r="P408" s="1032"/>
    </row>
    <row r="409" spans="2:16" ht="15.75" thickBot="1" x14ac:dyDescent="0.3">
      <c r="B409" s="1027"/>
      <c r="C409" s="1030"/>
      <c r="D409" s="1033"/>
      <c r="E409" s="1041"/>
      <c r="F409" s="2" t="s">
        <v>13</v>
      </c>
      <c r="G409" s="2" t="s">
        <v>14</v>
      </c>
      <c r="H409" s="187" t="s">
        <v>15</v>
      </c>
      <c r="I409" s="142" t="s">
        <v>13</v>
      </c>
      <c r="J409" s="2" t="s">
        <v>14</v>
      </c>
      <c r="K409" s="2" t="s">
        <v>15</v>
      </c>
      <c r="L409" s="1045"/>
      <c r="M409" s="1047"/>
      <c r="N409" s="1049"/>
      <c r="O409" s="1051"/>
      <c r="P409" s="1033"/>
    </row>
    <row r="410" spans="2:16" x14ac:dyDescent="0.25">
      <c r="B410" s="1010" t="s">
        <v>53</v>
      </c>
      <c r="C410" s="29"/>
      <c r="D410" s="117" t="s">
        <v>143</v>
      </c>
      <c r="E410" s="98">
        <v>0</v>
      </c>
      <c r="F410" s="4">
        <f>+G410+H410</f>
        <v>66760</v>
      </c>
      <c r="G410" s="4">
        <v>65520</v>
      </c>
      <c r="H410" s="8">
        <v>1240</v>
      </c>
      <c r="I410" s="6">
        <f>J410+K410</f>
        <v>224702</v>
      </c>
      <c r="J410" s="4">
        <f>G410+J345</f>
        <v>220640</v>
      </c>
      <c r="K410" s="4">
        <f>H410+K345</f>
        <v>4062</v>
      </c>
      <c r="L410" s="33" t="e">
        <f>+J410/E410</f>
        <v>#DIV/0!</v>
      </c>
      <c r="M410" s="104">
        <v>1.3652</v>
      </c>
      <c r="N410" s="31">
        <f>G410*M410</f>
        <v>89447.903999999995</v>
      </c>
      <c r="O410" s="86">
        <f>M410*J410</f>
        <v>301217.728</v>
      </c>
      <c r="P410" s="1012"/>
    </row>
    <row r="411" spans="2:16" x14ac:dyDescent="0.25">
      <c r="B411" s="1011"/>
      <c r="C411" s="32"/>
      <c r="D411" s="118" t="s">
        <v>109</v>
      </c>
      <c r="E411" s="99">
        <v>0</v>
      </c>
      <c r="F411" s="9">
        <f>+G411+H411</f>
        <v>0</v>
      </c>
      <c r="G411" s="9">
        <v>0</v>
      </c>
      <c r="H411" s="10">
        <v>0</v>
      </c>
      <c r="I411" s="6">
        <f>J411+K411</f>
        <v>0</v>
      </c>
      <c r="J411" s="4">
        <f>+G411+J346</f>
        <v>0</v>
      </c>
      <c r="K411" s="4">
        <f>+H411+K346</f>
        <v>0</v>
      </c>
      <c r="L411" s="33"/>
      <c r="M411" s="105">
        <v>5.9917999999999996</v>
      </c>
      <c r="N411" s="34">
        <f>M411*G411</f>
        <v>0</v>
      </c>
      <c r="O411" s="87">
        <f>M411*J411</f>
        <v>0</v>
      </c>
      <c r="P411" s="1013"/>
    </row>
    <row r="412" spans="2:16" x14ac:dyDescent="0.25">
      <c r="B412" s="1011"/>
      <c r="C412" s="35"/>
      <c r="D412" s="119" t="s">
        <v>55</v>
      </c>
      <c r="E412" s="99">
        <v>0</v>
      </c>
      <c r="F412" s="9">
        <f t="shared" ref="F412:F416" si="305">+G412+H412</f>
        <v>173896</v>
      </c>
      <c r="G412" s="9">
        <f>57500+115000</f>
        <v>172500</v>
      </c>
      <c r="H412" s="10">
        <f>534+862</f>
        <v>1396</v>
      </c>
      <c r="I412" s="6">
        <f t="shared" ref="I412:I416" si="306">J412+K412</f>
        <v>1336583</v>
      </c>
      <c r="J412" s="4">
        <f t="shared" ref="J412:J416" si="307">+G412+J347</f>
        <v>1325750</v>
      </c>
      <c r="K412" s="4">
        <f t="shared" ref="K412:K416" si="308">+H412+K347</f>
        <v>10833</v>
      </c>
      <c r="L412" s="33" t="e">
        <f t="shared" ref="L412" si="309">+J412/E412</f>
        <v>#DIV/0!</v>
      </c>
      <c r="M412" s="106">
        <v>2.3807999999999998</v>
      </c>
      <c r="N412" s="36">
        <f>G412*M412</f>
        <v>410687.99999999994</v>
      </c>
      <c r="O412" s="88">
        <f>M412*J412</f>
        <v>3156345.5999999996</v>
      </c>
      <c r="P412" s="1013"/>
    </row>
    <row r="413" spans="2:16" x14ac:dyDescent="0.25">
      <c r="B413" s="1011"/>
      <c r="C413" s="35"/>
      <c r="D413" s="119" t="s">
        <v>56</v>
      </c>
      <c r="E413" s="99">
        <v>0</v>
      </c>
      <c r="F413" s="9">
        <f t="shared" si="305"/>
        <v>0</v>
      </c>
      <c r="G413" s="9">
        <v>0</v>
      </c>
      <c r="H413" s="10">
        <v>0</v>
      </c>
      <c r="I413" s="6">
        <f t="shared" si="306"/>
        <v>0</v>
      </c>
      <c r="J413" s="4">
        <f t="shared" si="307"/>
        <v>0</v>
      </c>
      <c r="K413" s="4">
        <f t="shared" si="308"/>
        <v>0</v>
      </c>
      <c r="L413" s="33"/>
      <c r="M413" s="106">
        <v>2.1457999999999999</v>
      </c>
      <c r="N413" s="36">
        <f t="shared" ref="N413:N416" si="310">G413*M413</f>
        <v>0</v>
      </c>
      <c r="O413" s="88">
        <f>M413*J413</f>
        <v>0</v>
      </c>
      <c r="P413" s="1013"/>
    </row>
    <row r="414" spans="2:16" x14ac:dyDescent="0.25">
      <c r="B414" s="1011"/>
      <c r="C414" s="35"/>
      <c r="D414" s="119" t="s">
        <v>106</v>
      </c>
      <c r="E414" s="99">
        <v>0</v>
      </c>
      <c r="F414" s="9">
        <f t="shared" si="305"/>
        <v>0</v>
      </c>
      <c r="G414" s="9">
        <v>0</v>
      </c>
      <c r="H414" s="10">
        <v>0</v>
      </c>
      <c r="I414" s="6">
        <f t="shared" si="306"/>
        <v>0</v>
      </c>
      <c r="J414" s="4">
        <f t="shared" si="307"/>
        <v>0</v>
      </c>
      <c r="K414" s="4">
        <f t="shared" si="308"/>
        <v>0</v>
      </c>
      <c r="L414" s="33" t="e">
        <f t="shared" ref="L414:L415" si="311">+J414/E414</f>
        <v>#DIV/0!</v>
      </c>
      <c r="M414" s="143">
        <v>4.0426000000000002</v>
      </c>
      <c r="N414" s="36">
        <f t="shared" si="310"/>
        <v>0</v>
      </c>
      <c r="O414" s="88">
        <f>M414*J414</f>
        <v>0</v>
      </c>
      <c r="P414" s="1013"/>
    </row>
    <row r="415" spans="2:16" x14ac:dyDescent="0.25">
      <c r="B415" s="1011"/>
      <c r="C415" s="35"/>
      <c r="D415" s="119" t="s">
        <v>110</v>
      </c>
      <c r="E415" s="99">
        <v>0</v>
      </c>
      <c r="F415" s="9">
        <f t="shared" si="305"/>
        <v>0</v>
      </c>
      <c r="G415" s="9">
        <v>0</v>
      </c>
      <c r="H415" s="10">
        <v>0</v>
      </c>
      <c r="I415" s="6">
        <f t="shared" si="306"/>
        <v>0</v>
      </c>
      <c r="J415" s="4">
        <f t="shared" si="307"/>
        <v>0</v>
      </c>
      <c r="K415" s="4">
        <f t="shared" si="308"/>
        <v>0</v>
      </c>
      <c r="L415" s="33" t="e">
        <f t="shared" si="311"/>
        <v>#DIV/0!</v>
      </c>
      <c r="M415" s="143">
        <v>3.8715000000000002</v>
      </c>
      <c r="N415" s="36">
        <f t="shared" si="310"/>
        <v>0</v>
      </c>
      <c r="O415" s="88">
        <f t="shared" ref="O415:O416" si="312">M415*J415</f>
        <v>0</v>
      </c>
      <c r="P415" s="1013"/>
    </row>
    <row r="416" spans="2:16" ht="15.75" thickBot="1" x14ac:dyDescent="0.3">
      <c r="B416" s="1011"/>
      <c r="C416" s="82"/>
      <c r="D416" s="120" t="s">
        <v>57</v>
      </c>
      <c r="E416" s="108">
        <v>0</v>
      </c>
      <c r="F416" s="12">
        <f t="shared" si="305"/>
        <v>0</v>
      </c>
      <c r="G416" s="12">
        <v>0</v>
      </c>
      <c r="H416" s="13">
        <v>0</v>
      </c>
      <c r="I416" s="21">
        <f t="shared" si="306"/>
        <v>0</v>
      </c>
      <c r="J416" s="4">
        <f t="shared" si="307"/>
        <v>0</v>
      </c>
      <c r="K416" s="4">
        <f t="shared" si="308"/>
        <v>0</v>
      </c>
      <c r="L416" s="81"/>
      <c r="M416" s="127">
        <v>12.284700000000001</v>
      </c>
      <c r="N416" s="36">
        <f t="shared" si="310"/>
        <v>0</v>
      </c>
      <c r="O416" s="128">
        <f t="shared" si="312"/>
        <v>0</v>
      </c>
      <c r="P416" s="1013"/>
    </row>
    <row r="417" spans="2:16" ht="15.75" thickBot="1" x14ac:dyDescent="0.3">
      <c r="B417" s="1011"/>
      <c r="C417" s="1016" t="s">
        <v>104</v>
      </c>
      <c r="D417" s="1017"/>
      <c r="E417" s="129"/>
      <c r="F417" s="130">
        <f>SUM(F410:F416)</f>
        <v>240656</v>
      </c>
      <c r="G417" s="130">
        <f>SUM(G410:G416)</f>
        <v>238020</v>
      </c>
      <c r="H417" s="131">
        <f>SUM(H410:H416)</f>
        <v>2636</v>
      </c>
      <c r="I417" s="132">
        <f>+J417+K417</f>
        <v>1561285</v>
      </c>
      <c r="J417" s="133">
        <f>SUM(J410:J416)</f>
        <v>1546390</v>
      </c>
      <c r="K417" s="133">
        <f>SUM(K410:K416)</f>
        <v>14895</v>
      </c>
      <c r="L417" s="134"/>
      <c r="M417" s="135"/>
      <c r="N417" s="136"/>
      <c r="O417" s="137">
        <f>SUM(O410:O416)</f>
        <v>3457563.3279999997</v>
      </c>
      <c r="P417" s="1014"/>
    </row>
    <row r="418" spans="2:16" x14ac:dyDescent="0.25">
      <c r="B418" s="1011"/>
      <c r="C418" s="32"/>
      <c r="D418" s="118" t="s">
        <v>58</v>
      </c>
      <c r="E418" s="98">
        <v>0</v>
      </c>
      <c r="F418" s="4">
        <f t="shared" ref="F418:F421" si="313">+G418+H418</f>
        <v>0</v>
      </c>
      <c r="G418" s="4">
        <v>0</v>
      </c>
      <c r="H418" s="8">
        <v>0</v>
      </c>
      <c r="I418" s="6">
        <f t="shared" ref="I418:I422" si="314">J418+K418</f>
        <v>0</v>
      </c>
      <c r="J418" s="4">
        <f>G418+J353</f>
        <v>0</v>
      </c>
      <c r="K418" s="4">
        <f>H418+K353</f>
        <v>0</v>
      </c>
      <c r="L418" s="33" t="e">
        <f t="shared" ref="L418" si="315">+J418/E418</f>
        <v>#DIV/0!</v>
      </c>
      <c r="M418" s="105">
        <v>12.029500000000001</v>
      </c>
      <c r="N418" s="34">
        <f>M418*G418</f>
        <v>0</v>
      </c>
      <c r="O418" s="87">
        <f t="shared" ref="O418:O420" si="316">M418*J418</f>
        <v>0</v>
      </c>
      <c r="P418" s="1013"/>
    </row>
    <row r="419" spans="2:16" x14ac:dyDescent="0.25">
      <c r="B419" s="1011"/>
      <c r="C419" s="35"/>
      <c r="D419" s="119" t="s">
        <v>59</v>
      </c>
      <c r="E419" s="99">
        <v>0</v>
      </c>
      <c r="F419" s="9">
        <f t="shared" si="313"/>
        <v>0</v>
      </c>
      <c r="G419" s="9">
        <v>0</v>
      </c>
      <c r="H419" s="10">
        <v>0</v>
      </c>
      <c r="I419" s="6">
        <f t="shared" si="314"/>
        <v>0</v>
      </c>
      <c r="J419" s="4">
        <f>G419+J354</f>
        <v>0</v>
      </c>
      <c r="K419" s="4">
        <f>H419+K354</f>
        <v>0</v>
      </c>
      <c r="L419" s="33"/>
      <c r="M419" s="106">
        <v>0</v>
      </c>
      <c r="N419" s="36"/>
      <c r="O419" s="88">
        <f t="shared" si="316"/>
        <v>0</v>
      </c>
      <c r="P419" s="1013"/>
    </row>
    <row r="420" spans="2:16" x14ac:dyDescent="0.25">
      <c r="B420" s="1011"/>
      <c r="C420" s="35"/>
      <c r="D420" s="119" t="s">
        <v>97</v>
      </c>
      <c r="E420" s="99">
        <v>0</v>
      </c>
      <c r="F420" s="9">
        <f t="shared" si="313"/>
        <v>0</v>
      </c>
      <c r="G420" s="9">
        <v>0</v>
      </c>
      <c r="H420" s="10">
        <v>0</v>
      </c>
      <c r="I420" s="6">
        <f t="shared" si="314"/>
        <v>0</v>
      </c>
      <c r="J420" s="4">
        <f t="shared" ref="J420:J422" si="317">G420+J355</f>
        <v>0</v>
      </c>
      <c r="K420" s="4">
        <f t="shared" ref="K420:K422" si="318">H420+K355</f>
        <v>0</v>
      </c>
      <c r="L420" s="33" t="e">
        <f t="shared" ref="L420:L422" si="319">+J420/E420</f>
        <v>#DIV/0!</v>
      </c>
      <c r="M420" s="106">
        <v>19.688600000000001</v>
      </c>
      <c r="N420" s="36">
        <f>M420*G420</f>
        <v>0</v>
      </c>
      <c r="O420" s="88">
        <f t="shared" si="316"/>
        <v>0</v>
      </c>
      <c r="P420" s="1013"/>
    </row>
    <row r="421" spans="2:16" x14ac:dyDescent="0.25">
      <c r="B421" s="1011"/>
      <c r="C421" s="35"/>
      <c r="D421" s="119" t="s">
        <v>61</v>
      </c>
      <c r="E421" s="99">
        <v>0</v>
      </c>
      <c r="F421" s="9">
        <f t="shared" si="313"/>
        <v>0</v>
      </c>
      <c r="G421" s="9">
        <v>0</v>
      </c>
      <c r="H421" s="10">
        <v>0</v>
      </c>
      <c r="I421" s="6">
        <f t="shared" si="314"/>
        <v>0</v>
      </c>
      <c r="J421" s="4">
        <f t="shared" si="317"/>
        <v>0</v>
      </c>
      <c r="K421" s="4">
        <f t="shared" si="318"/>
        <v>0</v>
      </c>
      <c r="L421" s="33" t="e">
        <f t="shared" si="319"/>
        <v>#DIV/0!</v>
      </c>
      <c r="M421" s="106">
        <v>1.2824</v>
      </c>
      <c r="N421" s="151">
        <f>M421*G421</f>
        <v>0</v>
      </c>
      <c r="O421" s="88">
        <f>M421*J421</f>
        <v>0</v>
      </c>
      <c r="P421" s="1013"/>
    </row>
    <row r="422" spans="2:16" ht="15.75" thickBot="1" x14ac:dyDescent="0.3">
      <c r="B422" s="1011"/>
      <c r="C422" s="82"/>
      <c r="D422" s="120" t="s">
        <v>60</v>
      </c>
      <c r="E422" s="108">
        <v>0</v>
      </c>
      <c r="F422" s="12">
        <v>0</v>
      </c>
      <c r="G422" s="12">
        <v>8640</v>
      </c>
      <c r="H422" s="13">
        <v>174</v>
      </c>
      <c r="I422" s="21">
        <f t="shared" si="314"/>
        <v>8814</v>
      </c>
      <c r="J422" s="4">
        <f t="shared" si="317"/>
        <v>8640</v>
      </c>
      <c r="K422" s="4">
        <f t="shared" si="318"/>
        <v>174</v>
      </c>
      <c r="L422" s="81" t="e">
        <f t="shared" si="319"/>
        <v>#DIV/0!</v>
      </c>
      <c r="M422" s="107">
        <v>18.2316</v>
      </c>
      <c r="N422" s="75"/>
      <c r="O422" s="89">
        <f t="shared" ref="O422" si="320">M422*J422</f>
        <v>157521.024</v>
      </c>
      <c r="P422" s="1015"/>
    </row>
    <row r="423" spans="2:16" ht="15.75" thickBot="1" x14ac:dyDescent="0.3">
      <c r="B423" s="995" t="s">
        <v>105</v>
      </c>
      <c r="C423" s="996"/>
      <c r="D423" s="996"/>
      <c r="E423" s="124"/>
      <c r="F423" s="125">
        <f>+G423+H423</f>
        <v>8814</v>
      </c>
      <c r="G423" s="125">
        <f>SUM(G418:G422)</f>
        <v>8640</v>
      </c>
      <c r="H423" s="126">
        <f>SUM(H418:H422)</f>
        <v>174</v>
      </c>
      <c r="I423" s="121">
        <f>J423+K423</f>
        <v>8814</v>
      </c>
      <c r="J423" s="122">
        <f>SUM(J418:J422)</f>
        <v>8640</v>
      </c>
      <c r="K423" s="123">
        <f>SUM(K418:K422)</f>
        <v>174</v>
      </c>
      <c r="L423" s="138"/>
      <c r="M423" s="139"/>
      <c r="N423" s="140"/>
      <c r="O423" s="141">
        <f>SUM(O418:O422)</f>
        <v>157521.024</v>
      </c>
      <c r="P423" s="185"/>
    </row>
    <row r="424" spans="2:16" ht="15.75" thickBot="1" x14ac:dyDescent="0.3">
      <c r="B424" s="995" t="s">
        <v>98</v>
      </c>
      <c r="C424" s="996"/>
      <c r="D424" s="996"/>
      <c r="E424" s="1018"/>
      <c r="F424" s="1018"/>
      <c r="G424" s="1018"/>
      <c r="H424" s="1018"/>
      <c r="I424" s="996"/>
      <c r="J424" s="996"/>
      <c r="K424" s="996"/>
      <c r="L424" s="996"/>
      <c r="M424" s="996"/>
      <c r="N424" s="1019"/>
      <c r="O424" s="83">
        <f>O417+O423</f>
        <v>3615084.352</v>
      </c>
      <c r="P424" s="185"/>
    </row>
    <row r="425" spans="2:16" x14ac:dyDescent="0.25">
      <c r="B425" s="1010" t="s">
        <v>62</v>
      </c>
      <c r="C425" s="37" t="s">
        <v>63</v>
      </c>
      <c r="D425" s="28" t="s">
        <v>64</v>
      </c>
      <c r="E425" s="38">
        <v>0</v>
      </c>
      <c r="F425" s="14">
        <f>+G425+H425</f>
        <v>0</v>
      </c>
      <c r="G425" s="14">
        <v>0</v>
      </c>
      <c r="H425" s="5">
        <v>0</v>
      </c>
      <c r="I425" s="17">
        <f t="shared" ref="I425:I431" si="321">J425+K425</f>
        <v>0</v>
      </c>
      <c r="J425" s="4">
        <f>G425+J360</f>
        <v>0</v>
      </c>
      <c r="K425" s="4">
        <f>H425+K360</f>
        <v>0</v>
      </c>
      <c r="L425" s="30" t="e">
        <f>+J425/E425</f>
        <v>#DIV/0!</v>
      </c>
      <c r="M425" s="146">
        <v>2.2141000000000002</v>
      </c>
      <c r="N425" s="15">
        <f>+M425*G425</f>
        <v>0</v>
      </c>
      <c r="O425" s="90">
        <f>+M425*J425</f>
        <v>0</v>
      </c>
      <c r="P425" s="1021"/>
    </row>
    <row r="426" spans="2:16" x14ac:dyDescent="0.25">
      <c r="B426" s="1011"/>
      <c r="C426" s="39"/>
      <c r="D426" s="22" t="s">
        <v>65</v>
      </c>
      <c r="E426" s="3">
        <v>0</v>
      </c>
      <c r="F426" s="9">
        <f t="shared" ref="F426:F431" si="322">+G426+H426</f>
        <v>0</v>
      </c>
      <c r="G426" s="4">
        <v>0</v>
      </c>
      <c r="H426" s="8">
        <v>0</v>
      </c>
      <c r="I426" s="6">
        <f t="shared" si="321"/>
        <v>0</v>
      </c>
      <c r="J426" s="4">
        <f>+G426+J361</f>
        <v>0</v>
      </c>
      <c r="K426" s="4">
        <f>+H426+K361</f>
        <v>0</v>
      </c>
      <c r="L426" s="40" t="e">
        <f t="shared" ref="L426:L427" si="323">+J426/E426</f>
        <v>#DIV/0!</v>
      </c>
      <c r="M426" s="145">
        <v>2.4565999999999999</v>
      </c>
      <c r="N426" s="11">
        <f t="shared" ref="N426:N428" si="324">+M426*G426</f>
        <v>0</v>
      </c>
      <c r="O426" s="91">
        <f t="shared" ref="O426:O428" si="325">+M426*J426</f>
        <v>0</v>
      </c>
      <c r="P426" s="1022"/>
    </row>
    <row r="427" spans="2:16" x14ac:dyDescent="0.25">
      <c r="B427" s="1011"/>
      <c r="C427" s="39"/>
      <c r="D427" s="23" t="s">
        <v>126</v>
      </c>
      <c r="E427" s="3">
        <v>0</v>
      </c>
      <c r="F427" s="9">
        <f t="shared" si="322"/>
        <v>0</v>
      </c>
      <c r="G427" s="4">
        <v>0</v>
      </c>
      <c r="H427" s="8">
        <v>0</v>
      </c>
      <c r="I427" s="6">
        <f t="shared" si="321"/>
        <v>0</v>
      </c>
      <c r="J427" s="4">
        <f t="shared" ref="J427:J428" si="326">+G427+J362</f>
        <v>0</v>
      </c>
      <c r="K427" s="4">
        <f t="shared" ref="K427:K431" si="327">+H427+K362</f>
        <v>0</v>
      </c>
      <c r="L427" s="40" t="e">
        <f t="shared" si="323"/>
        <v>#DIV/0!</v>
      </c>
      <c r="M427" s="145">
        <v>2.2907000000000002</v>
      </c>
      <c r="N427" s="11">
        <f t="shared" si="324"/>
        <v>0</v>
      </c>
      <c r="O427" s="91">
        <f t="shared" si="325"/>
        <v>0</v>
      </c>
      <c r="P427" s="1022"/>
    </row>
    <row r="428" spans="2:16" x14ac:dyDescent="0.25">
      <c r="B428" s="1011"/>
      <c r="C428" s="39"/>
      <c r="D428" s="22" t="s">
        <v>131</v>
      </c>
      <c r="E428" s="3"/>
      <c r="F428" s="9">
        <f t="shared" si="322"/>
        <v>0</v>
      </c>
      <c r="G428" s="4">
        <v>0</v>
      </c>
      <c r="H428" s="8">
        <v>0</v>
      </c>
      <c r="I428" s="6">
        <f t="shared" si="321"/>
        <v>0</v>
      </c>
      <c r="J428" s="4">
        <f t="shared" si="326"/>
        <v>0</v>
      </c>
      <c r="K428" s="4">
        <f t="shared" si="327"/>
        <v>0</v>
      </c>
      <c r="L428" s="33"/>
      <c r="M428" s="150">
        <v>2.544</v>
      </c>
      <c r="N428" s="11">
        <f t="shared" si="324"/>
        <v>0</v>
      </c>
      <c r="O428" s="91">
        <f t="shared" si="325"/>
        <v>0</v>
      </c>
      <c r="P428" s="1022"/>
    </row>
    <row r="429" spans="2:16" x14ac:dyDescent="0.25">
      <c r="B429" s="1011"/>
      <c r="C429" s="39" t="s">
        <v>66</v>
      </c>
      <c r="D429" s="22" t="s">
        <v>133</v>
      </c>
      <c r="E429" s="3">
        <v>0</v>
      </c>
      <c r="F429" s="9">
        <f t="shared" si="322"/>
        <v>98540</v>
      </c>
      <c r="G429" s="4">
        <v>97000</v>
      </c>
      <c r="H429" s="8">
        <v>1540</v>
      </c>
      <c r="I429" s="6">
        <f t="shared" si="321"/>
        <v>361617</v>
      </c>
      <c r="J429" s="4">
        <f>+G429+J364</f>
        <v>353750</v>
      </c>
      <c r="K429" s="4">
        <f t="shared" si="327"/>
        <v>7867</v>
      </c>
      <c r="L429" s="33" t="e">
        <f>+J429/E429</f>
        <v>#DIV/0!</v>
      </c>
      <c r="M429" s="144">
        <v>2.2141000000000002</v>
      </c>
      <c r="N429" s="7">
        <f>+M429*G429</f>
        <v>214767.7</v>
      </c>
      <c r="O429" s="85">
        <f>+M429*J429</f>
        <v>783237.87500000012</v>
      </c>
      <c r="P429" s="1022"/>
    </row>
    <row r="430" spans="2:16" x14ac:dyDescent="0.25">
      <c r="B430" s="1011"/>
      <c r="C430" s="39"/>
      <c r="D430" s="22" t="s">
        <v>65</v>
      </c>
      <c r="E430" s="3">
        <v>0</v>
      </c>
      <c r="F430" s="9">
        <f t="shared" si="322"/>
        <v>0</v>
      </c>
      <c r="G430" s="4">
        <v>0</v>
      </c>
      <c r="H430" s="8">
        <v>0</v>
      </c>
      <c r="I430" s="6">
        <f t="shared" si="321"/>
        <v>0</v>
      </c>
      <c r="J430" s="4">
        <f t="shared" ref="J430:J431" si="328">+G430+J365</f>
        <v>0</v>
      </c>
      <c r="K430" s="4">
        <f t="shared" si="327"/>
        <v>0</v>
      </c>
      <c r="L430" s="40" t="e">
        <f t="shared" ref="L430:L431" si="329">+J430/E430</f>
        <v>#DIV/0!</v>
      </c>
      <c r="M430" s="145">
        <v>2.4565999999999999</v>
      </c>
      <c r="N430" s="11">
        <f t="shared" ref="N430:N431" si="330">+M430*G430</f>
        <v>0</v>
      </c>
      <c r="O430" s="91">
        <f t="shared" ref="O430" si="331">+M430*J430</f>
        <v>0</v>
      </c>
      <c r="P430" s="1022"/>
    </row>
    <row r="431" spans="2:16" ht="15.75" thickBot="1" x14ac:dyDescent="0.3">
      <c r="B431" s="1011"/>
      <c r="C431" s="39"/>
      <c r="D431" s="22" t="s">
        <v>126</v>
      </c>
      <c r="E431" s="3">
        <v>0</v>
      </c>
      <c r="F431" s="9">
        <f t="shared" si="322"/>
        <v>0</v>
      </c>
      <c r="G431" s="4">
        <v>0</v>
      </c>
      <c r="H431" s="8">
        <v>0</v>
      </c>
      <c r="I431" s="6">
        <f t="shared" si="321"/>
        <v>0</v>
      </c>
      <c r="J431" s="4">
        <f t="shared" si="328"/>
        <v>0</v>
      </c>
      <c r="K431" s="4">
        <f t="shared" si="327"/>
        <v>0</v>
      </c>
      <c r="L431" s="40" t="e">
        <f t="shared" si="329"/>
        <v>#DIV/0!</v>
      </c>
      <c r="M431" s="145">
        <v>2.2907000000000002</v>
      </c>
      <c r="N431" s="11">
        <f t="shared" si="330"/>
        <v>0</v>
      </c>
      <c r="O431" s="154">
        <f>+M431*J431</f>
        <v>0</v>
      </c>
      <c r="P431" s="1023"/>
    </row>
    <row r="432" spans="2:16" ht="15.75" thickBot="1" x14ac:dyDescent="0.3">
      <c r="B432" s="1011"/>
      <c r="C432" s="41" t="s">
        <v>29</v>
      </c>
      <c r="D432" s="27" t="str">
        <f>+C432</f>
        <v>TOTAL 1/2</v>
      </c>
      <c r="E432" s="42">
        <f>SUM(E425:E431)</f>
        <v>0</v>
      </c>
      <c r="F432" s="43">
        <f>SUM(F425:F431)</f>
        <v>98540</v>
      </c>
      <c r="G432" s="43">
        <f>SUM(G425:G431)</f>
        <v>97000</v>
      </c>
      <c r="H432" s="44">
        <f>SUM(H425:H431)</f>
        <v>1540</v>
      </c>
      <c r="I432" s="45">
        <f>SUM(I429:I431)</f>
        <v>361617</v>
      </c>
      <c r="J432" s="43">
        <f>SUM(J425:J431)</f>
        <v>353750</v>
      </c>
      <c r="K432" s="43">
        <f>SUM(K425:K431)</f>
        <v>7867</v>
      </c>
      <c r="L432" s="46" t="e">
        <f>+J432/E432</f>
        <v>#DIV/0!</v>
      </c>
      <c r="M432" s="47"/>
      <c r="N432" s="48">
        <f>SUM(N429:N431)</f>
        <v>214767.7</v>
      </c>
      <c r="O432" s="49">
        <f>SUM(O425:O431)</f>
        <v>783237.87500000012</v>
      </c>
      <c r="P432" s="186"/>
    </row>
    <row r="433" spans="2:16" x14ac:dyDescent="0.25">
      <c r="B433" s="1011"/>
      <c r="C433" s="1024" t="s">
        <v>67</v>
      </c>
      <c r="D433" s="22" t="s">
        <v>64</v>
      </c>
      <c r="E433" s="3">
        <v>0</v>
      </c>
      <c r="F433" s="4">
        <f>G433+H433</f>
        <v>0</v>
      </c>
      <c r="G433" s="4">
        <v>0</v>
      </c>
      <c r="H433" s="8">
        <v>0</v>
      </c>
      <c r="I433" s="16">
        <f>J433+K433</f>
        <v>109220</v>
      </c>
      <c r="J433" s="4">
        <f>G433+J368</f>
        <v>105750</v>
      </c>
      <c r="K433" s="4">
        <f>H433+K368</f>
        <v>3470</v>
      </c>
      <c r="L433" s="50" t="e">
        <f>+J433/E433</f>
        <v>#DIV/0!</v>
      </c>
      <c r="M433" s="144">
        <v>4.1712999999999996</v>
      </c>
      <c r="N433" s="7">
        <f>+M433*G433</f>
        <v>0</v>
      </c>
      <c r="O433" s="93">
        <f>+M433*J433</f>
        <v>441114.97499999998</v>
      </c>
      <c r="P433" s="1021"/>
    </row>
    <row r="434" spans="2:16" x14ac:dyDescent="0.25">
      <c r="B434" s="1011"/>
      <c r="C434" s="1025"/>
      <c r="D434" s="22" t="s">
        <v>65</v>
      </c>
      <c r="E434" s="3">
        <v>0</v>
      </c>
      <c r="F434" s="4">
        <f>G434+H434</f>
        <v>0</v>
      </c>
      <c r="G434" s="4">
        <v>0</v>
      </c>
      <c r="H434" s="8">
        <v>0</v>
      </c>
      <c r="I434" s="6">
        <f>+R1478+F434</f>
        <v>0</v>
      </c>
      <c r="J434" s="4">
        <f>G434+J369</f>
        <v>120000</v>
      </c>
      <c r="K434" s="4">
        <f>H434+K369</f>
        <v>3230</v>
      </c>
      <c r="L434" s="51" t="e">
        <f t="shared" ref="L434:L438" si="332">+J434/E434</f>
        <v>#DIV/0!</v>
      </c>
      <c r="M434" s="145">
        <v>4.8285999999999998</v>
      </c>
      <c r="N434" s="11">
        <f t="shared" ref="N434:N436" si="333">+M434*G434</f>
        <v>0</v>
      </c>
      <c r="O434" s="94">
        <f t="shared" ref="O434:O436" si="334">+M434*J434</f>
        <v>579432</v>
      </c>
      <c r="P434" s="1022"/>
    </row>
    <row r="435" spans="2:16" x14ac:dyDescent="0.25">
      <c r="B435" s="1011"/>
      <c r="C435" s="1025"/>
      <c r="D435" s="22" t="s">
        <v>127</v>
      </c>
      <c r="E435" s="3"/>
      <c r="F435" s="4">
        <f>G435+H435</f>
        <v>0</v>
      </c>
      <c r="G435" s="4">
        <v>0</v>
      </c>
      <c r="H435" s="8">
        <v>0</v>
      </c>
      <c r="I435" s="6">
        <f>+R1479+F435</f>
        <v>0</v>
      </c>
      <c r="J435" s="4">
        <f t="shared" ref="J435:J436" si="335">G435+J370</f>
        <v>0</v>
      </c>
      <c r="K435" s="4">
        <f t="shared" ref="K435:K436" si="336">H435+K370</f>
        <v>0</v>
      </c>
      <c r="L435" s="51" t="e">
        <f t="shared" si="332"/>
        <v>#DIV/0!</v>
      </c>
      <c r="M435" s="144">
        <v>4.5023</v>
      </c>
      <c r="N435" s="11">
        <f t="shared" si="333"/>
        <v>0</v>
      </c>
      <c r="O435" s="94">
        <f t="shared" si="334"/>
        <v>0</v>
      </c>
      <c r="P435" s="1022"/>
    </row>
    <row r="436" spans="2:16" ht="15.75" thickBot="1" x14ac:dyDescent="0.3">
      <c r="B436" s="1011"/>
      <c r="C436" s="1025"/>
      <c r="D436" s="22" t="s">
        <v>111</v>
      </c>
      <c r="E436" s="3">
        <v>0</v>
      </c>
      <c r="F436" s="4">
        <f t="shared" ref="F436" si="337">G436+H436</f>
        <v>0</v>
      </c>
      <c r="G436" s="4">
        <v>0</v>
      </c>
      <c r="H436" s="8">
        <v>0</v>
      </c>
      <c r="I436" s="6">
        <f>+R1479+F436</f>
        <v>0</v>
      </c>
      <c r="J436" s="4">
        <f t="shared" si="335"/>
        <v>0</v>
      </c>
      <c r="K436" s="4">
        <f t="shared" si="336"/>
        <v>0</v>
      </c>
      <c r="L436" s="51" t="e">
        <f t="shared" si="332"/>
        <v>#DIV/0!</v>
      </c>
      <c r="M436" s="144">
        <v>4.4065000000000003</v>
      </c>
      <c r="N436" s="11">
        <f t="shared" si="333"/>
        <v>0</v>
      </c>
      <c r="O436" s="94">
        <f t="shared" si="334"/>
        <v>0</v>
      </c>
      <c r="P436" s="1022"/>
    </row>
    <row r="437" spans="2:16" ht="15.75" thickBot="1" x14ac:dyDescent="0.3">
      <c r="B437" s="1011"/>
      <c r="C437" s="41" t="s">
        <v>31</v>
      </c>
      <c r="D437" s="18" t="str">
        <f>+C437</f>
        <v>TOTAL 4/4</v>
      </c>
      <c r="E437" s="42">
        <f t="shared" ref="E437:K437" si="338">SUM(E433:E436)</f>
        <v>0</v>
      </c>
      <c r="F437" s="43">
        <f t="shared" si="338"/>
        <v>0</v>
      </c>
      <c r="G437" s="43">
        <f t="shared" si="338"/>
        <v>0</v>
      </c>
      <c r="H437" s="44">
        <f t="shared" si="338"/>
        <v>0</v>
      </c>
      <c r="I437" s="45">
        <f t="shared" si="338"/>
        <v>109220</v>
      </c>
      <c r="J437" s="43">
        <f t="shared" si="338"/>
        <v>225750</v>
      </c>
      <c r="K437" s="43">
        <f t="shared" si="338"/>
        <v>6700</v>
      </c>
      <c r="L437" s="46" t="e">
        <f t="shared" si="332"/>
        <v>#DIV/0!</v>
      </c>
      <c r="M437" s="47"/>
      <c r="N437" s="48">
        <f>SUM(N433:N436)</f>
        <v>0</v>
      </c>
      <c r="O437" s="92">
        <f>SUM(O433:O436)</f>
        <v>1020546.975</v>
      </c>
      <c r="P437" s="1023"/>
    </row>
    <row r="438" spans="2:16" ht="15.75" thickBot="1" x14ac:dyDescent="0.3">
      <c r="B438" s="1020"/>
      <c r="C438" s="41" t="s">
        <v>68</v>
      </c>
      <c r="D438" s="27" t="s">
        <v>64</v>
      </c>
      <c r="E438" s="25">
        <v>0</v>
      </c>
      <c r="F438" s="20">
        <f>G438+H438</f>
        <v>0</v>
      </c>
      <c r="G438" s="20">
        <v>0</v>
      </c>
      <c r="H438" s="24">
        <v>0</v>
      </c>
      <c r="I438" s="19">
        <f>J438+K438</f>
        <v>0</v>
      </c>
      <c r="J438" s="4">
        <f>G438+J373</f>
        <v>0</v>
      </c>
      <c r="K438" s="4">
        <f>H438+K373</f>
        <v>0</v>
      </c>
      <c r="L438" s="52" t="e">
        <f t="shared" si="332"/>
        <v>#DIV/0!</v>
      </c>
      <c r="M438" s="149">
        <v>1.4086000000000001</v>
      </c>
      <c r="N438" s="26">
        <f t="shared" ref="N438" si="339">+M438*G438</f>
        <v>0</v>
      </c>
      <c r="O438" s="95">
        <f t="shared" ref="O438" si="340">+M438*J438</f>
        <v>0</v>
      </c>
      <c r="P438" s="53"/>
    </row>
    <row r="439" spans="2:16" ht="15.75" thickBot="1" x14ac:dyDescent="0.3">
      <c r="B439" s="995" t="s">
        <v>95</v>
      </c>
      <c r="C439" s="996"/>
      <c r="D439" s="996"/>
      <c r="E439" s="996"/>
      <c r="F439" s="996"/>
      <c r="G439" s="996"/>
      <c r="H439" s="996"/>
      <c r="I439" s="110">
        <f>J439+K439</f>
        <v>594067</v>
      </c>
      <c r="J439" s="110">
        <f>J432+J437+J438</f>
        <v>579500</v>
      </c>
      <c r="K439" s="110">
        <f>K432+K437+K438</f>
        <v>14567</v>
      </c>
      <c r="L439" s="111"/>
      <c r="M439" s="112"/>
      <c r="N439" s="109"/>
      <c r="O439" s="77">
        <f>+O438+O437+O432</f>
        <v>1803784.85</v>
      </c>
      <c r="P439" s="84"/>
    </row>
    <row r="440" spans="2:16" x14ac:dyDescent="0.25">
      <c r="B440" s="997" t="s">
        <v>69</v>
      </c>
      <c r="C440" s="1000" t="s">
        <v>70</v>
      </c>
      <c r="D440" s="54" t="s">
        <v>71</v>
      </c>
      <c r="E440" s="55">
        <v>0</v>
      </c>
      <c r="F440" s="56">
        <f>G440+H440</f>
        <v>0</v>
      </c>
      <c r="G440" s="56">
        <v>0</v>
      </c>
      <c r="H440" s="57">
        <v>0</v>
      </c>
      <c r="I440" s="78">
        <f>J440+K440</f>
        <v>0</v>
      </c>
      <c r="J440" s="4">
        <f>G440+J375</f>
        <v>0</v>
      </c>
      <c r="K440" s="4">
        <f>H440+K375</f>
        <v>0</v>
      </c>
      <c r="L440" s="58" t="e">
        <f t="shared" ref="L440" si="341">+J440/E440</f>
        <v>#DIV/0!</v>
      </c>
      <c r="M440" s="59">
        <v>32.946300000000001</v>
      </c>
      <c r="N440" s="60">
        <f>+M440*G440</f>
        <v>0</v>
      </c>
      <c r="O440" s="60">
        <f>M440*J440</f>
        <v>0</v>
      </c>
      <c r="P440" s="1002"/>
    </row>
    <row r="441" spans="2:16" x14ac:dyDescent="0.25">
      <c r="B441" s="998"/>
      <c r="C441" s="1001"/>
      <c r="D441" s="61" t="s">
        <v>72</v>
      </c>
      <c r="E441" s="62">
        <v>0</v>
      </c>
      <c r="F441" s="63">
        <f>G441+H441</f>
        <v>0</v>
      </c>
      <c r="G441" s="63">
        <v>0</v>
      </c>
      <c r="H441" s="64">
        <v>0</v>
      </c>
      <c r="I441" s="79">
        <f>J441+K441</f>
        <v>20295</v>
      </c>
      <c r="J441" s="4">
        <f>G441+J376</f>
        <v>20000</v>
      </c>
      <c r="K441" s="4">
        <f>H441+K376</f>
        <v>295</v>
      </c>
      <c r="L441" s="65" t="e">
        <f>+J441/E441</f>
        <v>#DIV/0!</v>
      </c>
      <c r="M441" s="66">
        <v>35.398400000000002</v>
      </c>
      <c r="N441" s="67">
        <f>+M441*G441</f>
        <v>0</v>
      </c>
      <c r="O441" s="67">
        <f>M441*J441</f>
        <v>707968</v>
      </c>
      <c r="P441" s="1003"/>
    </row>
    <row r="442" spans="2:16" x14ac:dyDescent="0.25">
      <c r="B442" s="998"/>
      <c r="C442" s="1001"/>
      <c r="D442" s="61" t="s">
        <v>73</v>
      </c>
      <c r="E442" s="62">
        <v>0</v>
      </c>
      <c r="F442" s="63">
        <f t="shared" ref="F442:F445" si="342">G442+H442</f>
        <v>0</v>
      </c>
      <c r="G442" s="63">
        <v>0</v>
      </c>
      <c r="H442" s="64">
        <v>0</v>
      </c>
      <c r="I442" s="79">
        <f t="shared" ref="I442:I451" si="343">J442+K442</f>
        <v>0</v>
      </c>
      <c r="J442" s="4">
        <f t="shared" ref="J442:J467" si="344">G442+J377</f>
        <v>0</v>
      </c>
      <c r="K442" s="4">
        <f t="shared" ref="K442:K446" si="345">H442+K377</f>
        <v>0</v>
      </c>
      <c r="L442" s="65" t="e">
        <f t="shared" ref="L442:L455" si="346">+J442/E442</f>
        <v>#DIV/0!</v>
      </c>
      <c r="M442" s="66">
        <v>32.946300000000001</v>
      </c>
      <c r="N442" s="67">
        <f t="shared" ref="N442:N462" si="347">+M442*G442</f>
        <v>0</v>
      </c>
      <c r="O442" s="67">
        <f t="shared" ref="O442:O450" si="348">M442*J442</f>
        <v>0</v>
      </c>
      <c r="P442" s="1003"/>
    </row>
    <row r="443" spans="2:16" x14ac:dyDescent="0.25">
      <c r="B443" s="998"/>
      <c r="C443" s="1001" t="s">
        <v>74</v>
      </c>
      <c r="D443" s="61" t="s">
        <v>75</v>
      </c>
      <c r="E443" s="62">
        <v>0</v>
      </c>
      <c r="F443" s="63">
        <f t="shared" si="342"/>
        <v>4903</v>
      </c>
      <c r="G443" s="63">
        <v>4800</v>
      </c>
      <c r="H443" s="64">
        <v>103</v>
      </c>
      <c r="I443" s="79">
        <f t="shared" si="343"/>
        <v>9879</v>
      </c>
      <c r="J443" s="4">
        <f t="shared" si="344"/>
        <v>9600</v>
      </c>
      <c r="K443" s="4">
        <f t="shared" si="345"/>
        <v>279</v>
      </c>
      <c r="L443" s="65" t="e">
        <f t="shared" si="346"/>
        <v>#DIV/0!</v>
      </c>
      <c r="M443" s="66">
        <v>55.4758</v>
      </c>
      <c r="N443" s="67">
        <f t="shared" si="347"/>
        <v>266283.84000000003</v>
      </c>
      <c r="O443" s="67">
        <f t="shared" si="348"/>
        <v>532567.68000000005</v>
      </c>
      <c r="P443" s="1003"/>
    </row>
    <row r="444" spans="2:16" x14ac:dyDescent="0.25">
      <c r="B444" s="998"/>
      <c r="C444" s="1001"/>
      <c r="D444" s="61" t="s">
        <v>134</v>
      </c>
      <c r="E444" s="62">
        <v>0</v>
      </c>
      <c r="F444" s="63">
        <f t="shared" si="342"/>
        <v>0</v>
      </c>
      <c r="G444" s="63">
        <v>0</v>
      </c>
      <c r="H444" s="64">
        <v>0</v>
      </c>
      <c r="I444" s="79">
        <f t="shared" si="343"/>
        <v>0</v>
      </c>
      <c r="J444" s="4">
        <f t="shared" si="344"/>
        <v>0</v>
      </c>
      <c r="K444" s="4">
        <f t="shared" si="345"/>
        <v>0</v>
      </c>
      <c r="L444" s="65" t="e">
        <f t="shared" si="346"/>
        <v>#DIV/0!</v>
      </c>
      <c r="M444" s="66">
        <v>53.515999999999998</v>
      </c>
      <c r="N444" s="67">
        <f t="shared" si="347"/>
        <v>0</v>
      </c>
      <c r="O444" s="67">
        <f t="shared" si="348"/>
        <v>0</v>
      </c>
      <c r="P444" s="1003"/>
    </row>
    <row r="445" spans="2:16" x14ac:dyDescent="0.25">
      <c r="B445" s="998"/>
      <c r="C445" s="1001"/>
      <c r="D445" s="61" t="s">
        <v>72</v>
      </c>
      <c r="E445" s="62">
        <v>0</v>
      </c>
      <c r="F445" s="63">
        <f t="shared" si="342"/>
        <v>2479</v>
      </c>
      <c r="G445" s="63">
        <v>2400</v>
      </c>
      <c r="H445" s="64">
        <v>79</v>
      </c>
      <c r="I445" s="79">
        <f t="shared" si="343"/>
        <v>9804</v>
      </c>
      <c r="J445" s="4">
        <f t="shared" si="344"/>
        <v>9600</v>
      </c>
      <c r="K445" s="4">
        <f t="shared" si="345"/>
        <v>204</v>
      </c>
      <c r="L445" s="65" t="e">
        <f t="shared" si="346"/>
        <v>#DIV/0!</v>
      </c>
      <c r="M445" s="66">
        <v>58.836300000000001</v>
      </c>
      <c r="N445" s="67">
        <f t="shared" si="347"/>
        <v>141207.12</v>
      </c>
      <c r="O445" s="67">
        <f t="shared" si="348"/>
        <v>564828.48</v>
      </c>
      <c r="P445" s="1003"/>
    </row>
    <row r="446" spans="2:16" x14ac:dyDescent="0.25">
      <c r="B446" s="998"/>
      <c r="C446" s="1005" t="s">
        <v>76</v>
      </c>
      <c r="D446" s="61" t="s">
        <v>77</v>
      </c>
      <c r="E446" s="62">
        <v>0</v>
      </c>
      <c r="F446" s="63">
        <f>G446+H446</f>
        <v>0</v>
      </c>
      <c r="G446" s="63">
        <v>0</v>
      </c>
      <c r="H446" s="64">
        <v>0</v>
      </c>
      <c r="I446" s="79">
        <f t="shared" si="343"/>
        <v>3675</v>
      </c>
      <c r="J446" s="4">
        <f t="shared" si="344"/>
        <v>3575</v>
      </c>
      <c r="K446" s="4">
        <f t="shared" si="345"/>
        <v>100</v>
      </c>
      <c r="L446" s="65" t="e">
        <f t="shared" si="346"/>
        <v>#DIV/0!</v>
      </c>
      <c r="M446" s="66">
        <v>25.687200000000001</v>
      </c>
      <c r="N446" s="67">
        <f t="shared" si="347"/>
        <v>0</v>
      </c>
      <c r="O446" s="67">
        <f t="shared" si="348"/>
        <v>91831.74</v>
      </c>
      <c r="P446" s="1003"/>
    </row>
    <row r="447" spans="2:16" x14ac:dyDescent="0.25">
      <c r="B447" s="998"/>
      <c r="C447" s="1006"/>
      <c r="D447" s="61" t="s">
        <v>117</v>
      </c>
      <c r="E447" s="62">
        <v>0</v>
      </c>
      <c r="F447" s="63">
        <f>G447+H447</f>
        <v>0</v>
      </c>
      <c r="G447" s="63">
        <v>0</v>
      </c>
      <c r="H447" s="64">
        <v>0</v>
      </c>
      <c r="I447" s="79">
        <f t="shared" si="343"/>
        <v>0</v>
      </c>
      <c r="J447" s="4">
        <f t="shared" si="344"/>
        <v>0</v>
      </c>
      <c r="K447" s="4">
        <f>H447+K382</f>
        <v>0</v>
      </c>
      <c r="L447" s="65" t="e">
        <f t="shared" si="346"/>
        <v>#DIV/0!</v>
      </c>
      <c r="M447" s="66">
        <v>25.033899999999999</v>
      </c>
      <c r="N447" s="67">
        <f t="shared" si="347"/>
        <v>0</v>
      </c>
      <c r="O447" s="67">
        <f t="shared" si="348"/>
        <v>0</v>
      </c>
      <c r="P447" s="1003"/>
    </row>
    <row r="448" spans="2:16" x14ac:dyDescent="0.25">
      <c r="B448" s="998"/>
      <c r="C448" s="1005" t="s">
        <v>78</v>
      </c>
      <c r="D448" s="61" t="s">
        <v>79</v>
      </c>
      <c r="E448" s="62">
        <v>0</v>
      </c>
      <c r="F448" s="63">
        <f t="shared" ref="F448:F467" si="349">G448+H448</f>
        <v>0</v>
      </c>
      <c r="G448" s="63">
        <v>0</v>
      </c>
      <c r="H448" s="64">
        <v>0</v>
      </c>
      <c r="I448" s="79">
        <f t="shared" si="343"/>
        <v>8113</v>
      </c>
      <c r="J448" s="4">
        <f t="shared" si="344"/>
        <v>8000</v>
      </c>
      <c r="K448" s="4">
        <f t="shared" ref="K448:K467" si="350">H448+K383</f>
        <v>113</v>
      </c>
      <c r="L448" s="65" t="e">
        <f t="shared" si="346"/>
        <v>#DIV/0!</v>
      </c>
      <c r="M448" s="66">
        <v>41.992699999999999</v>
      </c>
      <c r="N448" s="67">
        <f t="shared" si="347"/>
        <v>0</v>
      </c>
      <c r="O448" s="67">
        <f t="shared" si="348"/>
        <v>335941.6</v>
      </c>
      <c r="P448" s="1003"/>
    </row>
    <row r="449" spans="2:16" x14ac:dyDescent="0.25">
      <c r="B449" s="998"/>
      <c r="C449" s="1006"/>
      <c r="D449" s="61" t="s">
        <v>72</v>
      </c>
      <c r="E449" s="62">
        <v>0</v>
      </c>
      <c r="F449" s="63">
        <f t="shared" si="349"/>
        <v>0</v>
      </c>
      <c r="G449" s="63">
        <v>0</v>
      </c>
      <c r="H449" s="64">
        <v>0</v>
      </c>
      <c r="I449" s="79">
        <f t="shared" si="343"/>
        <v>0</v>
      </c>
      <c r="J449" s="4">
        <f t="shared" si="344"/>
        <v>0</v>
      </c>
      <c r="K449" s="4">
        <f t="shared" si="350"/>
        <v>0</v>
      </c>
      <c r="L449" s="65" t="e">
        <f t="shared" si="346"/>
        <v>#DIV/0!</v>
      </c>
      <c r="M449" s="66">
        <v>42.283799999999999</v>
      </c>
      <c r="N449" s="67">
        <f t="shared" si="347"/>
        <v>0</v>
      </c>
      <c r="O449" s="67">
        <f t="shared" si="348"/>
        <v>0</v>
      </c>
      <c r="P449" s="1003"/>
    </row>
    <row r="450" spans="2:16" x14ac:dyDescent="0.25">
      <c r="B450" s="998"/>
      <c r="C450" s="184" t="s">
        <v>80</v>
      </c>
      <c r="D450" s="61" t="s">
        <v>81</v>
      </c>
      <c r="E450" s="62">
        <v>0</v>
      </c>
      <c r="F450" s="63">
        <f t="shared" si="349"/>
        <v>0</v>
      </c>
      <c r="G450" s="63">
        <v>0</v>
      </c>
      <c r="H450" s="64">
        <v>0</v>
      </c>
      <c r="I450" s="79">
        <f t="shared" si="343"/>
        <v>10898</v>
      </c>
      <c r="J450" s="4">
        <f t="shared" si="344"/>
        <v>10500</v>
      </c>
      <c r="K450" s="4">
        <f t="shared" si="350"/>
        <v>398</v>
      </c>
      <c r="L450" s="65" t="e">
        <f t="shared" si="346"/>
        <v>#DIV/0!</v>
      </c>
      <c r="M450" s="66">
        <v>4.3535000000000004</v>
      </c>
      <c r="N450" s="67">
        <f t="shared" si="347"/>
        <v>0</v>
      </c>
      <c r="O450" s="67">
        <f t="shared" si="348"/>
        <v>45711.750000000007</v>
      </c>
      <c r="P450" s="1003"/>
    </row>
    <row r="451" spans="2:16" x14ac:dyDescent="0.25">
      <c r="B451" s="998"/>
      <c r="C451" s="1001" t="s">
        <v>82</v>
      </c>
      <c r="D451" s="61" t="s">
        <v>77</v>
      </c>
      <c r="E451" s="62">
        <v>0</v>
      </c>
      <c r="F451" s="63">
        <f t="shared" si="349"/>
        <v>0</v>
      </c>
      <c r="G451" s="63">
        <v>0</v>
      </c>
      <c r="H451" s="64">
        <v>0</v>
      </c>
      <c r="I451" s="79">
        <f t="shared" si="343"/>
        <v>0</v>
      </c>
      <c r="J451" s="4">
        <f t="shared" si="344"/>
        <v>0</v>
      </c>
      <c r="K451" s="4">
        <f t="shared" si="350"/>
        <v>0</v>
      </c>
      <c r="L451" s="65" t="e">
        <f t="shared" si="346"/>
        <v>#DIV/0!</v>
      </c>
      <c r="M451" s="66">
        <v>4.6184000000000003</v>
      </c>
      <c r="N451" s="67">
        <f t="shared" si="347"/>
        <v>0</v>
      </c>
      <c r="O451" s="67">
        <f>M451*J451</f>
        <v>0</v>
      </c>
      <c r="P451" s="1003"/>
    </row>
    <row r="452" spans="2:16" x14ac:dyDescent="0.25">
      <c r="B452" s="998"/>
      <c r="C452" s="1001"/>
      <c r="D452" s="61" t="s">
        <v>119</v>
      </c>
      <c r="E452" s="62">
        <v>0</v>
      </c>
      <c r="F452" s="63">
        <f t="shared" si="349"/>
        <v>0</v>
      </c>
      <c r="G452" s="63">
        <v>0</v>
      </c>
      <c r="H452" s="64">
        <v>0</v>
      </c>
      <c r="I452" s="79">
        <f>J452+K452</f>
        <v>0</v>
      </c>
      <c r="J452" s="4">
        <f t="shared" si="344"/>
        <v>0</v>
      </c>
      <c r="K452" s="4">
        <f t="shared" si="350"/>
        <v>0</v>
      </c>
      <c r="L452" s="65" t="e">
        <f t="shared" si="346"/>
        <v>#DIV/0!</v>
      </c>
      <c r="M452" s="153">
        <v>4.6184000000000003</v>
      </c>
      <c r="N452" s="67">
        <f t="shared" si="347"/>
        <v>0</v>
      </c>
      <c r="O452" s="67">
        <f>M452*J452</f>
        <v>0</v>
      </c>
      <c r="P452" s="1003"/>
    </row>
    <row r="453" spans="2:16" x14ac:dyDescent="0.25">
      <c r="B453" s="998"/>
      <c r="C453" s="1001"/>
      <c r="D453" s="61" t="s">
        <v>123</v>
      </c>
      <c r="E453" s="62">
        <v>0</v>
      </c>
      <c r="F453" s="63">
        <f t="shared" si="349"/>
        <v>0</v>
      </c>
      <c r="G453" s="63">
        <v>0</v>
      </c>
      <c r="H453" s="64">
        <v>0</v>
      </c>
      <c r="I453" s="79">
        <f t="shared" ref="I453:I467" si="351">J453+K453</f>
        <v>0</v>
      </c>
      <c r="J453" s="4">
        <f t="shared" si="344"/>
        <v>0</v>
      </c>
      <c r="K453" s="4">
        <f t="shared" si="350"/>
        <v>0</v>
      </c>
      <c r="L453" s="65" t="e">
        <f t="shared" si="346"/>
        <v>#DIV/0!</v>
      </c>
      <c r="M453" s="153">
        <v>4.6184000000000003</v>
      </c>
      <c r="N453" s="67">
        <f t="shared" si="347"/>
        <v>0</v>
      </c>
      <c r="O453" s="67">
        <f t="shared" ref="O453:O458" si="352">M453*J453</f>
        <v>0</v>
      </c>
      <c r="P453" s="1003"/>
    </row>
    <row r="454" spans="2:16" x14ac:dyDescent="0.25">
      <c r="B454" s="998"/>
      <c r="C454" s="1001"/>
      <c r="D454" s="61" t="s">
        <v>124</v>
      </c>
      <c r="E454" s="62">
        <v>0</v>
      </c>
      <c r="F454" s="63">
        <f t="shared" si="349"/>
        <v>24589</v>
      </c>
      <c r="G454" s="63">
        <v>24200</v>
      </c>
      <c r="H454" s="64">
        <v>389</v>
      </c>
      <c r="I454" s="79">
        <f t="shared" si="351"/>
        <v>152113</v>
      </c>
      <c r="J454" s="4">
        <f t="shared" si="344"/>
        <v>147655</v>
      </c>
      <c r="K454" s="4">
        <f t="shared" si="350"/>
        <v>4458</v>
      </c>
      <c r="L454" s="65" t="e">
        <f t="shared" si="346"/>
        <v>#DIV/0!</v>
      </c>
      <c r="M454" s="153">
        <v>4.7636000000000003</v>
      </c>
      <c r="N454" s="67">
        <f t="shared" si="347"/>
        <v>115279.12000000001</v>
      </c>
      <c r="O454" s="67">
        <f t="shared" si="352"/>
        <v>703369.35800000001</v>
      </c>
      <c r="P454" s="1003"/>
    </row>
    <row r="455" spans="2:16" x14ac:dyDescent="0.25">
      <c r="B455" s="998"/>
      <c r="C455" s="1001"/>
      <c r="D455" s="61" t="s">
        <v>83</v>
      </c>
      <c r="E455" s="62">
        <v>0</v>
      </c>
      <c r="F455" s="63">
        <f t="shared" si="349"/>
        <v>0</v>
      </c>
      <c r="G455" s="63">
        <v>0</v>
      </c>
      <c r="H455" s="64">
        <v>0</v>
      </c>
      <c r="I455" s="79">
        <f t="shared" si="351"/>
        <v>0</v>
      </c>
      <c r="J455" s="4">
        <f t="shared" si="344"/>
        <v>0</v>
      </c>
      <c r="K455" s="4">
        <f t="shared" si="350"/>
        <v>0</v>
      </c>
      <c r="L455" s="65" t="e">
        <f t="shared" si="346"/>
        <v>#DIV/0!</v>
      </c>
      <c r="M455" s="66">
        <v>4.8738000000000001</v>
      </c>
      <c r="N455" s="67">
        <f t="shared" si="347"/>
        <v>0</v>
      </c>
      <c r="O455" s="67">
        <f t="shared" si="352"/>
        <v>0</v>
      </c>
      <c r="P455" s="1003"/>
    </row>
    <row r="456" spans="2:16" x14ac:dyDescent="0.25">
      <c r="B456" s="998"/>
      <c r="C456" s="184" t="s">
        <v>128</v>
      </c>
      <c r="D456" s="61" t="s">
        <v>124</v>
      </c>
      <c r="E456" s="62"/>
      <c r="F456" s="63">
        <f t="shared" si="349"/>
        <v>0</v>
      </c>
      <c r="G456" s="63">
        <v>0</v>
      </c>
      <c r="H456" s="64">
        <v>0</v>
      </c>
      <c r="I456" s="79">
        <f t="shared" si="351"/>
        <v>0</v>
      </c>
      <c r="J456" s="4">
        <f t="shared" si="344"/>
        <v>0</v>
      </c>
      <c r="K456" s="4">
        <f t="shared" si="350"/>
        <v>0</v>
      </c>
      <c r="L456" s="65"/>
      <c r="M456" s="66">
        <v>4.8738000000000001</v>
      </c>
      <c r="N456" s="67">
        <f t="shared" si="347"/>
        <v>0</v>
      </c>
      <c r="O456" s="67">
        <f t="shared" si="352"/>
        <v>0</v>
      </c>
      <c r="P456" s="1003"/>
    </row>
    <row r="457" spans="2:16" x14ac:dyDescent="0.25">
      <c r="B457" s="998"/>
      <c r="C457" s="1001" t="s">
        <v>84</v>
      </c>
      <c r="D457" s="61" t="s">
        <v>77</v>
      </c>
      <c r="E457" s="62">
        <v>0</v>
      </c>
      <c r="F457" s="63">
        <f t="shared" si="349"/>
        <v>9848</v>
      </c>
      <c r="G457" s="63">
        <v>9750</v>
      </c>
      <c r="H457" s="64">
        <v>98</v>
      </c>
      <c r="I457" s="79">
        <f t="shared" si="351"/>
        <v>140327</v>
      </c>
      <c r="J457" s="4">
        <f t="shared" si="344"/>
        <v>138550</v>
      </c>
      <c r="K457" s="4">
        <f t="shared" si="350"/>
        <v>1777</v>
      </c>
      <c r="L457" s="65" t="e">
        <f t="shared" ref="L457:L467" si="353">+J457/E457</f>
        <v>#DIV/0!</v>
      </c>
      <c r="M457" s="66">
        <v>4.9344999999999999</v>
      </c>
      <c r="N457" s="67">
        <f t="shared" si="347"/>
        <v>48111.375</v>
      </c>
      <c r="O457" s="67">
        <f t="shared" si="352"/>
        <v>683674.97499999998</v>
      </c>
      <c r="P457" s="1003"/>
    </row>
    <row r="458" spans="2:16" x14ac:dyDescent="0.25">
      <c r="B458" s="998"/>
      <c r="C458" s="1001"/>
      <c r="D458" s="61" t="s">
        <v>135</v>
      </c>
      <c r="E458" s="62"/>
      <c r="F458" s="63">
        <f t="shared" si="349"/>
        <v>0</v>
      </c>
      <c r="G458" s="63">
        <v>0</v>
      </c>
      <c r="H458" s="64">
        <v>0</v>
      </c>
      <c r="I458" s="79">
        <f t="shared" si="351"/>
        <v>0</v>
      </c>
      <c r="J458" s="4">
        <f t="shared" si="344"/>
        <v>0</v>
      </c>
      <c r="K458" s="4">
        <f t="shared" si="350"/>
        <v>0</v>
      </c>
      <c r="L458" s="65" t="e">
        <f t="shared" si="353"/>
        <v>#DIV/0!</v>
      </c>
      <c r="M458" s="66">
        <v>4.9344999999999999</v>
      </c>
      <c r="N458" s="67">
        <f t="shared" si="347"/>
        <v>0</v>
      </c>
      <c r="O458" s="67">
        <f t="shared" si="352"/>
        <v>0</v>
      </c>
      <c r="P458" s="1003"/>
    </row>
    <row r="459" spans="2:16" x14ac:dyDescent="0.25">
      <c r="B459" s="998"/>
      <c r="C459" s="1001"/>
      <c r="D459" s="61" t="s">
        <v>129</v>
      </c>
      <c r="E459" s="62">
        <v>0</v>
      </c>
      <c r="F459" s="63">
        <f t="shared" si="349"/>
        <v>0</v>
      </c>
      <c r="G459" s="155">
        <v>0</v>
      </c>
      <c r="H459" s="156">
        <v>0</v>
      </c>
      <c r="I459" s="157">
        <f t="shared" si="351"/>
        <v>0</v>
      </c>
      <c r="J459" s="4">
        <f t="shared" si="344"/>
        <v>0</v>
      </c>
      <c r="K459" s="4">
        <f t="shared" si="350"/>
        <v>0</v>
      </c>
      <c r="L459" s="158" t="e">
        <f t="shared" si="353"/>
        <v>#DIV/0!</v>
      </c>
      <c r="M459" s="66">
        <v>4.9344999999999999</v>
      </c>
      <c r="N459" s="159">
        <f t="shared" si="347"/>
        <v>0</v>
      </c>
      <c r="O459" s="67">
        <f>M459*J459</f>
        <v>0</v>
      </c>
      <c r="P459" s="1003"/>
    </row>
    <row r="460" spans="2:16" x14ac:dyDescent="0.25">
      <c r="B460" s="998"/>
      <c r="C460" s="1001" t="s">
        <v>85</v>
      </c>
      <c r="D460" s="61" t="s">
        <v>77</v>
      </c>
      <c r="E460" s="62">
        <v>0</v>
      </c>
      <c r="F460" s="63">
        <f t="shared" si="349"/>
        <v>1392</v>
      </c>
      <c r="G460" s="63">
        <v>1000</v>
      </c>
      <c r="H460" s="64">
        <v>392</v>
      </c>
      <c r="I460" s="79">
        <f t="shared" si="351"/>
        <v>113515</v>
      </c>
      <c r="J460" s="4">
        <f t="shared" si="344"/>
        <v>106950</v>
      </c>
      <c r="K460" s="4">
        <f t="shared" si="350"/>
        <v>6565</v>
      </c>
      <c r="L460" s="65" t="e">
        <f t="shared" si="353"/>
        <v>#DIV/0!</v>
      </c>
      <c r="M460" s="148">
        <v>5.5069999999999997</v>
      </c>
      <c r="N460" s="67">
        <f t="shared" si="347"/>
        <v>5507</v>
      </c>
      <c r="O460" s="67">
        <f>M460*J460</f>
        <v>588973.64999999991</v>
      </c>
      <c r="P460" s="1003"/>
    </row>
    <row r="461" spans="2:16" x14ac:dyDescent="0.25">
      <c r="B461" s="998"/>
      <c r="C461" s="1001"/>
      <c r="D461" s="61" t="s">
        <v>112</v>
      </c>
      <c r="E461" s="62">
        <v>0</v>
      </c>
      <c r="F461" s="63">
        <f t="shared" si="349"/>
        <v>10950</v>
      </c>
      <c r="G461" s="63">
        <v>10900</v>
      </c>
      <c r="H461" s="64">
        <v>50</v>
      </c>
      <c r="I461" s="79">
        <f t="shared" si="351"/>
        <v>10950</v>
      </c>
      <c r="J461" s="4">
        <f t="shared" si="344"/>
        <v>10900</v>
      </c>
      <c r="K461" s="4">
        <f t="shared" si="350"/>
        <v>50</v>
      </c>
      <c r="L461" s="65" t="e">
        <f t="shared" si="353"/>
        <v>#DIV/0!</v>
      </c>
      <c r="M461" s="147">
        <v>5.6550000000000002</v>
      </c>
      <c r="N461" s="67">
        <f t="shared" si="347"/>
        <v>61639.5</v>
      </c>
      <c r="O461" s="67">
        <f>M461*J461</f>
        <v>61639.5</v>
      </c>
      <c r="P461" s="1003"/>
    </row>
    <row r="462" spans="2:16" x14ac:dyDescent="0.25">
      <c r="B462" s="998"/>
      <c r="C462" s="1001"/>
      <c r="D462" s="61" t="s">
        <v>118</v>
      </c>
      <c r="E462" s="62">
        <v>0</v>
      </c>
      <c r="F462" s="63">
        <f t="shared" si="349"/>
        <v>0</v>
      </c>
      <c r="G462" s="63">
        <v>0</v>
      </c>
      <c r="H462" s="64">
        <v>0</v>
      </c>
      <c r="I462" s="79">
        <f t="shared" si="351"/>
        <v>0</v>
      </c>
      <c r="J462" s="4">
        <f t="shared" si="344"/>
        <v>0</v>
      </c>
      <c r="K462" s="4">
        <f t="shared" si="350"/>
        <v>0</v>
      </c>
      <c r="L462" s="65" t="e">
        <f t="shared" si="353"/>
        <v>#DIV/0!</v>
      </c>
      <c r="M462" s="152">
        <v>5.6550000000000002</v>
      </c>
      <c r="N462" s="67">
        <f t="shared" si="347"/>
        <v>0</v>
      </c>
      <c r="O462" s="67">
        <f>M462*J462</f>
        <v>0</v>
      </c>
      <c r="P462" s="1003"/>
    </row>
    <row r="463" spans="2:16" x14ac:dyDescent="0.25">
      <c r="B463" s="998"/>
      <c r="C463" s="1001"/>
      <c r="D463" s="61" t="s">
        <v>121</v>
      </c>
      <c r="E463" s="62">
        <v>0</v>
      </c>
      <c r="F463" s="63">
        <f t="shared" si="349"/>
        <v>0</v>
      </c>
      <c r="G463" s="63">
        <v>0</v>
      </c>
      <c r="H463" s="64">
        <v>0</v>
      </c>
      <c r="I463" s="79">
        <f t="shared" si="351"/>
        <v>12400</v>
      </c>
      <c r="J463" s="4">
        <f t="shared" si="344"/>
        <v>10900</v>
      </c>
      <c r="K463" s="4">
        <f t="shared" si="350"/>
        <v>1500</v>
      </c>
      <c r="L463" s="65" t="e">
        <f t="shared" si="353"/>
        <v>#DIV/0!</v>
      </c>
      <c r="M463" s="66">
        <v>5.7885299999999997</v>
      </c>
      <c r="N463" s="67">
        <f>+M463*G463</f>
        <v>0</v>
      </c>
      <c r="O463" s="67">
        <f>M463*J463</f>
        <v>63094.976999999999</v>
      </c>
      <c r="P463" s="1003"/>
    </row>
    <row r="464" spans="2:16" x14ac:dyDescent="0.25">
      <c r="B464" s="998"/>
      <c r="C464" s="1001"/>
      <c r="D464" s="61" t="s">
        <v>136</v>
      </c>
      <c r="E464" s="62">
        <v>0</v>
      </c>
      <c r="F464" s="63">
        <f t="shared" si="349"/>
        <v>0</v>
      </c>
      <c r="G464" s="63">
        <v>0</v>
      </c>
      <c r="H464" s="64">
        <v>0</v>
      </c>
      <c r="I464" s="79">
        <f t="shared" si="351"/>
        <v>0</v>
      </c>
      <c r="J464" s="4">
        <f t="shared" si="344"/>
        <v>0</v>
      </c>
      <c r="K464" s="4">
        <f t="shared" si="350"/>
        <v>0</v>
      </c>
      <c r="L464" s="65" t="e">
        <f t="shared" si="353"/>
        <v>#DIV/0!</v>
      </c>
      <c r="M464" s="152">
        <v>5.6550000000000002</v>
      </c>
      <c r="N464" s="67">
        <f t="shared" ref="N464:N466" si="354">+M464*G464</f>
        <v>0</v>
      </c>
      <c r="O464" s="67">
        <f t="shared" ref="O464:O467" si="355">M464*J464</f>
        <v>0</v>
      </c>
      <c r="P464" s="1003"/>
    </row>
    <row r="465" spans="2:16" x14ac:dyDescent="0.25">
      <c r="B465" s="998"/>
      <c r="C465" s="184" t="s">
        <v>86</v>
      </c>
      <c r="D465" s="61" t="s">
        <v>77</v>
      </c>
      <c r="E465" s="62">
        <v>0</v>
      </c>
      <c r="F465" s="63">
        <f t="shared" si="349"/>
        <v>0</v>
      </c>
      <c r="G465" s="63">
        <v>0</v>
      </c>
      <c r="H465" s="64">
        <v>0</v>
      </c>
      <c r="I465" s="79">
        <f t="shared" si="351"/>
        <v>0</v>
      </c>
      <c r="J465" s="4">
        <f t="shared" si="344"/>
        <v>0</v>
      </c>
      <c r="K465" s="4">
        <f t="shared" si="350"/>
        <v>0</v>
      </c>
      <c r="L465" s="65" t="e">
        <f t="shared" si="353"/>
        <v>#DIV/0!</v>
      </c>
      <c r="M465" s="66">
        <v>3.2963</v>
      </c>
      <c r="N465" s="67">
        <f t="shared" si="354"/>
        <v>0</v>
      </c>
      <c r="O465" s="67">
        <f t="shared" si="355"/>
        <v>0</v>
      </c>
      <c r="P465" s="1003"/>
    </row>
    <row r="466" spans="2:16" x14ac:dyDescent="0.25">
      <c r="B466" s="998"/>
      <c r="C466" s="184" t="s">
        <v>87</v>
      </c>
      <c r="D466" s="61" t="s">
        <v>77</v>
      </c>
      <c r="E466" s="62">
        <v>0</v>
      </c>
      <c r="F466" s="63">
        <f t="shared" si="349"/>
        <v>0</v>
      </c>
      <c r="G466" s="63">
        <v>0</v>
      </c>
      <c r="H466" s="64">
        <v>0</v>
      </c>
      <c r="I466" s="79">
        <f t="shared" si="351"/>
        <v>0</v>
      </c>
      <c r="J466" s="4">
        <f t="shared" si="344"/>
        <v>0</v>
      </c>
      <c r="K466" s="4">
        <f t="shared" si="350"/>
        <v>0</v>
      </c>
      <c r="L466" s="65" t="e">
        <f t="shared" si="353"/>
        <v>#DIV/0!</v>
      </c>
      <c r="M466" s="66">
        <v>3.2963</v>
      </c>
      <c r="N466" s="67">
        <f t="shared" si="354"/>
        <v>0</v>
      </c>
      <c r="O466" s="67">
        <f t="shared" si="355"/>
        <v>0</v>
      </c>
      <c r="P466" s="1003"/>
    </row>
    <row r="467" spans="2:16" ht="15.75" thickBot="1" x14ac:dyDescent="0.3">
      <c r="B467" s="998"/>
      <c r="C467" s="68" t="s">
        <v>88</v>
      </c>
      <c r="D467" s="69" t="s">
        <v>89</v>
      </c>
      <c r="E467" s="70">
        <v>0</v>
      </c>
      <c r="F467" s="71">
        <f t="shared" si="349"/>
        <v>0</v>
      </c>
      <c r="G467" s="71">
        <v>0</v>
      </c>
      <c r="H467" s="72">
        <v>0</v>
      </c>
      <c r="I467" s="80">
        <f t="shared" si="351"/>
        <v>65030</v>
      </c>
      <c r="J467" s="4">
        <f t="shared" si="344"/>
        <v>65000</v>
      </c>
      <c r="K467" s="4">
        <f t="shared" si="350"/>
        <v>30</v>
      </c>
      <c r="L467" s="65" t="e">
        <f t="shared" si="353"/>
        <v>#DIV/0!</v>
      </c>
      <c r="M467" s="73">
        <v>2.3201000000000001</v>
      </c>
      <c r="N467" s="74">
        <f t="shared" ref="N467" si="356">M467*G467</f>
        <v>0</v>
      </c>
      <c r="O467" s="74">
        <f t="shared" si="355"/>
        <v>150806.5</v>
      </c>
      <c r="P467" s="1004"/>
    </row>
    <row r="468" spans="2:16" ht="15.75" thickBot="1" x14ac:dyDescent="0.3">
      <c r="B468" s="999"/>
      <c r="C468" s="1007" t="s">
        <v>99</v>
      </c>
      <c r="D468" s="1008"/>
      <c r="E468" s="1008"/>
      <c r="F468" s="1008"/>
      <c r="G468" s="1008"/>
      <c r="H468" s="1009"/>
      <c r="I468" s="116">
        <f>J468+K468</f>
        <v>556999</v>
      </c>
      <c r="J468" s="115">
        <f>SUM(J440:J467)</f>
        <v>541230</v>
      </c>
      <c r="K468" s="115">
        <f>SUM(K440:K467)</f>
        <v>15769</v>
      </c>
      <c r="L468" s="114"/>
      <c r="M468" s="113"/>
      <c r="N468" s="114"/>
      <c r="O468" s="97">
        <f>SUM(O440:O467)</f>
        <v>4530408.21</v>
      </c>
      <c r="P468" s="96"/>
    </row>
    <row r="469" spans="2:16" ht="15.75" thickBot="1" x14ac:dyDescent="0.3">
      <c r="B469" s="100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2"/>
    </row>
    <row r="470" spans="2:16" ht="15.75" thickBot="1" x14ac:dyDescent="0.3">
      <c r="B470" s="992" t="s">
        <v>100</v>
      </c>
      <c r="C470" s="993"/>
      <c r="D470" s="993"/>
      <c r="E470" s="993"/>
      <c r="F470" s="993"/>
      <c r="G470" s="993"/>
      <c r="H470" s="993"/>
      <c r="I470" s="993"/>
      <c r="J470" s="993"/>
      <c r="K470" s="993"/>
      <c r="L470" s="993"/>
      <c r="M470" s="993"/>
      <c r="N470" s="994"/>
      <c r="O470" s="103">
        <f>+O468+O439+O424</f>
        <v>9949277.4120000005</v>
      </c>
      <c r="P470" s="96"/>
    </row>
    <row r="471" spans="2:16" ht="15.75" thickBot="1" x14ac:dyDescent="0.3"/>
    <row r="472" spans="2:16" x14ac:dyDescent="0.25">
      <c r="B472" s="1026" t="s">
        <v>1</v>
      </c>
      <c r="C472" s="1028" t="s">
        <v>2</v>
      </c>
      <c r="D472" s="1031" t="s">
        <v>3</v>
      </c>
      <c r="E472" s="1034" t="s">
        <v>4</v>
      </c>
      <c r="F472" s="1035"/>
      <c r="G472" s="1035"/>
      <c r="H472" s="1035"/>
      <c r="I472" s="1035"/>
      <c r="J472" s="1035"/>
      <c r="K472" s="1035"/>
      <c r="L472" s="1036"/>
      <c r="M472" s="1037" t="s">
        <v>5</v>
      </c>
      <c r="N472" s="1038"/>
      <c r="O472" s="1039"/>
      <c r="P472" s="1031" t="s">
        <v>6</v>
      </c>
    </row>
    <row r="473" spans="2:16" x14ac:dyDescent="0.25">
      <c r="B473" s="1027"/>
      <c r="C473" s="1029"/>
      <c r="D473" s="1032"/>
      <c r="E473" s="1040" t="s">
        <v>7</v>
      </c>
      <c r="F473" s="1042" t="s">
        <v>147</v>
      </c>
      <c r="G473" s="1042"/>
      <c r="H473" s="1043"/>
      <c r="I473" s="1044" t="s">
        <v>8</v>
      </c>
      <c r="J473" s="1042"/>
      <c r="K473" s="1042"/>
      <c r="L473" s="1043" t="s">
        <v>9</v>
      </c>
      <c r="M473" s="1046" t="s">
        <v>10</v>
      </c>
      <c r="N473" s="1048" t="s">
        <v>11</v>
      </c>
      <c r="O473" s="1050" t="s">
        <v>12</v>
      </c>
      <c r="P473" s="1032"/>
    </row>
    <row r="474" spans="2:16" ht="15.75" thickBot="1" x14ac:dyDescent="0.3">
      <c r="B474" s="1027"/>
      <c r="C474" s="1030"/>
      <c r="D474" s="1033"/>
      <c r="E474" s="1041"/>
      <c r="F474" s="2" t="s">
        <v>13</v>
      </c>
      <c r="G474" s="2" t="s">
        <v>14</v>
      </c>
      <c r="H474" s="187" t="s">
        <v>15</v>
      </c>
      <c r="I474" s="142" t="s">
        <v>13</v>
      </c>
      <c r="J474" s="2" t="s">
        <v>14</v>
      </c>
      <c r="K474" s="2" t="s">
        <v>15</v>
      </c>
      <c r="L474" s="1045"/>
      <c r="M474" s="1047"/>
      <c r="N474" s="1049"/>
      <c r="O474" s="1051"/>
      <c r="P474" s="1033"/>
    </row>
    <row r="475" spans="2:16" x14ac:dyDescent="0.25">
      <c r="B475" s="1010" t="s">
        <v>53</v>
      </c>
      <c r="C475" s="29"/>
      <c r="D475" s="117" t="s">
        <v>143</v>
      </c>
      <c r="E475" s="98">
        <v>0</v>
      </c>
      <c r="F475" s="4">
        <f>+G475+H475</f>
        <v>0</v>
      </c>
      <c r="G475" s="4">
        <v>0</v>
      </c>
      <c r="H475" s="8">
        <v>0</v>
      </c>
      <c r="I475" s="6">
        <f>J475+K475</f>
        <v>224702</v>
      </c>
      <c r="J475" s="4">
        <f>G475+J410</f>
        <v>220640</v>
      </c>
      <c r="K475" s="4">
        <f>H475+K410</f>
        <v>4062</v>
      </c>
      <c r="L475" s="33" t="e">
        <f>+J475/E475</f>
        <v>#DIV/0!</v>
      </c>
      <c r="M475" s="104">
        <v>1.3652</v>
      </c>
      <c r="N475" s="31">
        <f>G475*M475</f>
        <v>0</v>
      </c>
      <c r="O475" s="86">
        <f>M475*J475</f>
        <v>301217.728</v>
      </c>
      <c r="P475" s="1012"/>
    </row>
    <row r="476" spans="2:16" x14ac:dyDescent="0.25">
      <c r="B476" s="1011"/>
      <c r="C476" s="32"/>
      <c r="D476" s="118" t="s">
        <v>109</v>
      </c>
      <c r="E476" s="99">
        <v>0</v>
      </c>
      <c r="F476" s="9">
        <f>+G476+H476</f>
        <v>0</v>
      </c>
      <c r="G476" s="9">
        <v>0</v>
      </c>
      <c r="H476" s="10">
        <v>0</v>
      </c>
      <c r="I476" s="6">
        <f>J476+K476</f>
        <v>0</v>
      </c>
      <c r="J476" s="4">
        <f>+G476+J411</f>
        <v>0</v>
      </c>
      <c r="K476" s="4">
        <f>+H476+K411</f>
        <v>0</v>
      </c>
      <c r="L476" s="33"/>
      <c r="M476" s="105">
        <v>5.9917999999999996</v>
      </c>
      <c r="N476" s="34">
        <f>M476*G476</f>
        <v>0</v>
      </c>
      <c r="O476" s="87">
        <f>M476*J476</f>
        <v>0</v>
      </c>
      <c r="P476" s="1013"/>
    </row>
    <row r="477" spans="2:16" x14ac:dyDescent="0.25">
      <c r="B477" s="1011"/>
      <c r="C477" s="35"/>
      <c r="D477" s="119" t="s">
        <v>55</v>
      </c>
      <c r="E477" s="99">
        <v>0</v>
      </c>
      <c r="F477" s="9">
        <f t="shared" ref="F477:F481" si="357">+G477+H477</f>
        <v>0</v>
      </c>
      <c r="G477" s="9">
        <v>0</v>
      </c>
      <c r="H477" s="10">
        <v>0</v>
      </c>
      <c r="I477" s="6">
        <f t="shared" ref="I477:I481" si="358">J477+K477</f>
        <v>1336583</v>
      </c>
      <c r="J477" s="4">
        <f t="shared" ref="J477:J481" si="359">+G477+J412</f>
        <v>1325750</v>
      </c>
      <c r="K477" s="4">
        <f t="shared" ref="K477:K481" si="360">+H477+K412</f>
        <v>10833</v>
      </c>
      <c r="L477" s="33" t="e">
        <f t="shared" ref="L477" si="361">+J477/E477</f>
        <v>#DIV/0!</v>
      </c>
      <c r="M477" s="106">
        <v>2.3807999999999998</v>
      </c>
      <c r="N477" s="36">
        <f>G477*M477</f>
        <v>0</v>
      </c>
      <c r="O477" s="88">
        <f>M477*J477</f>
        <v>3156345.5999999996</v>
      </c>
      <c r="P477" s="1013"/>
    </row>
    <row r="478" spans="2:16" x14ac:dyDescent="0.25">
      <c r="B478" s="1011"/>
      <c r="C478" s="35"/>
      <c r="D478" s="119" t="s">
        <v>56</v>
      </c>
      <c r="E478" s="99">
        <v>0</v>
      </c>
      <c r="F478" s="9">
        <f t="shared" si="357"/>
        <v>0</v>
      </c>
      <c r="G478" s="9">
        <v>0</v>
      </c>
      <c r="H478" s="10">
        <v>0</v>
      </c>
      <c r="I478" s="6">
        <f t="shared" si="358"/>
        <v>0</v>
      </c>
      <c r="J478" s="4">
        <f t="shared" si="359"/>
        <v>0</v>
      </c>
      <c r="K478" s="4">
        <f t="shared" si="360"/>
        <v>0</v>
      </c>
      <c r="L478" s="33"/>
      <c r="M478" s="106">
        <v>2.1457999999999999</v>
      </c>
      <c r="N478" s="36">
        <f t="shared" ref="N478:N481" si="362">G478*M478</f>
        <v>0</v>
      </c>
      <c r="O478" s="88">
        <f>M478*J478</f>
        <v>0</v>
      </c>
      <c r="P478" s="1013"/>
    </row>
    <row r="479" spans="2:16" x14ac:dyDescent="0.25">
      <c r="B479" s="1011"/>
      <c r="C479" s="35"/>
      <c r="D479" s="119" t="s">
        <v>106</v>
      </c>
      <c r="E479" s="99">
        <v>0</v>
      </c>
      <c r="F479" s="9">
        <f t="shared" si="357"/>
        <v>0</v>
      </c>
      <c r="G479" s="9">
        <v>0</v>
      </c>
      <c r="H479" s="10">
        <v>0</v>
      </c>
      <c r="I479" s="6">
        <f t="shared" si="358"/>
        <v>0</v>
      </c>
      <c r="J479" s="4">
        <f t="shared" si="359"/>
        <v>0</v>
      </c>
      <c r="K479" s="4">
        <f t="shared" si="360"/>
        <v>0</v>
      </c>
      <c r="L479" s="33" t="e">
        <f t="shared" ref="L479:L480" si="363">+J479/E479</f>
        <v>#DIV/0!</v>
      </c>
      <c r="M479" s="143">
        <v>4.0426000000000002</v>
      </c>
      <c r="N479" s="36">
        <f t="shared" si="362"/>
        <v>0</v>
      </c>
      <c r="O479" s="88">
        <f>M479*J479</f>
        <v>0</v>
      </c>
      <c r="P479" s="1013"/>
    </row>
    <row r="480" spans="2:16" x14ac:dyDescent="0.25">
      <c r="B480" s="1011"/>
      <c r="C480" s="35"/>
      <c r="D480" s="119" t="s">
        <v>110</v>
      </c>
      <c r="E480" s="99">
        <v>0</v>
      </c>
      <c r="F480" s="9">
        <f t="shared" si="357"/>
        <v>0</v>
      </c>
      <c r="G480" s="9">
        <v>0</v>
      </c>
      <c r="H480" s="10">
        <v>0</v>
      </c>
      <c r="I480" s="6">
        <f t="shared" si="358"/>
        <v>0</v>
      </c>
      <c r="J480" s="4">
        <f t="shared" si="359"/>
        <v>0</v>
      </c>
      <c r="K480" s="4">
        <f t="shared" si="360"/>
        <v>0</v>
      </c>
      <c r="L480" s="33" t="e">
        <f t="shared" si="363"/>
        <v>#DIV/0!</v>
      </c>
      <c r="M480" s="143">
        <v>3.8715000000000002</v>
      </c>
      <c r="N480" s="36">
        <f t="shared" si="362"/>
        <v>0</v>
      </c>
      <c r="O480" s="88">
        <f t="shared" ref="O480:O481" si="364">M480*J480</f>
        <v>0</v>
      </c>
      <c r="P480" s="1013"/>
    </row>
    <row r="481" spans="2:16" ht="15.75" thickBot="1" x14ac:dyDescent="0.3">
      <c r="B481" s="1011"/>
      <c r="C481" s="82"/>
      <c r="D481" s="120" t="s">
        <v>57</v>
      </c>
      <c r="E481" s="108">
        <v>0</v>
      </c>
      <c r="F481" s="12">
        <f t="shared" si="357"/>
        <v>0</v>
      </c>
      <c r="G481" s="12">
        <v>0</v>
      </c>
      <c r="H481" s="13">
        <v>0</v>
      </c>
      <c r="I481" s="21">
        <f t="shared" si="358"/>
        <v>0</v>
      </c>
      <c r="J481" s="4">
        <f t="shared" si="359"/>
        <v>0</v>
      </c>
      <c r="K481" s="4">
        <f t="shared" si="360"/>
        <v>0</v>
      </c>
      <c r="L481" s="81"/>
      <c r="M481" s="127">
        <v>12.284700000000001</v>
      </c>
      <c r="N481" s="36">
        <f t="shared" si="362"/>
        <v>0</v>
      </c>
      <c r="O481" s="128">
        <f t="shared" si="364"/>
        <v>0</v>
      </c>
      <c r="P481" s="1013"/>
    </row>
    <row r="482" spans="2:16" ht="15.75" thickBot="1" x14ac:dyDescent="0.3">
      <c r="B482" s="1011"/>
      <c r="C482" s="1016" t="s">
        <v>104</v>
      </c>
      <c r="D482" s="1017"/>
      <c r="E482" s="129"/>
      <c r="F482" s="130">
        <f>SUM(F475:F481)</f>
        <v>0</v>
      </c>
      <c r="G482" s="130">
        <f>SUM(G475:G481)</f>
        <v>0</v>
      </c>
      <c r="H482" s="131">
        <f>SUM(H475:H481)</f>
        <v>0</v>
      </c>
      <c r="I482" s="132">
        <f>+J482+K482</f>
        <v>1561285</v>
      </c>
      <c r="J482" s="133">
        <f>SUM(J475:J481)</f>
        <v>1546390</v>
      </c>
      <c r="K482" s="133">
        <f>SUM(K475:K481)</f>
        <v>14895</v>
      </c>
      <c r="L482" s="134"/>
      <c r="M482" s="135"/>
      <c r="N482" s="136"/>
      <c r="O482" s="137">
        <f>SUM(O475:O481)</f>
        <v>3457563.3279999997</v>
      </c>
      <c r="P482" s="1014"/>
    </row>
    <row r="483" spans="2:16" x14ac:dyDescent="0.25">
      <c r="B483" s="1011"/>
      <c r="C483" s="32"/>
      <c r="D483" s="118" t="s">
        <v>58</v>
      </c>
      <c r="E483" s="98">
        <v>0</v>
      </c>
      <c r="F483" s="4">
        <f t="shared" ref="F483:F486" si="365">+G483+H483</f>
        <v>0</v>
      </c>
      <c r="G483" s="4">
        <v>0</v>
      </c>
      <c r="H483" s="8">
        <v>0</v>
      </c>
      <c r="I483" s="6">
        <f t="shared" ref="I483:I487" si="366">J483+K483</f>
        <v>0</v>
      </c>
      <c r="J483" s="4">
        <f>G483+J418</f>
        <v>0</v>
      </c>
      <c r="K483" s="4">
        <f>H483+K418</f>
        <v>0</v>
      </c>
      <c r="L483" s="33" t="e">
        <f t="shared" ref="L483" si="367">+J483/E483</f>
        <v>#DIV/0!</v>
      </c>
      <c r="M483" s="105">
        <v>12.029500000000001</v>
      </c>
      <c r="N483" s="34">
        <f>M483*G483</f>
        <v>0</v>
      </c>
      <c r="O483" s="87">
        <f t="shared" ref="O483:O485" si="368">M483*J483</f>
        <v>0</v>
      </c>
      <c r="P483" s="1013"/>
    </row>
    <row r="484" spans="2:16" x14ac:dyDescent="0.25">
      <c r="B484" s="1011"/>
      <c r="C484" s="35"/>
      <c r="D484" s="119" t="s">
        <v>59</v>
      </c>
      <c r="E484" s="99">
        <v>0</v>
      </c>
      <c r="F484" s="9">
        <f t="shared" si="365"/>
        <v>0</v>
      </c>
      <c r="G484" s="9">
        <v>0</v>
      </c>
      <c r="H484" s="10">
        <v>0</v>
      </c>
      <c r="I484" s="6">
        <f t="shared" si="366"/>
        <v>0</v>
      </c>
      <c r="J484" s="4">
        <f>G484+J419</f>
        <v>0</v>
      </c>
      <c r="K484" s="4">
        <f>H484+K419</f>
        <v>0</v>
      </c>
      <c r="L484" s="33"/>
      <c r="M484" s="106">
        <v>0</v>
      </c>
      <c r="N484" s="36"/>
      <c r="O484" s="88">
        <f t="shared" si="368"/>
        <v>0</v>
      </c>
      <c r="P484" s="1013"/>
    </row>
    <row r="485" spans="2:16" x14ac:dyDescent="0.25">
      <c r="B485" s="1011"/>
      <c r="C485" s="35"/>
      <c r="D485" s="119" t="s">
        <v>97</v>
      </c>
      <c r="E485" s="99">
        <v>0</v>
      </c>
      <c r="F485" s="9">
        <f t="shared" si="365"/>
        <v>0</v>
      </c>
      <c r="G485" s="9">
        <v>0</v>
      </c>
      <c r="H485" s="10">
        <v>0</v>
      </c>
      <c r="I485" s="6">
        <f t="shared" si="366"/>
        <v>0</v>
      </c>
      <c r="J485" s="4">
        <f t="shared" ref="J485:J487" si="369">G485+J420</f>
        <v>0</v>
      </c>
      <c r="K485" s="4">
        <f t="shared" ref="K485:K487" si="370">H485+K420</f>
        <v>0</v>
      </c>
      <c r="L485" s="33" t="e">
        <f t="shared" ref="L485:L487" si="371">+J485/E485</f>
        <v>#DIV/0!</v>
      </c>
      <c r="M485" s="106">
        <v>19.688600000000001</v>
      </c>
      <c r="N485" s="36">
        <f>M485*G485</f>
        <v>0</v>
      </c>
      <c r="O485" s="88">
        <f t="shared" si="368"/>
        <v>0</v>
      </c>
      <c r="P485" s="1013"/>
    </row>
    <row r="486" spans="2:16" x14ac:dyDescent="0.25">
      <c r="B486" s="1011"/>
      <c r="C486" s="35"/>
      <c r="D486" s="119" t="s">
        <v>61</v>
      </c>
      <c r="E486" s="99">
        <v>0</v>
      </c>
      <c r="F486" s="9">
        <f t="shared" si="365"/>
        <v>0</v>
      </c>
      <c r="G486" s="9">
        <v>0</v>
      </c>
      <c r="H486" s="10">
        <v>0</v>
      </c>
      <c r="I486" s="6">
        <f t="shared" si="366"/>
        <v>0</v>
      </c>
      <c r="J486" s="4">
        <f t="shared" si="369"/>
        <v>0</v>
      </c>
      <c r="K486" s="4">
        <f t="shared" si="370"/>
        <v>0</v>
      </c>
      <c r="L486" s="33" t="e">
        <f t="shared" si="371"/>
        <v>#DIV/0!</v>
      </c>
      <c r="M486" s="106">
        <v>1.2824</v>
      </c>
      <c r="N486" s="151">
        <f>M486*G486</f>
        <v>0</v>
      </c>
      <c r="O486" s="88">
        <f>M486*J486</f>
        <v>0</v>
      </c>
      <c r="P486" s="1013"/>
    </row>
    <row r="487" spans="2:16" ht="15.75" thickBot="1" x14ac:dyDescent="0.3">
      <c r="B487" s="1011"/>
      <c r="C487" s="82"/>
      <c r="D487" s="120" t="s">
        <v>60</v>
      </c>
      <c r="E487" s="108">
        <v>0</v>
      </c>
      <c r="F487" s="12">
        <v>0</v>
      </c>
      <c r="G487" s="12">
        <v>0</v>
      </c>
      <c r="H487" s="13">
        <v>0</v>
      </c>
      <c r="I487" s="21">
        <f t="shared" si="366"/>
        <v>8814</v>
      </c>
      <c r="J487" s="4">
        <f t="shared" si="369"/>
        <v>8640</v>
      </c>
      <c r="K487" s="4">
        <f t="shared" si="370"/>
        <v>174</v>
      </c>
      <c r="L487" s="81" t="e">
        <f t="shared" si="371"/>
        <v>#DIV/0!</v>
      </c>
      <c r="M487" s="107">
        <v>18.2316</v>
      </c>
      <c r="N487" s="75"/>
      <c r="O487" s="89">
        <f t="shared" ref="O487" si="372">M487*J487</f>
        <v>157521.024</v>
      </c>
      <c r="P487" s="1015"/>
    </row>
    <row r="488" spans="2:16" ht="15.75" thickBot="1" x14ac:dyDescent="0.3">
      <c r="B488" s="995" t="s">
        <v>105</v>
      </c>
      <c r="C488" s="996"/>
      <c r="D488" s="996"/>
      <c r="E488" s="124"/>
      <c r="F488" s="125">
        <f>+G488+H488</f>
        <v>0</v>
      </c>
      <c r="G488" s="125">
        <f>SUM(G483:G487)</f>
        <v>0</v>
      </c>
      <c r="H488" s="126">
        <f>SUM(H483:H487)</f>
        <v>0</v>
      </c>
      <c r="I488" s="121">
        <f>J488+K488</f>
        <v>8814</v>
      </c>
      <c r="J488" s="122">
        <f>SUM(J483:J487)</f>
        <v>8640</v>
      </c>
      <c r="K488" s="123">
        <f>SUM(K483:K487)</f>
        <v>174</v>
      </c>
      <c r="L488" s="138"/>
      <c r="M488" s="139"/>
      <c r="N488" s="140"/>
      <c r="O488" s="141">
        <f>SUM(O483:O487)</f>
        <v>157521.024</v>
      </c>
      <c r="P488" s="185"/>
    </row>
    <row r="489" spans="2:16" ht="15.75" thickBot="1" x14ac:dyDescent="0.3">
      <c r="B489" s="995" t="s">
        <v>98</v>
      </c>
      <c r="C489" s="996"/>
      <c r="D489" s="996"/>
      <c r="E489" s="1018"/>
      <c r="F489" s="1018"/>
      <c r="G489" s="1018"/>
      <c r="H489" s="1018"/>
      <c r="I489" s="996"/>
      <c r="J489" s="996"/>
      <c r="K489" s="996"/>
      <c r="L489" s="996"/>
      <c r="M489" s="996"/>
      <c r="N489" s="1019"/>
      <c r="O489" s="83">
        <f>O482+O488</f>
        <v>3615084.352</v>
      </c>
      <c r="P489" s="185"/>
    </row>
    <row r="490" spans="2:16" x14ac:dyDescent="0.25">
      <c r="B490" s="1010" t="s">
        <v>62</v>
      </c>
      <c r="C490" s="37" t="s">
        <v>63</v>
      </c>
      <c r="D490" s="28" t="s">
        <v>64</v>
      </c>
      <c r="E490" s="38">
        <v>0</v>
      </c>
      <c r="F490" s="14">
        <f>+G490+H490</f>
        <v>0</v>
      </c>
      <c r="G490" s="14">
        <v>0</v>
      </c>
      <c r="H490" s="5">
        <v>0</v>
      </c>
      <c r="I490" s="17">
        <f t="shared" ref="I490:I496" si="373">J490+K490</f>
        <v>0</v>
      </c>
      <c r="J490" s="4">
        <f>G490+J425</f>
        <v>0</v>
      </c>
      <c r="K490" s="4">
        <f>H490+K425</f>
        <v>0</v>
      </c>
      <c r="L490" s="30" t="e">
        <f>+J490/E490</f>
        <v>#DIV/0!</v>
      </c>
      <c r="M490" s="146">
        <v>2.2141000000000002</v>
      </c>
      <c r="N490" s="15">
        <f>+M490*G490</f>
        <v>0</v>
      </c>
      <c r="O490" s="90">
        <f>+M490*J490</f>
        <v>0</v>
      </c>
      <c r="P490" s="1021"/>
    </row>
    <row r="491" spans="2:16" x14ac:dyDescent="0.25">
      <c r="B491" s="1011"/>
      <c r="C491" s="39"/>
      <c r="D491" s="22" t="s">
        <v>65</v>
      </c>
      <c r="E491" s="3">
        <v>0</v>
      </c>
      <c r="F491" s="9">
        <f t="shared" ref="F491:F496" si="374">+G491+H491</f>
        <v>0</v>
      </c>
      <c r="G491" s="4">
        <v>0</v>
      </c>
      <c r="H491" s="8">
        <v>0</v>
      </c>
      <c r="I491" s="6">
        <f t="shared" si="373"/>
        <v>0</v>
      </c>
      <c r="J491" s="4">
        <f>+G491+J426</f>
        <v>0</v>
      </c>
      <c r="K491" s="4">
        <f>+H491+K426</f>
        <v>0</v>
      </c>
      <c r="L491" s="40" t="e">
        <f t="shared" ref="L491:L492" si="375">+J491/E491</f>
        <v>#DIV/0!</v>
      </c>
      <c r="M491" s="145">
        <v>2.4565999999999999</v>
      </c>
      <c r="N491" s="11">
        <f t="shared" ref="N491:N493" si="376">+M491*G491</f>
        <v>0</v>
      </c>
      <c r="O491" s="91">
        <f t="shared" ref="O491:O493" si="377">+M491*J491</f>
        <v>0</v>
      </c>
      <c r="P491" s="1022"/>
    </row>
    <row r="492" spans="2:16" x14ac:dyDescent="0.25">
      <c r="B492" s="1011"/>
      <c r="C492" s="39"/>
      <c r="D492" s="23" t="s">
        <v>126</v>
      </c>
      <c r="E492" s="3">
        <v>0</v>
      </c>
      <c r="F492" s="9">
        <f t="shared" si="374"/>
        <v>0</v>
      </c>
      <c r="G492" s="4">
        <v>0</v>
      </c>
      <c r="H492" s="8">
        <v>0</v>
      </c>
      <c r="I492" s="6">
        <f t="shared" si="373"/>
        <v>0</v>
      </c>
      <c r="J492" s="4">
        <f t="shared" ref="J492:J493" si="378">+G492+J427</f>
        <v>0</v>
      </c>
      <c r="K492" s="4">
        <f t="shared" ref="K492:K496" si="379">+H492+K427</f>
        <v>0</v>
      </c>
      <c r="L492" s="40" t="e">
        <f t="shared" si="375"/>
        <v>#DIV/0!</v>
      </c>
      <c r="M492" s="145">
        <v>2.2907000000000002</v>
      </c>
      <c r="N492" s="11">
        <f t="shared" si="376"/>
        <v>0</v>
      </c>
      <c r="O492" s="91">
        <f t="shared" si="377"/>
        <v>0</v>
      </c>
      <c r="P492" s="1022"/>
    </row>
    <row r="493" spans="2:16" x14ac:dyDescent="0.25">
      <c r="B493" s="1011"/>
      <c r="C493" s="39"/>
      <c r="D493" s="22" t="s">
        <v>131</v>
      </c>
      <c r="E493" s="3"/>
      <c r="F493" s="9">
        <f t="shared" si="374"/>
        <v>0</v>
      </c>
      <c r="G493" s="4">
        <v>0</v>
      </c>
      <c r="H493" s="8">
        <v>0</v>
      </c>
      <c r="I493" s="6">
        <f t="shared" si="373"/>
        <v>0</v>
      </c>
      <c r="J493" s="4">
        <f t="shared" si="378"/>
        <v>0</v>
      </c>
      <c r="K493" s="4">
        <f t="shared" si="379"/>
        <v>0</v>
      </c>
      <c r="L493" s="33"/>
      <c r="M493" s="150">
        <v>2.544</v>
      </c>
      <c r="N493" s="11">
        <f t="shared" si="376"/>
        <v>0</v>
      </c>
      <c r="O493" s="91">
        <f t="shared" si="377"/>
        <v>0</v>
      </c>
      <c r="P493" s="1022"/>
    </row>
    <row r="494" spans="2:16" x14ac:dyDescent="0.25">
      <c r="B494" s="1011"/>
      <c r="C494" s="39" t="s">
        <v>66</v>
      </c>
      <c r="D494" s="22" t="s">
        <v>133</v>
      </c>
      <c r="E494" s="3">
        <v>0</v>
      </c>
      <c r="F494" s="9">
        <f t="shared" si="374"/>
        <v>0</v>
      </c>
      <c r="G494" s="4">
        <v>0</v>
      </c>
      <c r="H494" s="8">
        <v>0</v>
      </c>
      <c r="I494" s="6">
        <f t="shared" si="373"/>
        <v>361617</v>
      </c>
      <c r="J494" s="4">
        <f>+G494+J429</f>
        <v>353750</v>
      </c>
      <c r="K494" s="4">
        <f t="shared" si="379"/>
        <v>7867</v>
      </c>
      <c r="L494" s="33" t="e">
        <f>+J494/E494</f>
        <v>#DIV/0!</v>
      </c>
      <c r="M494" s="144">
        <v>2.2141000000000002</v>
      </c>
      <c r="N494" s="7">
        <f>+M494*G494</f>
        <v>0</v>
      </c>
      <c r="O494" s="85">
        <f>+M494*J494</f>
        <v>783237.87500000012</v>
      </c>
      <c r="P494" s="1022"/>
    </row>
    <row r="495" spans="2:16" x14ac:dyDescent="0.25">
      <c r="B495" s="1011"/>
      <c r="C495" s="39"/>
      <c r="D495" s="22" t="s">
        <v>65</v>
      </c>
      <c r="E495" s="3">
        <v>0</v>
      </c>
      <c r="F495" s="9">
        <f t="shared" si="374"/>
        <v>0</v>
      </c>
      <c r="G495" s="4">
        <v>0</v>
      </c>
      <c r="H495" s="8">
        <v>0</v>
      </c>
      <c r="I495" s="6">
        <f t="shared" si="373"/>
        <v>0</v>
      </c>
      <c r="J495" s="4">
        <f t="shared" ref="J495:J496" si="380">+G495+J430</f>
        <v>0</v>
      </c>
      <c r="K495" s="4">
        <f t="shared" si="379"/>
        <v>0</v>
      </c>
      <c r="L495" s="40" t="e">
        <f t="shared" ref="L495:L496" si="381">+J495/E495</f>
        <v>#DIV/0!</v>
      </c>
      <c r="M495" s="145">
        <v>2.4565999999999999</v>
      </c>
      <c r="N495" s="11">
        <f t="shared" ref="N495:N496" si="382">+M495*G495</f>
        <v>0</v>
      </c>
      <c r="O495" s="91">
        <f t="shared" ref="O495" si="383">+M495*J495</f>
        <v>0</v>
      </c>
      <c r="P495" s="1022"/>
    </row>
    <row r="496" spans="2:16" ht="15.75" thickBot="1" x14ac:dyDescent="0.3">
      <c r="B496" s="1011"/>
      <c r="C496" s="39"/>
      <c r="D496" s="22" t="s">
        <v>126</v>
      </c>
      <c r="E496" s="3">
        <v>0</v>
      </c>
      <c r="F496" s="9">
        <f t="shared" si="374"/>
        <v>0</v>
      </c>
      <c r="G496" s="4">
        <v>0</v>
      </c>
      <c r="H496" s="8">
        <v>0</v>
      </c>
      <c r="I496" s="6">
        <f t="shared" si="373"/>
        <v>0</v>
      </c>
      <c r="J496" s="4">
        <f t="shared" si="380"/>
        <v>0</v>
      </c>
      <c r="K496" s="4">
        <f t="shared" si="379"/>
        <v>0</v>
      </c>
      <c r="L496" s="40" t="e">
        <f t="shared" si="381"/>
        <v>#DIV/0!</v>
      </c>
      <c r="M496" s="145">
        <v>2.2907000000000002</v>
      </c>
      <c r="N496" s="11">
        <f t="shared" si="382"/>
        <v>0</v>
      </c>
      <c r="O496" s="154">
        <f>+M496*J496</f>
        <v>0</v>
      </c>
      <c r="P496" s="1023"/>
    </row>
    <row r="497" spans="2:16" ht="15.75" thickBot="1" x14ac:dyDescent="0.3">
      <c r="B497" s="1011"/>
      <c r="C497" s="41" t="s">
        <v>29</v>
      </c>
      <c r="D497" s="27" t="str">
        <f>+C497</f>
        <v>TOTAL 1/2</v>
      </c>
      <c r="E497" s="42">
        <f>SUM(E490:E496)</f>
        <v>0</v>
      </c>
      <c r="F497" s="43">
        <f>SUM(F490:F496)</f>
        <v>0</v>
      </c>
      <c r="G497" s="43">
        <f>SUM(G490:G496)</f>
        <v>0</v>
      </c>
      <c r="H497" s="44">
        <f>SUM(H490:H496)</f>
        <v>0</v>
      </c>
      <c r="I497" s="45">
        <f>SUM(I494:I496)</f>
        <v>361617</v>
      </c>
      <c r="J497" s="43">
        <f>SUM(J490:J496)</f>
        <v>353750</v>
      </c>
      <c r="K497" s="43">
        <f>SUM(K490:K496)</f>
        <v>7867</v>
      </c>
      <c r="L497" s="46" t="e">
        <f>+J497/E497</f>
        <v>#DIV/0!</v>
      </c>
      <c r="M497" s="47"/>
      <c r="N497" s="48">
        <f>SUM(N494:N496)</f>
        <v>0</v>
      </c>
      <c r="O497" s="49">
        <f>SUM(O490:O496)</f>
        <v>783237.87500000012</v>
      </c>
      <c r="P497" s="186"/>
    </row>
    <row r="498" spans="2:16" x14ac:dyDescent="0.25">
      <c r="B498" s="1011"/>
      <c r="C498" s="1024" t="s">
        <v>67</v>
      </c>
      <c r="D498" s="22" t="s">
        <v>64</v>
      </c>
      <c r="E498" s="3">
        <v>0</v>
      </c>
      <c r="F498" s="4">
        <f>G498+H498</f>
        <v>0</v>
      </c>
      <c r="G498" s="4">
        <v>0</v>
      </c>
      <c r="H498" s="8">
        <v>0</v>
      </c>
      <c r="I498" s="16">
        <f>J498+K498</f>
        <v>109220</v>
      </c>
      <c r="J498" s="4">
        <f>G498+J433</f>
        <v>105750</v>
      </c>
      <c r="K498" s="4">
        <f>H498+K433</f>
        <v>3470</v>
      </c>
      <c r="L498" s="50" t="e">
        <f>+J498/E498</f>
        <v>#DIV/0!</v>
      </c>
      <c r="M498" s="144">
        <v>4.1712999999999996</v>
      </c>
      <c r="N498" s="7">
        <f>+M498*G498</f>
        <v>0</v>
      </c>
      <c r="O498" s="93">
        <f>+M498*J498</f>
        <v>441114.97499999998</v>
      </c>
      <c r="P498" s="1021"/>
    </row>
    <row r="499" spans="2:16" x14ac:dyDescent="0.25">
      <c r="B499" s="1011"/>
      <c r="C499" s="1025"/>
      <c r="D499" s="22" t="s">
        <v>65</v>
      </c>
      <c r="E499" s="3">
        <v>0</v>
      </c>
      <c r="F499" s="4">
        <f>G499+H499</f>
        <v>0</v>
      </c>
      <c r="G499" s="4">
        <v>0</v>
      </c>
      <c r="H499" s="8">
        <v>0</v>
      </c>
      <c r="I499" s="6">
        <f>+R1543+F499</f>
        <v>0</v>
      </c>
      <c r="J499" s="4">
        <f>G499+J434</f>
        <v>120000</v>
      </c>
      <c r="K499" s="4">
        <f>H499+K434</f>
        <v>3230</v>
      </c>
      <c r="L499" s="51" t="e">
        <f t="shared" ref="L499:L503" si="384">+J499/E499</f>
        <v>#DIV/0!</v>
      </c>
      <c r="M499" s="145">
        <v>4.8285999999999998</v>
      </c>
      <c r="N499" s="11">
        <f t="shared" ref="N499:N501" si="385">+M499*G499</f>
        <v>0</v>
      </c>
      <c r="O499" s="94">
        <f t="shared" ref="O499:O501" si="386">+M499*J499</f>
        <v>579432</v>
      </c>
      <c r="P499" s="1022"/>
    </row>
    <row r="500" spans="2:16" x14ac:dyDescent="0.25">
      <c r="B500" s="1011"/>
      <c r="C500" s="1025"/>
      <c r="D500" s="22" t="s">
        <v>127</v>
      </c>
      <c r="E500" s="3"/>
      <c r="F500" s="4">
        <f>G500+H500</f>
        <v>0</v>
      </c>
      <c r="G500" s="4">
        <v>0</v>
      </c>
      <c r="H500" s="8">
        <v>0</v>
      </c>
      <c r="I500" s="6">
        <f>+R1544+F500</f>
        <v>0</v>
      </c>
      <c r="J500" s="4">
        <f t="shared" ref="J500:J501" si="387">G500+J435</f>
        <v>0</v>
      </c>
      <c r="K500" s="4">
        <f t="shared" ref="K500:K501" si="388">H500+K435</f>
        <v>0</v>
      </c>
      <c r="L500" s="51" t="e">
        <f t="shared" si="384"/>
        <v>#DIV/0!</v>
      </c>
      <c r="M500" s="144">
        <v>4.5023</v>
      </c>
      <c r="N500" s="11">
        <f t="shared" si="385"/>
        <v>0</v>
      </c>
      <c r="O500" s="94">
        <f t="shared" si="386"/>
        <v>0</v>
      </c>
      <c r="P500" s="1022"/>
    </row>
    <row r="501" spans="2:16" ht="15.75" thickBot="1" x14ac:dyDescent="0.3">
      <c r="B501" s="1011"/>
      <c r="C501" s="1025"/>
      <c r="D501" s="22" t="s">
        <v>111</v>
      </c>
      <c r="E501" s="3">
        <v>0</v>
      </c>
      <c r="F501" s="4">
        <f t="shared" ref="F501" si="389">G501+H501</f>
        <v>0</v>
      </c>
      <c r="G501" s="4">
        <v>0</v>
      </c>
      <c r="H501" s="8">
        <v>0</v>
      </c>
      <c r="I501" s="6">
        <f>+R1544+F501</f>
        <v>0</v>
      </c>
      <c r="J501" s="4">
        <f t="shared" si="387"/>
        <v>0</v>
      </c>
      <c r="K501" s="4">
        <f t="shared" si="388"/>
        <v>0</v>
      </c>
      <c r="L501" s="51" t="e">
        <f t="shared" si="384"/>
        <v>#DIV/0!</v>
      </c>
      <c r="M501" s="144">
        <v>4.4065000000000003</v>
      </c>
      <c r="N501" s="11">
        <f t="shared" si="385"/>
        <v>0</v>
      </c>
      <c r="O501" s="94">
        <f t="shared" si="386"/>
        <v>0</v>
      </c>
      <c r="P501" s="1022"/>
    </row>
    <row r="502" spans="2:16" ht="15.75" thickBot="1" x14ac:dyDescent="0.3">
      <c r="B502" s="1011"/>
      <c r="C502" s="41" t="s">
        <v>31</v>
      </c>
      <c r="D502" s="18" t="str">
        <f>+C502</f>
        <v>TOTAL 4/4</v>
      </c>
      <c r="E502" s="42">
        <f t="shared" ref="E502:K502" si="390">SUM(E498:E501)</f>
        <v>0</v>
      </c>
      <c r="F502" s="43">
        <f t="shared" si="390"/>
        <v>0</v>
      </c>
      <c r="G502" s="43">
        <f t="shared" si="390"/>
        <v>0</v>
      </c>
      <c r="H502" s="44">
        <f t="shared" si="390"/>
        <v>0</v>
      </c>
      <c r="I502" s="45">
        <f t="shared" si="390"/>
        <v>109220</v>
      </c>
      <c r="J502" s="43">
        <f t="shared" si="390"/>
        <v>225750</v>
      </c>
      <c r="K502" s="43">
        <f t="shared" si="390"/>
        <v>6700</v>
      </c>
      <c r="L502" s="46" t="e">
        <f t="shared" si="384"/>
        <v>#DIV/0!</v>
      </c>
      <c r="M502" s="47"/>
      <c r="N502" s="48">
        <f>SUM(N498:N501)</f>
        <v>0</v>
      </c>
      <c r="O502" s="92">
        <f>SUM(O498:O501)</f>
        <v>1020546.975</v>
      </c>
      <c r="P502" s="1023"/>
    </row>
    <row r="503" spans="2:16" ht="15.75" thickBot="1" x14ac:dyDescent="0.3">
      <c r="B503" s="1020"/>
      <c r="C503" s="41" t="s">
        <v>68</v>
      </c>
      <c r="D503" s="27" t="s">
        <v>64</v>
      </c>
      <c r="E503" s="25">
        <v>0</v>
      </c>
      <c r="F503" s="20">
        <f>G503+H503</f>
        <v>0</v>
      </c>
      <c r="G503" s="20">
        <v>0</v>
      </c>
      <c r="H503" s="24">
        <v>0</v>
      </c>
      <c r="I503" s="19">
        <f>J503+K503</f>
        <v>0</v>
      </c>
      <c r="J503" s="4">
        <f>G503+J438</f>
        <v>0</v>
      </c>
      <c r="K503" s="4">
        <f>H503+K438</f>
        <v>0</v>
      </c>
      <c r="L503" s="52" t="e">
        <f t="shared" si="384"/>
        <v>#DIV/0!</v>
      </c>
      <c r="M503" s="149">
        <v>1.4086000000000001</v>
      </c>
      <c r="N503" s="26">
        <f t="shared" ref="N503" si="391">+M503*G503</f>
        <v>0</v>
      </c>
      <c r="O503" s="95">
        <f t="shared" ref="O503" si="392">+M503*J503</f>
        <v>0</v>
      </c>
      <c r="P503" s="53"/>
    </row>
    <row r="504" spans="2:16" ht="15.75" thickBot="1" x14ac:dyDescent="0.3">
      <c r="B504" s="995" t="s">
        <v>95</v>
      </c>
      <c r="C504" s="996"/>
      <c r="D504" s="996"/>
      <c r="E504" s="996"/>
      <c r="F504" s="996"/>
      <c r="G504" s="996"/>
      <c r="H504" s="996"/>
      <c r="I504" s="110">
        <f>J504+K504</f>
        <v>594067</v>
      </c>
      <c r="J504" s="110">
        <f>J497+J502+J503</f>
        <v>579500</v>
      </c>
      <c r="K504" s="110">
        <f>K497+K502+K503</f>
        <v>14567</v>
      </c>
      <c r="L504" s="111"/>
      <c r="M504" s="112"/>
      <c r="N504" s="109"/>
      <c r="O504" s="77">
        <f>+O503+O502+O497</f>
        <v>1803784.85</v>
      </c>
      <c r="P504" s="84"/>
    </row>
    <row r="505" spans="2:16" x14ac:dyDescent="0.25">
      <c r="B505" s="997" t="s">
        <v>69</v>
      </c>
      <c r="C505" s="1000" t="s">
        <v>70</v>
      </c>
      <c r="D505" s="54" t="s">
        <v>71</v>
      </c>
      <c r="E505" s="55">
        <v>0</v>
      </c>
      <c r="F505" s="56">
        <f>G505+H505</f>
        <v>0</v>
      </c>
      <c r="G505" s="56">
        <v>0</v>
      </c>
      <c r="H505" s="57">
        <v>0</v>
      </c>
      <c r="I505" s="78">
        <f>J505+K505</f>
        <v>0</v>
      </c>
      <c r="J505" s="4">
        <f>G505+J440</f>
        <v>0</v>
      </c>
      <c r="K505" s="4">
        <f>H505+K440</f>
        <v>0</v>
      </c>
      <c r="L505" s="58" t="e">
        <f t="shared" ref="L505" si="393">+J505/E505</f>
        <v>#DIV/0!</v>
      </c>
      <c r="M505" s="59">
        <v>32.946300000000001</v>
      </c>
      <c r="N505" s="60">
        <f>+M505*G505</f>
        <v>0</v>
      </c>
      <c r="O505" s="60">
        <f>M505*J505</f>
        <v>0</v>
      </c>
      <c r="P505" s="1002"/>
    </row>
    <row r="506" spans="2:16" x14ac:dyDescent="0.25">
      <c r="B506" s="998"/>
      <c r="C506" s="1001"/>
      <c r="D506" s="61" t="s">
        <v>72</v>
      </c>
      <c r="E506" s="62">
        <v>0</v>
      </c>
      <c r="F506" s="63">
        <f>G506+H506</f>
        <v>0</v>
      </c>
      <c r="G506" s="63">
        <v>0</v>
      </c>
      <c r="H506" s="64">
        <v>0</v>
      </c>
      <c r="I506" s="79">
        <f>J506+K506</f>
        <v>20295</v>
      </c>
      <c r="J506" s="4">
        <f>G506+J441</f>
        <v>20000</v>
      </c>
      <c r="K506" s="4">
        <f>H506+K441</f>
        <v>295</v>
      </c>
      <c r="L506" s="65" t="e">
        <f>+J506/E506</f>
        <v>#DIV/0!</v>
      </c>
      <c r="M506" s="66">
        <v>35.398400000000002</v>
      </c>
      <c r="N506" s="67">
        <f>+M506*G506</f>
        <v>0</v>
      </c>
      <c r="O506" s="67">
        <f>M506*J506</f>
        <v>707968</v>
      </c>
      <c r="P506" s="1003"/>
    </row>
    <row r="507" spans="2:16" x14ac:dyDescent="0.25">
      <c r="B507" s="998"/>
      <c r="C507" s="1001"/>
      <c r="D507" s="61" t="s">
        <v>73</v>
      </c>
      <c r="E507" s="62">
        <v>0</v>
      </c>
      <c r="F507" s="63">
        <f t="shared" ref="F507:F510" si="394">G507+H507</f>
        <v>0</v>
      </c>
      <c r="G507" s="63">
        <v>0</v>
      </c>
      <c r="H507" s="64">
        <v>0</v>
      </c>
      <c r="I507" s="79">
        <f t="shared" ref="I507:I516" si="395">J507+K507</f>
        <v>0</v>
      </c>
      <c r="J507" s="4">
        <f t="shared" ref="J507:J532" si="396">G507+J442</f>
        <v>0</v>
      </c>
      <c r="K507" s="4">
        <f t="shared" ref="K507:K511" si="397">H507+K442</f>
        <v>0</v>
      </c>
      <c r="L507" s="65" t="e">
        <f t="shared" ref="L507:L520" si="398">+J507/E507</f>
        <v>#DIV/0!</v>
      </c>
      <c r="M507" s="66">
        <v>32.946300000000001</v>
      </c>
      <c r="N507" s="67">
        <f t="shared" ref="N507:N527" si="399">+M507*G507</f>
        <v>0</v>
      </c>
      <c r="O507" s="67">
        <f t="shared" ref="O507:O515" si="400">M507*J507</f>
        <v>0</v>
      </c>
      <c r="P507" s="1003"/>
    </row>
    <row r="508" spans="2:16" x14ac:dyDescent="0.25">
      <c r="B508" s="998"/>
      <c r="C508" s="1001" t="s">
        <v>74</v>
      </c>
      <c r="D508" s="61" t="s">
        <v>75</v>
      </c>
      <c r="E508" s="62">
        <v>0</v>
      </c>
      <c r="F508" s="63">
        <f t="shared" si="394"/>
        <v>0</v>
      </c>
      <c r="G508" s="63">
        <v>0</v>
      </c>
      <c r="H508" s="64">
        <v>0</v>
      </c>
      <c r="I508" s="79">
        <f t="shared" si="395"/>
        <v>9879</v>
      </c>
      <c r="J508" s="4">
        <f t="shared" si="396"/>
        <v>9600</v>
      </c>
      <c r="K508" s="4">
        <f t="shared" si="397"/>
        <v>279</v>
      </c>
      <c r="L508" s="65" t="e">
        <f t="shared" si="398"/>
        <v>#DIV/0!</v>
      </c>
      <c r="M508" s="66">
        <v>55.4758</v>
      </c>
      <c r="N508" s="67">
        <f t="shared" si="399"/>
        <v>0</v>
      </c>
      <c r="O508" s="67">
        <f t="shared" si="400"/>
        <v>532567.68000000005</v>
      </c>
      <c r="P508" s="1003"/>
    </row>
    <row r="509" spans="2:16" x14ac:dyDescent="0.25">
      <c r="B509" s="998"/>
      <c r="C509" s="1001"/>
      <c r="D509" s="61" t="s">
        <v>134</v>
      </c>
      <c r="E509" s="62">
        <v>0</v>
      </c>
      <c r="F509" s="63">
        <f t="shared" si="394"/>
        <v>0</v>
      </c>
      <c r="G509" s="63">
        <v>0</v>
      </c>
      <c r="H509" s="64">
        <v>0</v>
      </c>
      <c r="I509" s="79">
        <f t="shared" si="395"/>
        <v>0</v>
      </c>
      <c r="J509" s="4">
        <f t="shared" si="396"/>
        <v>0</v>
      </c>
      <c r="K509" s="4">
        <f t="shared" si="397"/>
        <v>0</v>
      </c>
      <c r="L509" s="65" t="e">
        <f t="shared" si="398"/>
        <v>#DIV/0!</v>
      </c>
      <c r="M509" s="66">
        <v>53.515999999999998</v>
      </c>
      <c r="N509" s="67">
        <f t="shared" si="399"/>
        <v>0</v>
      </c>
      <c r="O509" s="67">
        <f t="shared" si="400"/>
        <v>0</v>
      </c>
      <c r="P509" s="1003"/>
    </row>
    <row r="510" spans="2:16" x14ac:dyDescent="0.25">
      <c r="B510" s="998"/>
      <c r="C510" s="1001"/>
      <c r="D510" s="61" t="s">
        <v>72</v>
      </c>
      <c r="E510" s="62">
        <v>0</v>
      </c>
      <c r="F510" s="63">
        <f t="shared" si="394"/>
        <v>0</v>
      </c>
      <c r="G510" s="63">
        <v>0</v>
      </c>
      <c r="H510" s="64">
        <v>0</v>
      </c>
      <c r="I510" s="79">
        <f t="shared" si="395"/>
        <v>9804</v>
      </c>
      <c r="J510" s="4">
        <f t="shared" si="396"/>
        <v>9600</v>
      </c>
      <c r="K510" s="4">
        <f t="shared" si="397"/>
        <v>204</v>
      </c>
      <c r="L510" s="65" t="e">
        <f t="shared" si="398"/>
        <v>#DIV/0!</v>
      </c>
      <c r="M510" s="66">
        <v>58.836300000000001</v>
      </c>
      <c r="N510" s="67">
        <f t="shared" si="399"/>
        <v>0</v>
      </c>
      <c r="O510" s="67">
        <f t="shared" si="400"/>
        <v>564828.48</v>
      </c>
      <c r="P510" s="1003"/>
    </row>
    <row r="511" spans="2:16" x14ac:dyDescent="0.25">
      <c r="B511" s="998"/>
      <c r="C511" s="1005" t="s">
        <v>76</v>
      </c>
      <c r="D511" s="61" t="s">
        <v>77</v>
      </c>
      <c r="E511" s="62">
        <v>0</v>
      </c>
      <c r="F511" s="63">
        <f>G511+H511</f>
        <v>0</v>
      </c>
      <c r="G511" s="63">
        <v>0</v>
      </c>
      <c r="H511" s="64">
        <v>0</v>
      </c>
      <c r="I511" s="79">
        <f t="shared" si="395"/>
        <v>3675</v>
      </c>
      <c r="J511" s="4">
        <f t="shared" si="396"/>
        <v>3575</v>
      </c>
      <c r="K511" s="4">
        <f t="shared" si="397"/>
        <v>100</v>
      </c>
      <c r="L511" s="65" t="e">
        <f t="shared" si="398"/>
        <v>#DIV/0!</v>
      </c>
      <c r="M511" s="66">
        <v>25.687200000000001</v>
      </c>
      <c r="N511" s="67">
        <f t="shared" si="399"/>
        <v>0</v>
      </c>
      <c r="O511" s="67">
        <f t="shared" si="400"/>
        <v>91831.74</v>
      </c>
      <c r="P511" s="1003"/>
    </row>
    <row r="512" spans="2:16" x14ac:dyDescent="0.25">
      <c r="B512" s="998"/>
      <c r="C512" s="1006"/>
      <c r="D512" s="61" t="s">
        <v>117</v>
      </c>
      <c r="E512" s="62">
        <v>0</v>
      </c>
      <c r="F512" s="63">
        <f>G512+H512</f>
        <v>0</v>
      </c>
      <c r="G512" s="63">
        <v>0</v>
      </c>
      <c r="H512" s="64">
        <v>0</v>
      </c>
      <c r="I512" s="79">
        <f t="shared" si="395"/>
        <v>0</v>
      </c>
      <c r="J512" s="4">
        <f t="shared" si="396"/>
        <v>0</v>
      </c>
      <c r="K512" s="4">
        <f>H512+K447</f>
        <v>0</v>
      </c>
      <c r="L512" s="65" t="e">
        <f t="shared" si="398"/>
        <v>#DIV/0!</v>
      </c>
      <c r="M512" s="66">
        <v>25.033899999999999</v>
      </c>
      <c r="N512" s="67">
        <f t="shared" si="399"/>
        <v>0</v>
      </c>
      <c r="O512" s="67">
        <f t="shared" si="400"/>
        <v>0</v>
      </c>
      <c r="P512" s="1003"/>
    </row>
    <row r="513" spans="2:16" x14ac:dyDescent="0.25">
      <c r="B513" s="998"/>
      <c r="C513" s="1005" t="s">
        <v>78</v>
      </c>
      <c r="D513" s="61" t="s">
        <v>79</v>
      </c>
      <c r="E513" s="62">
        <v>0</v>
      </c>
      <c r="F513" s="63">
        <f t="shared" ref="F513:F532" si="401">G513+H513</f>
        <v>0</v>
      </c>
      <c r="G513" s="63">
        <v>0</v>
      </c>
      <c r="H513" s="64">
        <v>0</v>
      </c>
      <c r="I513" s="79">
        <f t="shared" si="395"/>
        <v>8113</v>
      </c>
      <c r="J513" s="4">
        <f t="shared" si="396"/>
        <v>8000</v>
      </c>
      <c r="K513" s="4">
        <f t="shared" ref="K513:K532" si="402">H513+K448</f>
        <v>113</v>
      </c>
      <c r="L513" s="65" t="e">
        <f t="shared" si="398"/>
        <v>#DIV/0!</v>
      </c>
      <c r="M513" s="66">
        <v>41.992699999999999</v>
      </c>
      <c r="N513" s="67">
        <f t="shared" si="399"/>
        <v>0</v>
      </c>
      <c r="O513" s="67">
        <f t="shared" si="400"/>
        <v>335941.6</v>
      </c>
      <c r="P513" s="1003"/>
    </row>
    <row r="514" spans="2:16" x14ac:dyDescent="0.25">
      <c r="B514" s="998"/>
      <c r="C514" s="1006"/>
      <c r="D514" s="61" t="s">
        <v>72</v>
      </c>
      <c r="E514" s="62">
        <v>0</v>
      </c>
      <c r="F514" s="63">
        <f t="shared" si="401"/>
        <v>0</v>
      </c>
      <c r="G514" s="63">
        <v>0</v>
      </c>
      <c r="H514" s="64">
        <v>0</v>
      </c>
      <c r="I514" s="79">
        <f t="shared" si="395"/>
        <v>0</v>
      </c>
      <c r="J514" s="4">
        <f t="shared" si="396"/>
        <v>0</v>
      </c>
      <c r="K514" s="4">
        <f t="shared" si="402"/>
        <v>0</v>
      </c>
      <c r="L514" s="65" t="e">
        <f t="shared" si="398"/>
        <v>#DIV/0!</v>
      </c>
      <c r="M514" s="66">
        <v>42.283799999999999</v>
      </c>
      <c r="N514" s="67">
        <f t="shared" si="399"/>
        <v>0</v>
      </c>
      <c r="O514" s="67">
        <f t="shared" si="400"/>
        <v>0</v>
      </c>
      <c r="P514" s="1003"/>
    </row>
    <row r="515" spans="2:16" x14ac:dyDescent="0.25">
      <c r="B515" s="998"/>
      <c r="C515" s="184" t="s">
        <v>80</v>
      </c>
      <c r="D515" s="61" t="s">
        <v>81</v>
      </c>
      <c r="E515" s="62">
        <v>0</v>
      </c>
      <c r="F515" s="63">
        <f t="shared" si="401"/>
        <v>0</v>
      </c>
      <c r="G515" s="63">
        <v>0</v>
      </c>
      <c r="H515" s="64">
        <v>0</v>
      </c>
      <c r="I515" s="79">
        <f t="shared" si="395"/>
        <v>10898</v>
      </c>
      <c r="J515" s="4">
        <f t="shared" si="396"/>
        <v>10500</v>
      </c>
      <c r="K515" s="4">
        <f t="shared" si="402"/>
        <v>398</v>
      </c>
      <c r="L515" s="65" t="e">
        <f t="shared" si="398"/>
        <v>#DIV/0!</v>
      </c>
      <c r="M515" s="66">
        <v>4.3535000000000004</v>
      </c>
      <c r="N515" s="67">
        <f t="shared" si="399"/>
        <v>0</v>
      </c>
      <c r="O515" s="67">
        <f t="shared" si="400"/>
        <v>45711.750000000007</v>
      </c>
      <c r="P515" s="1003"/>
    </row>
    <row r="516" spans="2:16" x14ac:dyDescent="0.25">
      <c r="B516" s="998"/>
      <c r="C516" s="1001" t="s">
        <v>82</v>
      </c>
      <c r="D516" s="61" t="s">
        <v>77</v>
      </c>
      <c r="E516" s="62">
        <v>0</v>
      </c>
      <c r="F516" s="63">
        <f t="shared" si="401"/>
        <v>0</v>
      </c>
      <c r="G516" s="63">
        <v>0</v>
      </c>
      <c r="H516" s="64">
        <v>0</v>
      </c>
      <c r="I516" s="79">
        <f t="shared" si="395"/>
        <v>0</v>
      </c>
      <c r="J516" s="4">
        <f t="shared" si="396"/>
        <v>0</v>
      </c>
      <c r="K516" s="4">
        <f t="shared" si="402"/>
        <v>0</v>
      </c>
      <c r="L516" s="65" t="e">
        <f t="shared" si="398"/>
        <v>#DIV/0!</v>
      </c>
      <c r="M516" s="66">
        <v>4.6184000000000003</v>
      </c>
      <c r="N516" s="67">
        <f t="shared" si="399"/>
        <v>0</v>
      </c>
      <c r="O516" s="67">
        <f>M516*J516</f>
        <v>0</v>
      </c>
      <c r="P516" s="1003"/>
    </row>
    <row r="517" spans="2:16" x14ac:dyDescent="0.25">
      <c r="B517" s="998"/>
      <c r="C517" s="1001"/>
      <c r="D517" s="61" t="s">
        <v>119</v>
      </c>
      <c r="E517" s="62">
        <v>0</v>
      </c>
      <c r="F517" s="63">
        <f t="shared" si="401"/>
        <v>0</v>
      </c>
      <c r="G517" s="63">
        <v>0</v>
      </c>
      <c r="H517" s="64">
        <v>0</v>
      </c>
      <c r="I517" s="79">
        <f>J517+K517</f>
        <v>0</v>
      </c>
      <c r="J517" s="4">
        <f t="shared" si="396"/>
        <v>0</v>
      </c>
      <c r="K517" s="4">
        <f t="shared" si="402"/>
        <v>0</v>
      </c>
      <c r="L517" s="65" t="e">
        <f t="shared" si="398"/>
        <v>#DIV/0!</v>
      </c>
      <c r="M517" s="153">
        <v>4.6184000000000003</v>
      </c>
      <c r="N517" s="67">
        <f t="shared" si="399"/>
        <v>0</v>
      </c>
      <c r="O517" s="67">
        <f>M517*J517</f>
        <v>0</v>
      </c>
      <c r="P517" s="1003"/>
    </row>
    <row r="518" spans="2:16" x14ac:dyDescent="0.25">
      <c r="B518" s="998"/>
      <c r="C518" s="1001"/>
      <c r="D518" s="61" t="s">
        <v>123</v>
      </c>
      <c r="E518" s="62">
        <v>0</v>
      </c>
      <c r="F518" s="63">
        <f t="shared" si="401"/>
        <v>0</v>
      </c>
      <c r="G518" s="63">
        <v>0</v>
      </c>
      <c r="H518" s="64">
        <v>0</v>
      </c>
      <c r="I518" s="79">
        <f t="shared" ref="I518:I532" si="403">J518+K518</f>
        <v>0</v>
      </c>
      <c r="J518" s="4">
        <f t="shared" si="396"/>
        <v>0</v>
      </c>
      <c r="K518" s="4">
        <f t="shared" si="402"/>
        <v>0</v>
      </c>
      <c r="L518" s="65" t="e">
        <f t="shared" si="398"/>
        <v>#DIV/0!</v>
      </c>
      <c r="M518" s="153">
        <v>4.6184000000000003</v>
      </c>
      <c r="N518" s="67">
        <f t="shared" si="399"/>
        <v>0</v>
      </c>
      <c r="O518" s="67">
        <f t="shared" ref="O518:O523" si="404">M518*J518</f>
        <v>0</v>
      </c>
      <c r="P518" s="1003"/>
    </row>
    <row r="519" spans="2:16" x14ac:dyDescent="0.25">
      <c r="B519" s="998"/>
      <c r="C519" s="1001"/>
      <c r="D519" s="61" t="s">
        <v>124</v>
      </c>
      <c r="E519" s="62">
        <v>0</v>
      </c>
      <c r="F519" s="63">
        <f t="shared" si="401"/>
        <v>7029</v>
      </c>
      <c r="G519" s="63">
        <v>6600</v>
      </c>
      <c r="H519" s="64">
        <v>429</v>
      </c>
      <c r="I519" s="79">
        <f t="shared" si="403"/>
        <v>159142</v>
      </c>
      <c r="J519" s="4">
        <f t="shared" si="396"/>
        <v>154255</v>
      </c>
      <c r="K519" s="4">
        <f t="shared" si="402"/>
        <v>4887</v>
      </c>
      <c r="L519" s="65" t="e">
        <f t="shared" si="398"/>
        <v>#DIV/0!</v>
      </c>
      <c r="M519" s="153">
        <v>4.7636000000000003</v>
      </c>
      <c r="N519" s="67">
        <f t="shared" si="399"/>
        <v>31439.760000000002</v>
      </c>
      <c r="O519" s="67">
        <f t="shared" si="404"/>
        <v>734809.11800000002</v>
      </c>
      <c r="P519" s="1003"/>
    </row>
    <row r="520" spans="2:16" x14ac:dyDescent="0.25">
      <c r="B520" s="998"/>
      <c r="C520" s="1001"/>
      <c r="D520" s="61" t="s">
        <v>83</v>
      </c>
      <c r="E520" s="62">
        <v>0</v>
      </c>
      <c r="F520" s="63">
        <f t="shared" si="401"/>
        <v>0</v>
      </c>
      <c r="G520" s="63">
        <v>0</v>
      </c>
      <c r="H520" s="64">
        <v>0</v>
      </c>
      <c r="I520" s="79">
        <f t="shared" si="403"/>
        <v>0</v>
      </c>
      <c r="J520" s="4">
        <f t="shared" si="396"/>
        <v>0</v>
      </c>
      <c r="K520" s="4">
        <f t="shared" si="402"/>
        <v>0</v>
      </c>
      <c r="L520" s="65" t="e">
        <f t="shared" si="398"/>
        <v>#DIV/0!</v>
      </c>
      <c r="M520" s="66">
        <v>4.8738000000000001</v>
      </c>
      <c r="N520" s="67">
        <f t="shared" si="399"/>
        <v>0</v>
      </c>
      <c r="O520" s="67">
        <f t="shared" si="404"/>
        <v>0</v>
      </c>
      <c r="P520" s="1003"/>
    </row>
    <row r="521" spans="2:16" x14ac:dyDescent="0.25">
      <c r="B521" s="998"/>
      <c r="C521" s="184" t="s">
        <v>128</v>
      </c>
      <c r="D521" s="61" t="s">
        <v>124</v>
      </c>
      <c r="E521" s="62"/>
      <c r="F521" s="63">
        <f t="shared" si="401"/>
        <v>0</v>
      </c>
      <c r="G521" s="63">
        <v>0</v>
      </c>
      <c r="H521" s="64">
        <v>0</v>
      </c>
      <c r="I521" s="79">
        <f t="shared" si="403"/>
        <v>0</v>
      </c>
      <c r="J521" s="4">
        <f t="shared" si="396"/>
        <v>0</v>
      </c>
      <c r="K521" s="4">
        <f t="shared" si="402"/>
        <v>0</v>
      </c>
      <c r="L521" s="65"/>
      <c r="M521" s="66">
        <v>4.8738000000000001</v>
      </c>
      <c r="N521" s="67">
        <f t="shared" si="399"/>
        <v>0</v>
      </c>
      <c r="O521" s="67">
        <f t="shared" si="404"/>
        <v>0</v>
      </c>
      <c r="P521" s="1003"/>
    </row>
    <row r="522" spans="2:16" x14ac:dyDescent="0.25">
      <c r="B522" s="998"/>
      <c r="C522" s="1001" t="s">
        <v>84</v>
      </c>
      <c r="D522" s="61" t="s">
        <v>77</v>
      </c>
      <c r="E522" s="62">
        <v>0</v>
      </c>
      <c r="F522" s="63">
        <f t="shared" si="401"/>
        <v>12042</v>
      </c>
      <c r="G522" s="63">
        <v>11950</v>
      </c>
      <c r="H522" s="64">
        <v>92</v>
      </c>
      <c r="I522" s="79">
        <f t="shared" si="403"/>
        <v>152369</v>
      </c>
      <c r="J522" s="4">
        <f t="shared" si="396"/>
        <v>150500</v>
      </c>
      <c r="K522" s="4">
        <f t="shared" si="402"/>
        <v>1869</v>
      </c>
      <c r="L522" s="65" t="e">
        <f t="shared" ref="L522:L532" si="405">+J522/E522</f>
        <v>#DIV/0!</v>
      </c>
      <c r="M522" s="66">
        <v>4.9344999999999999</v>
      </c>
      <c r="N522" s="67">
        <f t="shared" si="399"/>
        <v>58967.275000000001</v>
      </c>
      <c r="O522" s="67">
        <f t="shared" si="404"/>
        <v>742642.25</v>
      </c>
      <c r="P522" s="1003"/>
    </row>
    <row r="523" spans="2:16" x14ac:dyDescent="0.25">
      <c r="B523" s="998"/>
      <c r="C523" s="1001"/>
      <c r="D523" s="61" t="s">
        <v>135</v>
      </c>
      <c r="E523" s="62"/>
      <c r="F523" s="63">
        <f t="shared" si="401"/>
        <v>0</v>
      </c>
      <c r="G523" s="63">
        <v>0</v>
      </c>
      <c r="H523" s="64">
        <v>0</v>
      </c>
      <c r="I523" s="79">
        <f t="shared" si="403"/>
        <v>0</v>
      </c>
      <c r="J523" s="4">
        <f t="shared" si="396"/>
        <v>0</v>
      </c>
      <c r="K523" s="4">
        <f t="shared" si="402"/>
        <v>0</v>
      </c>
      <c r="L523" s="65" t="e">
        <f t="shared" si="405"/>
        <v>#DIV/0!</v>
      </c>
      <c r="M523" s="66">
        <v>4.9344999999999999</v>
      </c>
      <c r="N523" s="67">
        <f t="shared" si="399"/>
        <v>0</v>
      </c>
      <c r="O523" s="67">
        <f t="shared" si="404"/>
        <v>0</v>
      </c>
      <c r="P523" s="1003"/>
    </row>
    <row r="524" spans="2:16" x14ac:dyDescent="0.25">
      <c r="B524" s="998"/>
      <c r="C524" s="1001"/>
      <c r="D524" s="61" t="s">
        <v>129</v>
      </c>
      <c r="E524" s="62">
        <v>0</v>
      </c>
      <c r="F524" s="63">
        <f t="shared" si="401"/>
        <v>0</v>
      </c>
      <c r="G524" s="155">
        <v>0</v>
      </c>
      <c r="H524" s="156">
        <v>0</v>
      </c>
      <c r="I524" s="157">
        <f t="shared" si="403"/>
        <v>0</v>
      </c>
      <c r="J524" s="4">
        <f t="shared" si="396"/>
        <v>0</v>
      </c>
      <c r="K524" s="4">
        <f t="shared" si="402"/>
        <v>0</v>
      </c>
      <c r="L524" s="158" t="e">
        <f t="shared" si="405"/>
        <v>#DIV/0!</v>
      </c>
      <c r="M524" s="66">
        <v>4.9344999999999999</v>
      </c>
      <c r="N524" s="159">
        <f t="shared" si="399"/>
        <v>0</v>
      </c>
      <c r="O524" s="67">
        <f>M524*J524</f>
        <v>0</v>
      </c>
      <c r="P524" s="1003"/>
    </row>
    <row r="525" spans="2:16" x14ac:dyDescent="0.25">
      <c r="B525" s="998"/>
      <c r="C525" s="1001" t="s">
        <v>85</v>
      </c>
      <c r="D525" s="61" t="s">
        <v>77</v>
      </c>
      <c r="E525" s="62">
        <v>0</v>
      </c>
      <c r="F525" s="63">
        <f t="shared" si="401"/>
        <v>0</v>
      </c>
      <c r="G525" s="63">
        <v>0</v>
      </c>
      <c r="H525" s="64">
        <v>0</v>
      </c>
      <c r="I525" s="79">
        <f t="shared" si="403"/>
        <v>113515</v>
      </c>
      <c r="J525" s="4">
        <f t="shared" si="396"/>
        <v>106950</v>
      </c>
      <c r="K525" s="4">
        <f t="shared" si="402"/>
        <v>6565</v>
      </c>
      <c r="L525" s="65" t="e">
        <f t="shared" si="405"/>
        <v>#DIV/0!</v>
      </c>
      <c r="M525" s="148">
        <v>5.5069999999999997</v>
      </c>
      <c r="N525" s="67">
        <f t="shared" si="399"/>
        <v>0</v>
      </c>
      <c r="O525" s="67">
        <f>M525*J525</f>
        <v>588973.64999999991</v>
      </c>
      <c r="P525" s="1003"/>
    </row>
    <row r="526" spans="2:16" x14ac:dyDescent="0.25">
      <c r="B526" s="998"/>
      <c r="C526" s="1001"/>
      <c r="D526" s="61" t="s">
        <v>112</v>
      </c>
      <c r="E526" s="62">
        <v>0</v>
      </c>
      <c r="F526" s="63">
        <f t="shared" si="401"/>
        <v>0</v>
      </c>
      <c r="G526" s="63">
        <v>0</v>
      </c>
      <c r="H526" s="64">
        <v>0</v>
      </c>
      <c r="I526" s="79">
        <f t="shared" si="403"/>
        <v>10950</v>
      </c>
      <c r="J526" s="4">
        <f t="shared" si="396"/>
        <v>10900</v>
      </c>
      <c r="K526" s="4">
        <f t="shared" si="402"/>
        <v>50</v>
      </c>
      <c r="L526" s="65" t="e">
        <f t="shared" si="405"/>
        <v>#DIV/0!</v>
      </c>
      <c r="M526" s="147">
        <v>5.6550000000000002</v>
      </c>
      <c r="N526" s="67">
        <f t="shared" si="399"/>
        <v>0</v>
      </c>
      <c r="O526" s="67">
        <f>M526*J526</f>
        <v>61639.5</v>
      </c>
      <c r="P526" s="1003"/>
    </row>
    <row r="527" spans="2:16" x14ac:dyDescent="0.25">
      <c r="B527" s="998"/>
      <c r="C527" s="1001"/>
      <c r="D527" s="61" t="s">
        <v>118</v>
      </c>
      <c r="E527" s="62">
        <v>0</v>
      </c>
      <c r="F527" s="63">
        <f t="shared" si="401"/>
        <v>0</v>
      </c>
      <c r="G527" s="63">
        <v>0</v>
      </c>
      <c r="H527" s="64">
        <v>0</v>
      </c>
      <c r="I527" s="79">
        <f t="shared" si="403"/>
        <v>0</v>
      </c>
      <c r="J527" s="4">
        <f t="shared" si="396"/>
        <v>0</v>
      </c>
      <c r="K527" s="4">
        <f t="shared" si="402"/>
        <v>0</v>
      </c>
      <c r="L527" s="65" t="e">
        <f t="shared" si="405"/>
        <v>#DIV/0!</v>
      </c>
      <c r="M527" s="152">
        <v>5.6550000000000002</v>
      </c>
      <c r="N527" s="67">
        <f t="shared" si="399"/>
        <v>0</v>
      </c>
      <c r="O527" s="67">
        <f>M527*J527</f>
        <v>0</v>
      </c>
      <c r="P527" s="1003"/>
    </row>
    <row r="528" spans="2:16" x14ac:dyDescent="0.25">
      <c r="B528" s="998"/>
      <c r="C528" s="1001"/>
      <c r="D528" s="61" t="s">
        <v>121</v>
      </c>
      <c r="E528" s="62">
        <v>0</v>
      </c>
      <c r="F528" s="63">
        <f t="shared" si="401"/>
        <v>0</v>
      </c>
      <c r="G528" s="63">
        <v>0</v>
      </c>
      <c r="H528" s="64">
        <v>0</v>
      </c>
      <c r="I528" s="79">
        <f t="shared" si="403"/>
        <v>12400</v>
      </c>
      <c r="J528" s="4">
        <f t="shared" si="396"/>
        <v>10900</v>
      </c>
      <c r="K528" s="4">
        <f t="shared" si="402"/>
        <v>1500</v>
      </c>
      <c r="L528" s="65" t="e">
        <f t="shared" si="405"/>
        <v>#DIV/0!</v>
      </c>
      <c r="M528" s="66">
        <v>5.7885299999999997</v>
      </c>
      <c r="N528" s="67">
        <f>+M528*G528</f>
        <v>0</v>
      </c>
      <c r="O528" s="67">
        <f>M528*J528</f>
        <v>63094.976999999999</v>
      </c>
      <c r="P528" s="1003"/>
    </row>
    <row r="529" spans="2:16" x14ac:dyDescent="0.25">
      <c r="B529" s="998"/>
      <c r="C529" s="1001"/>
      <c r="D529" s="61" t="s">
        <v>136</v>
      </c>
      <c r="E529" s="62">
        <v>0</v>
      </c>
      <c r="F529" s="63">
        <f t="shared" si="401"/>
        <v>0</v>
      </c>
      <c r="G529" s="63">
        <v>0</v>
      </c>
      <c r="H529" s="64">
        <v>0</v>
      </c>
      <c r="I529" s="79">
        <f t="shared" si="403"/>
        <v>0</v>
      </c>
      <c r="J529" s="4">
        <f t="shared" si="396"/>
        <v>0</v>
      </c>
      <c r="K529" s="4">
        <f t="shared" si="402"/>
        <v>0</v>
      </c>
      <c r="L529" s="65" t="e">
        <f t="shared" si="405"/>
        <v>#DIV/0!</v>
      </c>
      <c r="M529" s="152">
        <v>5.6550000000000002</v>
      </c>
      <c r="N529" s="67">
        <f t="shared" ref="N529:N531" si="406">+M529*G529</f>
        <v>0</v>
      </c>
      <c r="O529" s="67">
        <f t="shared" ref="O529:O532" si="407">M529*J529</f>
        <v>0</v>
      </c>
      <c r="P529" s="1003"/>
    </row>
    <row r="530" spans="2:16" x14ac:dyDescent="0.25">
      <c r="B530" s="998"/>
      <c r="C530" s="184" t="s">
        <v>86</v>
      </c>
      <c r="D530" s="61" t="s">
        <v>77</v>
      </c>
      <c r="E530" s="62">
        <v>0</v>
      </c>
      <c r="F530" s="63">
        <f t="shared" si="401"/>
        <v>0</v>
      </c>
      <c r="G530" s="63">
        <v>0</v>
      </c>
      <c r="H530" s="64">
        <v>0</v>
      </c>
      <c r="I530" s="79">
        <f t="shared" si="403"/>
        <v>0</v>
      </c>
      <c r="J530" s="4">
        <f t="shared" si="396"/>
        <v>0</v>
      </c>
      <c r="K530" s="4">
        <f t="shared" si="402"/>
        <v>0</v>
      </c>
      <c r="L530" s="65" t="e">
        <f t="shared" si="405"/>
        <v>#DIV/0!</v>
      </c>
      <c r="M530" s="66">
        <v>3.2963</v>
      </c>
      <c r="N530" s="67">
        <f t="shared" si="406"/>
        <v>0</v>
      </c>
      <c r="O530" s="67">
        <f t="shared" si="407"/>
        <v>0</v>
      </c>
      <c r="P530" s="1003"/>
    </row>
    <row r="531" spans="2:16" x14ac:dyDescent="0.25">
      <c r="B531" s="998"/>
      <c r="C531" s="184" t="s">
        <v>87</v>
      </c>
      <c r="D531" s="61" t="s">
        <v>77</v>
      </c>
      <c r="E531" s="62">
        <v>0</v>
      </c>
      <c r="F531" s="63">
        <f t="shared" si="401"/>
        <v>0</v>
      </c>
      <c r="G531" s="63">
        <v>0</v>
      </c>
      <c r="H531" s="64">
        <v>0</v>
      </c>
      <c r="I531" s="79">
        <f t="shared" si="403"/>
        <v>0</v>
      </c>
      <c r="J531" s="4">
        <f t="shared" si="396"/>
        <v>0</v>
      </c>
      <c r="K531" s="4">
        <f t="shared" si="402"/>
        <v>0</v>
      </c>
      <c r="L531" s="65" t="e">
        <f t="shared" si="405"/>
        <v>#DIV/0!</v>
      </c>
      <c r="M531" s="66">
        <v>3.2963</v>
      </c>
      <c r="N531" s="67">
        <f t="shared" si="406"/>
        <v>0</v>
      </c>
      <c r="O531" s="67">
        <f t="shared" si="407"/>
        <v>0</v>
      </c>
      <c r="P531" s="1003"/>
    </row>
    <row r="532" spans="2:16" ht="15.75" thickBot="1" x14ac:dyDescent="0.3">
      <c r="B532" s="998"/>
      <c r="C532" s="68" t="s">
        <v>88</v>
      </c>
      <c r="D532" s="69" t="s">
        <v>89</v>
      </c>
      <c r="E532" s="70">
        <v>0</v>
      </c>
      <c r="F532" s="71">
        <f t="shared" si="401"/>
        <v>0</v>
      </c>
      <c r="G532" s="71">
        <v>0</v>
      </c>
      <c r="H532" s="72">
        <v>0</v>
      </c>
      <c r="I532" s="80">
        <f t="shared" si="403"/>
        <v>65030</v>
      </c>
      <c r="J532" s="4">
        <f t="shared" si="396"/>
        <v>65000</v>
      </c>
      <c r="K532" s="4">
        <f t="shared" si="402"/>
        <v>30</v>
      </c>
      <c r="L532" s="65" t="e">
        <f t="shared" si="405"/>
        <v>#DIV/0!</v>
      </c>
      <c r="M532" s="73">
        <v>2.3201000000000001</v>
      </c>
      <c r="N532" s="74">
        <f t="shared" ref="N532" si="408">M532*G532</f>
        <v>0</v>
      </c>
      <c r="O532" s="74">
        <f t="shared" si="407"/>
        <v>150806.5</v>
      </c>
      <c r="P532" s="1004"/>
    </row>
    <row r="533" spans="2:16" ht="15.75" thickBot="1" x14ac:dyDescent="0.3">
      <c r="B533" s="999"/>
      <c r="C533" s="1007" t="s">
        <v>99</v>
      </c>
      <c r="D533" s="1008"/>
      <c r="E533" s="1008"/>
      <c r="F533" s="1008"/>
      <c r="G533" s="1008"/>
      <c r="H533" s="1009"/>
      <c r="I533" s="116">
        <f>J533+K533</f>
        <v>576070</v>
      </c>
      <c r="J533" s="115">
        <f>SUM(J505:J532)</f>
        <v>559780</v>
      </c>
      <c r="K533" s="115">
        <f>SUM(K505:K532)</f>
        <v>16290</v>
      </c>
      <c r="L533" s="114"/>
      <c r="M533" s="113"/>
      <c r="N533" s="114"/>
      <c r="O533" s="97">
        <f>SUM(O505:O532)</f>
        <v>4620815.2449999992</v>
      </c>
      <c r="P533" s="96"/>
    </row>
    <row r="534" spans="2:16" ht="15.75" thickBot="1" x14ac:dyDescent="0.3">
      <c r="B534" s="100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2"/>
    </row>
    <row r="535" spans="2:16" ht="15.75" thickBot="1" x14ac:dyDescent="0.3">
      <c r="B535" s="992" t="s">
        <v>100</v>
      </c>
      <c r="C535" s="993"/>
      <c r="D535" s="993"/>
      <c r="E535" s="993"/>
      <c r="F535" s="993"/>
      <c r="G535" s="993"/>
      <c r="H535" s="993"/>
      <c r="I535" s="993"/>
      <c r="J535" s="993"/>
      <c r="K535" s="993"/>
      <c r="L535" s="993"/>
      <c r="M535" s="993"/>
      <c r="N535" s="994"/>
      <c r="O535" s="103">
        <f>+O533+O504+O489</f>
        <v>10039684.446999999</v>
      </c>
      <c r="P535" s="96"/>
    </row>
    <row r="536" spans="2:16" ht="15.75" thickBot="1" x14ac:dyDescent="0.3"/>
    <row r="537" spans="2:16" x14ac:dyDescent="0.25">
      <c r="B537" s="1026" t="s">
        <v>1</v>
      </c>
      <c r="C537" s="1028" t="s">
        <v>2</v>
      </c>
      <c r="D537" s="1031" t="s">
        <v>3</v>
      </c>
      <c r="E537" s="1034" t="s">
        <v>4</v>
      </c>
      <c r="F537" s="1035"/>
      <c r="G537" s="1035"/>
      <c r="H537" s="1035"/>
      <c r="I537" s="1035"/>
      <c r="J537" s="1035"/>
      <c r="K537" s="1035"/>
      <c r="L537" s="1036"/>
      <c r="M537" s="1037" t="s">
        <v>5</v>
      </c>
      <c r="N537" s="1038"/>
      <c r="O537" s="1039"/>
      <c r="P537" s="1031" t="s">
        <v>6</v>
      </c>
    </row>
    <row r="538" spans="2:16" x14ac:dyDescent="0.25">
      <c r="B538" s="1027"/>
      <c r="C538" s="1029"/>
      <c r="D538" s="1032"/>
      <c r="E538" s="1040" t="s">
        <v>7</v>
      </c>
      <c r="F538" s="1042" t="s">
        <v>148</v>
      </c>
      <c r="G538" s="1042"/>
      <c r="H538" s="1043"/>
      <c r="I538" s="1044" t="s">
        <v>8</v>
      </c>
      <c r="J538" s="1042"/>
      <c r="K538" s="1042"/>
      <c r="L538" s="1043" t="s">
        <v>9</v>
      </c>
      <c r="M538" s="1046" t="s">
        <v>10</v>
      </c>
      <c r="N538" s="1048" t="s">
        <v>11</v>
      </c>
      <c r="O538" s="1050" t="s">
        <v>12</v>
      </c>
      <c r="P538" s="1032"/>
    </row>
    <row r="539" spans="2:16" ht="15.75" thickBot="1" x14ac:dyDescent="0.3">
      <c r="B539" s="1027"/>
      <c r="C539" s="1030"/>
      <c r="D539" s="1033"/>
      <c r="E539" s="1041"/>
      <c r="F539" s="2" t="s">
        <v>13</v>
      </c>
      <c r="G539" s="2" t="s">
        <v>14</v>
      </c>
      <c r="H539" s="191" t="s">
        <v>15</v>
      </c>
      <c r="I539" s="142" t="s">
        <v>13</v>
      </c>
      <c r="J539" s="2" t="s">
        <v>14</v>
      </c>
      <c r="K539" s="2" t="s">
        <v>15</v>
      </c>
      <c r="L539" s="1045"/>
      <c r="M539" s="1047"/>
      <c r="N539" s="1049"/>
      <c r="O539" s="1051"/>
      <c r="P539" s="1033"/>
    </row>
    <row r="540" spans="2:16" x14ac:dyDescent="0.25">
      <c r="B540" s="1010" t="s">
        <v>53</v>
      </c>
      <c r="C540" s="29"/>
      <c r="D540" s="117" t="s">
        <v>143</v>
      </c>
      <c r="E540" s="98">
        <v>0</v>
      </c>
      <c r="F540" s="4">
        <f>+G540+H540</f>
        <v>60564</v>
      </c>
      <c r="G540" s="4">
        <v>59360</v>
      </c>
      <c r="H540" s="8">
        <v>1204</v>
      </c>
      <c r="I540" s="6">
        <f>J540+K540</f>
        <v>285266</v>
      </c>
      <c r="J540" s="4">
        <f>G540+J475</f>
        <v>280000</v>
      </c>
      <c r="K540" s="4">
        <f>H540+K475</f>
        <v>5266</v>
      </c>
      <c r="L540" s="33" t="e">
        <f>+J540/E540</f>
        <v>#DIV/0!</v>
      </c>
      <c r="M540" s="104">
        <v>1.3652</v>
      </c>
      <c r="N540" s="31">
        <f>G540*M540</f>
        <v>81038.271999999997</v>
      </c>
      <c r="O540" s="86">
        <f>M540*J540</f>
        <v>382256</v>
      </c>
      <c r="P540" s="1012"/>
    </row>
    <row r="541" spans="2:16" x14ac:dyDescent="0.25">
      <c r="B541" s="1011"/>
      <c r="C541" s="32"/>
      <c r="D541" s="118" t="s">
        <v>109</v>
      </c>
      <c r="E541" s="99">
        <v>0</v>
      </c>
      <c r="F541" s="9">
        <f>+G541+H541</f>
        <v>0</v>
      </c>
      <c r="G541" s="9">
        <v>0</v>
      </c>
      <c r="H541" s="10">
        <v>0</v>
      </c>
      <c r="I541" s="6">
        <f>J541+K541</f>
        <v>0</v>
      </c>
      <c r="J541" s="4">
        <f>+G541+J476</f>
        <v>0</v>
      </c>
      <c r="K541" s="4">
        <f>+H541+K476</f>
        <v>0</v>
      </c>
      <c r="L541" s="33"/>
      <c r="M541" s="105">
        <v>5.9917999999999996</v>
      </c>
      <c r="N541" s="34">
        <f>M541*G541</f>
        <v>0</v>
      </c>
      <c r="O541" s="87">
        <f>M541*J541</f>
        <v>0</v>
      </c>
      <c r="P541" s="1013"/>
    </row>
    <row r="542" spans="2:16" x14ac:dyDescent="0.25">
      <c r="B542" s="1011"/>
      <c r="C542" s="35"/>
      <c r="D542" s="119" t="s">
        <v>55</v>
      </c>
      <c r="E542" s="99">
        <v>0</v>
      </c>
      <c r="F542" s="9">
        <f t="shared" ref="F542:F546" si="409">+G542+H542</f>
        <v>231616</v>
      </c>
      <c r="G542" s="9">
        <v>230000</v>
      </c>
      <c r="H542" s="10">
        <v>1616</v>
      </c>
      <c r="I542" s="6">
        <f t="shared" ref="I542:I546" si="410">J542+K542</f>
        <v>1568199</v>
      </c>
      <c r="J542" s="4">
        <f t="shared" ref="J542:J546" si="411">+G542+J477</f>
        <v>1555750</v>
      </c>
      <c r="K542" s="4">
        <f t="shared" ref="K542:K546" si="412">+H542+K477</f>
        <v>12449</v>
      </c>
      <c r="L542" s="33" t="e">
        <f t="shared" ref="L542" si="413">+J542/E542</f>
        <v>#DIV/0!</v>
      </c>
      <c r="M542" s="106">
        <v>2.3807999999999998</v>
      </c>
      <c r="N542" s="36">
        <f>G542*M542</f>
        <v>547584</v>
      </c>
      <c r="O542" s="88">
        <f>M542*J542</f>
        <v>3703929.5999999996</v>
      </c>
      <c r="P542" s="1013"/>
    </row>
    <row r="543" spans="2:16" x14ac:dyDescent="0.25">
      <c r="B543" s="1011"/>
      <c r="C543" s="35"/>
      <c r="D543" s="119" t="s">
        <v>56</v>
      </c>
      <c r="E543" s="99">
        <v>0</v>
      </c>
      <c r="F543" s="9">
        <f t="shared" si="409"/>
        <v>0</v>
      </c>
      <c r="G543" s="9">
        <v>0</v>
      </c>
      <c r="H543" s="10">
        <v>0</v>
      </c>
      <c r="I543" s="6">
        <f t="shared" si="410"/>
        <v>0</v>
      </c>
      <c r="J543" s="4">
        <f t="shared" si="411"/>
        <v>0</v>
      </c>
      <c r="K543" s="4">
        <f t="shared" si="412"/>
        <v>0</v>
      </c>
      <c r="L543" s="33"/>
      <c r="M543" s="106">
        <v>2.1457999999999999</v>
      </c>
      <c r="N543" s="36">
        <f t="shared" ref="N543:N546" si="414">G543*M543</f>
        <v>0</v>
      </c>
      <c r="O543" s="88">
        <f>M543*J543</f>
        <v>0</v>
      </c>
      <c r="P543" s="1013"/>
    </row>
    <row r="544" spans="2:16" x14ac:dyDescent="0.25">
      <c r="B544" s="1011"/>
      <c r="C544" s="35"/>
      <c r="D544" s="119" t="s">
        <v>106</v>
      </c>
      <c r="E544" s="99">
        <v>0</v>
      </c>
      <c r="F544" s="9">
        <f t="shared" si="409"/>
        <v>0</v>
      </c>
      <c r="G544" s="9">
        <v>0</v>
      </c>
      <c r="H544" s="10">
        <v>0</v>
      </c>
      <c r="I544" s="6">
        <f t="shared" si="410"/>
        <v>0</v>
      </c>
      <c r="J544" s="4">
        <f t="shared" si="411"/>
        <v>0</v>
      </c>
      <c r="K544" s="4">
        <f t="shared" si="412"/>
        <v>0</v>
      </c>
      <c r="L544" s="33" t="e">
        <f t="shared" ref="L544:L545" si="415">+J544/E544</f>
        <v>#DIV/0!</v>
      </c>
      <c r="M544" s="143">
        <v>4.0426000000000002</v>
      </c>
      <c r="N544" s="36">
        <f t="shared" si="414"/>
        <v>0</v>
      </c>
      <c r="O544" s="88">
        <f>M544*J544</f>
        <v>0</v>
      </c>
      <c r="P544" s="1013"/>
    </row>
    <row r="545" spans="2:16" x14ac:dyDescent="0.25">
      <c r="B545" s="1011"/>
      <c r="C545" s="35"/>
      <c r="D545" s="119" t="s">
        <v>110</v>
      </c>
      <c r="E545" s="99">
        <v>0</v>
      </c>
      <c r="F545" s="9">
        <f t="shared" si="409"/>
        <v>0</v>
      </c>
      <c r="G545" s="9">
        <v>0</v>
      </c>
      <c r="H545" s="10">
        <v>0</v>
      </c>
      <c r="I545" s="6">
        <f t="shared" si="410"/>
        <v>0</v>
      </c>
      <c r="J545" s="4">
        <f t="shared" si="411"/>
        <v>0</v>
      </c>
      <c r="K545" s="4">
        <f t="shared" si="412"/>
        <v>0</v>
      </c>
      <c r="L545" s="33" t="e">
        <f t="shared" si="415"/>
        <v>#DIV/0!</v>
      </c>
      <c r="M545" s="143">
        <v>3.8715000000000002</v>
      </c>
      <c r="N545" s="36">
        <f t="shared" si="414"/>
        <v>0</v>
      </c>
      <c r="O545" s="88">
        <f t="shared" ref="O545:O546" si="416">M545*J545</f>
        <v>0</v>
      </c>
      <c r="P545" s="1013"/>
    </row>
    <row r="546" spans="2:16" ht="15.75" thickBot="1" x14ac:dyDescent="0.3">
      <c r="B546" s="1011"/>
      <c r="C546" s="82"/>
      <c r="D546" s="120" t="s">
        <v>57</v>
      </c>
      <c r="E546" s="108">
        <v>0</v>
      </c>
      <c r="F546" s="12">
        <f t="shared" si="409"/>
        <v>0</v>
      </c>
      <c r="G546" s="12">
        <v>0</v>
      </c>
      <c r="H546" s="13">
        <v>0</v>
      </c>
      <c r="I546" s="21">
        <f t="shared" si="410"/>
        <v>0</v>
      </c>
      <c r="J546" s="4">
        <f t="shared" si="411"/>
        <v>0</v>
      </c>
      <c r="K546" s="4">
        <f t="shared" si="412"/>
        <v>0</v>
      </c>
      <c r="L546" s="81"/>
      <c r="M546" s="127">
        <v>12.284700000000001</v>
      </c>
      <c r="N546" s="36">
        <f t="shared" si="414"/>
        <v>0</v>
      </c>
      <c r="O546" s="128">
        <f t="shared" si="416"/>
        <v>0</v>
      </c>
      <c r="P546" s="1013"/>
    </row>
    <row r="547" spans="2:16" ht="15.75" thickBot="1" x14ac:dyDescent="0.3">
      <c r="B547" s="1011"/>
      <c r="C547" s="1016" t="s">
        <v>104</v>
      </c>
      <c r="D547" s="1017"/>
      <c r="E547" s="129"/>
      <c r="F547" s="130">
        <f>SUM(F540:F546)</f>
        <v>292180</v>
      </c>
      <c r="G547" s="130">
        <f>SUM(G540:G546)</f>
        <v>289360</v>
      </c>
      <c r="H547" s="131">
        <f>SUM(H540:H546)</f>
        <v>2820</v>
      </c>
      <c r="I547" s="132">
        <f>+J547+K547</f>
        <v>1853465</v>
      </c>
      <c r="J547" s="133">
        <f>SUM(J540:J546)</f>
        <v>1835750</v>
      </c>
      <c r="K547" s="133">
        <f>SUM(K540:K546)</f>
        <v>17715</v>
      </c>
      <c r="L547" s="134"/>
      <c r="M547" s="135"/>
      <c r="N547" s="136"/>
      <c r="O547" s="137">
        <f>SUM(O540:O546)</f>
        <v>4086185.5999999996</v>
      </c>
      <c r="P547" s="1014"/>
    </row>
    <row r="548" spans="2:16" x14ac:dyDescent="0.25">
      <c r="B548" s="1011"/>
      <c r="C548" s="32"/>
      <c r="D548" s="118" t="s">
        <v>58</v>
      </c>
      <c r="E548" s="98">
        <v>0</v>
      </c>
      <c r="F548" s="4">
        <f t="shared" ref="F548:F551" si="417">+G548+H548</f>
        <v>0</v>
      </c>
      <c r="G548" s="4">
        <v>0</v>
      </c>
      <c r="H548" s="8">
        <v>0</v>
      </c>
      <c r="I548" s="6">
        <f t="shared" ref="I548:I552" si="418">J548+K548</f>
        <v>0</v>
      </c>
      <c r="J548" s="4">
        <f>G548+J483</f>
        <v>0</v>
      </c>
      <c r="K548" s="4">
        <f>H548+K483</f>
        <v>0</v>
      </c>
      <c r="L548" s="33" t="e">
        <f t="shared" ref="L548" si="419">+J548/E548</f>
        <v>#DIV/0!</v>
      </c>
      <c r="M548" s="105">
        <v>12.029500000000001</v>
      </c>
      <c r="N548" s="34">
        <f>M548*G548</f>
        <v>0</v>
      </c>
      <c r="O548" s="87">
        <f t="shared" ref="O548:O550" si="420">M548*J548</f>
        <v>0</v>
      </c>
      <c r="P548" s="1013"/>
    </row>
    <row r="549" spans="2:16" x14ac:dyDescent="0.25">
      <c r="B549" s="1011"/>
      <c r="C549" s="35"/>
      <c r="D549" s="119" t="s">
        <v>59</v>
      </c>
      <c r="E549" s="99">
        <v>0</v>
      </c>
      <c r="F549" s="9">
        <f t="shared" si="417"/>
        <v>0</v>
      </c>
      <c r="G549" s="9">
        <v>0</v>
      </c>
      <c r="H549" s="10">
        <v>0</v>
      </c>
      <c r="I549" s="6">
        <f t="shared" si="418"/>
        <v>0</v>
      </c>
      <c r="J549" s="4">
        <f>G549+J484</f>
        <v>0</v>
      </c>
      <c r="K549" s="4">
        <f>H549+K484</f>
        <v>0</v>
      </c>
      <c r="L549" s="33"/>
      <c r="M549" s="106">
        <v>0</v>
      </c>
      <c r="N549" s="36"/>
      <c r="O549" s="88">
        <f t="shared" si="420"/>
        <v>0</v>
      </c>
      <c r="P549" s="1013"/>
    </row>
    <row r="550" spans="2:16" x14ac:dyDescent="0.25">
      <c r="B550" s="1011"/>
      <c r="C550" s="35"/>
      <c r="D550" s="119" t="s">
        <v>97</v>
      </c>
      <c r="E550" s="99">
        <v>0</v>
      </c>
      <c r="F550" s="9">
        <f t="shared" si="417"/>
        <v>0</v>
      </c>
      <c r="G550" s="9">
        <v>0</v>
      </c>
      <c r="H550" s="10">
        <v>0</v>
      </c>
      <c r="I550" s="6">
        <f t="shared" si="418"/>
        <v>0</v>
      </c>
      <c r="J550" s="4">
        <f t="shared" ref="J550:J552" si="421">G550+J485</f>
        <v>0</v>
      </c>
      <c r="K550" s="4">
        <f t="shared" ref="K550:K552" si="422">H550+K485</f>
        <v>0</v>
      </c>
      <c r="L550" s="33" t="e">
        <f t="shared" ref="L550:L552" si="423">+J550/E550</f>
        <v>#DIV/0!</v>
      </c>
      <c r="M550" s="106">
        <v>19.688600000000001</v>
      </c>
      <c r="N550" s="36">
        <f>M550*G550</f>
        <v>0</v>
      </c>
      <c r="O550" s="88">
        <f t="shared" si="420"/>
        <v>0</v>
      </c>
      <c r="P550" s="1013"/>
    </row>
    <row r="551" spans="2:16" x14ac:dyDescent="0.25">
      <c r="B551" s="1011"/>
      <c r="C551" s="35"/>
      <c r="D551" s="119" t="s">
        <v>61</v>
      </c>
      <c r="E551" s="99">
        <v>0</v>
      </c>
      <c r="F551" s="9">
        <f t="shared" si="417"/>
        <v>0</v>
      </c>
      <c r="G551" s="9">
        <v>0</v>
      </c>
      <c r="H551" s="10">
        <v>0</v>
      </c>
      <c r="I551" s="6">
        <f t="shared" si="418"/>
        <v>0</v>
      </c>
      <c r="J551" s="4">
        <f t="shared" si="421"/>
        <v>0</v>
      </c>
      <c r="K551" s="4">
        <f t="shared" si="422"/>
        <v>0</v>
      </c>
      <c r="L551" s="33" t="e">
        <f t="shared" si="423"/>
        <v>#DIV/0!</v>
      </c>
      <c r="M551" s="106">
        <v>1.2824</v>
      </c>
      <c r="N551" s="151">
        <f>M551*G551</f>
        <v>0</v>
      </c>
      <c r="O551" s="88">
        <f>M551*J551</f>
        <v>0</v>
      </c>
      <c r="P551" s="1013"/>
    </row>
    <row r="552" spans="2:16" ht="15.75" thickBot="1" x14ac:dyDescent="0.3">
      <c r="B552" s="1011"/>
      <c r="C552" s="82"/>
      <c r="D552" s="120" t="s">
        <v>60</v>
      </c>
      <c r="E552" s="108">
        <v>0</v>
      </c>
      <c r="F552" s="12">
        <v>0</v>
      </c>
      <c r="G552" s="12">
        <v>0</v>
      </c>
      <c r="H552" s="13">
        <v>0</v>
      </c>
      <c r="I552" s="21">
        <f t="shared" si="418"/>
        <v>8814</v>
      </c>
      <c r="J552" s="4">
        <f t="shared" si="421"/>
        <v>8640</v>
      </c>
      <c r="K552" s="4">
        <f t="shared" si="422"/>
        <v>174</v>
      </c>
      <c r="L552" s="81" t="e">
        <f t="shared" si="423"/>
        <v>#DIV/0!</v>
      </c>
      <c r="M552" s="107">
        <v>18.2316</v>
      </c>
      <c r="N552" s="75"/>
      <c r="O552" s="89">
        <f t="shared" ref="O552" si="424">M552*J552</f>
        <v>157521.024</v>
      </c>
      <c r="P552" s="1015"/>
    </row>
    <row r="553" spans="2:16" ht="15.75" thickBot="1" x14ac:dyDescent="0.3">
      <c r="B553" s="995" t="s">
        <v>105</v>
      </c>
      <c r="C553" s="996"/>
      <c r="D553" s="996"/>
      <c r="E553" s="124"/>
      <c r="F553" s="125">
        <f>+G553+H553</f>
        <v>0</v>
      </c>
      <c r="G553" s="125">
        <f>SUM(G548:G552)</f>
        <v>0</v>
      </c>
      <c r="H553" s="126">
        <f>SUM(H548:H552)</f>
        <v>0</v>
      </c>
      <c r="I553" s="121">
        <f>J553+K553</f>
        <v>8814</v>
      </c>
      <c r="J553" s="122">
        <f>SUM(J548:J552)</f>
        <v>8640</v>
      </c>
      <c r="K553" s="123">
        <f>SUM(K548:K552)</f>
        <v>174</v>
      </c>
      <c r="L553" s="138"/>
      <c r="M553" s="139"/>
      <c r="N553" s="140"/>
      <c r="O553" s="141">
        <f>SUM(O548:O552)</f>
        <v>157521.024</v>
      </c>
      <c r="P553" s="189"/>
    </row>
    <row r="554" spans="2:16" ht="15.75" thickBot="1" x14ac:dyDescent="0.3">
      <c r="B554" s="995" t="s">
        <v>98</v>
      </c>
      <c r="C554" s="996"/>
      <c r="D554" s="996"/>
      <c r="E554" s="1018"/>
      <c r="F554" s="1018"/>
      <c r="G554" s="1018"/>
      <c r="H554" s="1018"/>
      <c r="I554" s="996"/>
      <c r="J554" s="996"/>
      <c r="K554" s="996"/>
      <c r="L554" s="996"/>
      <c r="M554" s="996"/>
      <c r="N554" s="1019"/>
      <c r="O554" s="83">
        <f>O547+O553</f>
        <v>4243706.6239999998</v>
      </c>
      <c r="P554" s="189"/>
    </row>
    <row r="555" spans="2:16" x14ac:dyDescent="0.25">
      <c r="B555" s="1010" t="s">
        <v>62</v>
      </c>
      <c r="C555" s="37" t="s">
        <v>63</v>
      </c>
      <c r="D555" s="28" t="s">
        <v>64</v>
      </c>
      <c r="E555" s="38">
        <v>0</v>
      </c>
      <c r="F555" s="14">
        <f>+G555+H555</f>
        <v>0</v>
      </c>
      <c r="G555" s="14">
        <v>0</v>
      </c>
      <c r="H555" s="5">
        <v>0</v>
      </c>
      <c r="I555" s="17">
        <f t="shared" ref="I555:I561" si="425">J555+K555</f>
        <v>0</v>
      </c>
      <c r="J555" s="4">
        <f>G555+J490</f>
        <v>0</v>
      </c>
      <c r="K555" s="4">
        <f>H555+K490</f>
        <v>0</v>
      </c>
      <c r="L555" s="30" t="e">
        <f>+J555/E555</f>
        <v>#DIV/0!</v>
      </c>
      <c r="M555" s="146">
        <v>2.2141000000000002</v>
      </c>
      <c r="N555" s="15">
        <f>+M555*G555</f>
        <v>0</v>
      </c>
      <c r="O555" s="90">
        <f>+M555*J555</f>
        <v>0</v>
      </c>
      <c r="P555" s="1021"/>
    </row>
    <row r="556" spans="2:16" x14ac:dyDescent="0.25">
      <c r="B556" s="1011"/>
      <c r="C556" s="39"/>
      <c r="D556" s="22" t="s">
        <v>65</v>
      </c>
      <c r="E556" s="3">
        <v>0</v>
      </c>
      <c r="F556" s="9">
        <f t="shared" ref="F556:F561" si="426">+G556+H556</f>
        <v>0</v>
      </c>
      <c r="G556" s="4">
        <v>0</v>
      </c>
      <c r="H556" s="8">
        <v>0</v>
      </c>
      <c r="I556" s="6">
        <f t="shared" si="425"/>
        <v>0</v>
      </c>
      <c r="J556" s="4">
        <f>+G556+J491</f>
        <v>0</v>
      </c>
      <c r="K556" s="4">
        <f>+H556+K491</f>
        <v>0</v>
      </c>
      <c r="L556" s="40" t="e">
        <f t="shared" ref="L556:L557" si="427">+J556/E556</f>
        <v>#DIV/0!</v>
      </c>
      <c r="M556" s="145">
        <v>2.4565999999999999</v>
      </c>
      <c r="N556" s="11">
        <f t="shared" ref="N556:N558" si="428">+M556*G556</f>
        <v>0</v>
      </c>
      <c r="O556" s="91">
        <f t="shared" ref="O556:O558" si="429">+M556*J556</f>
        <v>0</v>
      </c>
      <c r="P556" s="1022"/>
    </row>
    <row r="557" spans="2:16" x14ac:dyDescent="0.25">
      <c r="B557" s="1011"/>
      <c r="C557" s="39"/>
      <c r="D557" s="23" t="s">
        <v>126</v>
      </c>
      <c r="E557" s="3">
        <v>0</v>
      </c>
      <c r="F557" s="9">
        <f t="shared" si="426"/>
        <v>0</v>
      </c>
      <c r="G557" s="4">
        <v>0</v>
      </c>
      <c r="H557" s="8">
        <v>0</v>
      </c>
      <c r="I557" s="6">
        <f t="shared" si="425"/>
        <v>0</v>
      </c>
      <c r="J557" s="4">
        <f t="shared" ref="J557:J558" si="430">+G557+J492</f>
        <v>0</v>
      </c>
      <c r="K557" s="4">
        <f t="shared" ref="K557:K561" si="431">+H557+K492</f>
        <v>0</v>
      </c>
      <c r="L557" s="40" t="e">
        <f t="shared" si="427"/>
        <v>#DIV/0!</v>
      </c>
      <c r="M557" s="145">
        <v>2.2907000000000002</v>
      </c>
      <c r="N557" s="11">
        <f t="shared" si="428"/>
        <v>0</v>
      </c>
      <c r="O557" s="91">
        <f t="shared" si="429"/>
        <v>0</v>
      </c>
      <c r="P557" s="1022"/>
    </row>
    <row r="558" spans="2:16" x14ac:dyDescent="0.25">
      <c r="B558" s="1011"/>
      <c r="C558" s="39"/>
      <c r="D558" s="22" t="s">
        <v>131</v>
      </c>
      <c r="E558" s="3"/>
      <c r="F558" s="9">
        <f t="shared" si="426"/>
        <v>0</v>
      </c>
      <c r="G558" s="4">
        <v>0</v>
      </c>
      <c r="H558" s="8">
        <v>0</v>
      </c>
      <c r="I558" s="6">
        <f t="shared" si="425"/>
        <v>0</v>
      </c>
      <c r="J558" s="4">
        <f t="shared" si="430"/>
        <v>0</v>
      </c>
      <c r="K558" s="4">
        <f t="shared" si="431"/>
        <v>0</v>
      </c>
      <c r="L558" s="33"/>
      <c r="M558" s="150">
        <v>2.544</v>
      </c>
      <c r="N558" s="11">
        <f t="shared" si="428"/>
        <v>0</v>
      </c>
      <c r="O558" s="91">
        <f t="shared" si="429"/>
        <v>0</v>
      </c>
      <c r="P558" s="1022"/>
    </row>
    <row r="559" spans="2:16" x14ac:dyDescent="0.25">
      <c r="B559" s="1011"/>
      <c r="C559" s="39" t="s">
        <v>66</v>
      </c>
      <c r="D559" s="22" t="s">
        <v>133</v>
      </c>
      <c r="E559" s="3">
        <v>0</v>
      </c>
      <c r="F559" s="9">
        <f t="shared" si="426"/>
        <v>45515</v>
      </c>
      <c r="G559" s="4">
        <v>44000</v>
      </c>
      <c r="H559" s="8">
        <v>1515</v>
      </c>
      <c r="I559" s="6">
        <f t="shared" si="425"/>
        <v>407132</v>
      </c>
      <c r="J559" s="4">
        <f>+G559+J494</f>
        <v>397750</v>
      </c>
      <c r="K559" s="4">
        <f t="shared" si="431"/>
        <v>9382</v>
      </c>
      <c r="L559" s="33" t="e">
        <f>+J559/E559</f>
        <v>#DIV/0!</v>
      </c>
      <c r="M559" s="144">
        <v>2.2141000000000002</v>
      </c>
      <c r="N559" s="7">
        <f>+M559*G559</f>
        <v>97420.400000000009</v>
      </c>
      <c r="O559" s="85">
        <f>+M559*J559</f>
        <v>880658.27500000002</v>
      </c>
      <c r="P559" s="1022"/>
    </row>
    <row r="560" spans="2:16" x14ac:dyDescent="0.25">
      <c r="B560" s="1011"/>
      <c r="C560" s="39"/>
      <c r="D560" s="22" t="s">
        <v>65</v>
      </c>
      <c r="E560" s="3">
        <v>0</v>
      </c>
      <c r="F560" s="9">
        <f t="shared" si="426"/>
        <v>0</v>
      </c>
      <c r="G560" s="4">
        <v>0</v>
      </c>
      <c r="H560" s="8">
        <v>0</v>
      </c>
      <c r="I560" s="6">
        <f t="shared" si="425"/>
        <v>0</v>
      </c>
      <c r="J560" s="4">
        <f t="shared" ref="J560:J561" si="432">+G560+J495</f>
        <v>0</v>
      </c>
      <c r="K560" s="4">
        <f t="shared" si="431"/>
        <v>0</v>
      </c>
      <c r="L560" s="40" t="e">
        <f t="shared" ref="L560:L561" si="433">+J560/E560</f>
        <v>#DIV/0!</v>
      </c>
      <c r="M560" s="145">
        <v>2.4565999999999999</v>
      </c>
      <c r="N560" s="11">
        <f t="shared" ref="N560:N561" si="434">+M560*G560</f>
        <v>0</v>
      </c>
      <c r="O560" s="91">
        <f t="shared" ref="O560" si="435">+M560*J560</f>
        <v>0</v>
      </c>
      <c r="P560" s="1022"/>
    </row>
    <row r="561" spans="2:16" ht="15.75" thickBot="1" x14ac:dyDescent="0.3">
      <c r="B561" s="1011"/>
      <c r="C561" s="39"/>
      <c r="D561" s="22" t="s">
        <v>126</v>
      </c>
      <c r="E561" s="3">
        <v>0</v>
      </c>
      <c r="F561" s="9">
        <f t="shared" si="426"/>
        <v>0</v>
      </c>
      <c r="G561" s="4">
        <v>0</v>
      </c>
      <c r="H561" s="8">
        <v>0</v>
      </c>
      <c r="I561" s="6">
        <f t="shared" si="425"/>
        <v>0</v>
      </c>
      <c r="J561" s="4">
        <f t="shared" si="432"/>
        <v>0</v>
      </c>
      <c r="K561" s="4">
        <f t="shared" si="431"/>
        <v>0</v>
      </c>
      <c r="L561" s="40" t="e">
        <f t="shared" si="433"/>
        <v>#DIV/0!</v>
      </c>
      <c r="M561" s="145">
        <v>2.2907000000000002</v>
      </c>
      <c r="N561" s="11">
        <f t="shared" si="434"/>
        <v>0</v>
      </c>
      <c r="O561" s="154">
        <f>+M561*J561</f>
        <v>0</v>
      </c>
      <c r="P561" s="1023"/>
    </row>
    <row r="562" spans="2:16" ht="15.75" thickBot="1" x14ac:dyDescent="0.3">
      <c r="B562" s="1011"/>
      <c r="C562" s="41" t="s">
        <v>29</v>
      </c>
      <c r="D562" s="27" t="str">
        <f>+C562</f>
        <v>TOTAL 1/2</v>
      </c>
      <c r="E562" s="42">
        <f>SUM(E555:E561)</f>
        <v>0</v>
      </c>
      <c r="F562" s="43">
        <f>SUM(F555:F561)</f>
        <v>45515</v>
      </c>
      <c r="G562" s="43">
        <f>SUM(G555:G561)</f>
        <v>44000</v>
      </c>
      <c r="H562" s="44">
        <f>SUM(H555:H561)</f>
        <v>1515</v>
      </c>
      <c r="I562" s="45">
        <f>SUM(I559:I561)</f>
        <v>407132</v>
      </c>
      <c r="J562" s="43">
        <f>SUM(J555:J561)</f>
        <v>397750</v>
      </c>
      <c r="K562" s="43">
        <f>SUM(K555:K561)</f>
        <v>9382</v>
      </c>
      <c r="L562" s="46" t="e">
        <f>+J562/E562</f>
        <v>#DIV/0!</v>
      </c>
      <c r="M562" s="47"/>
      <c r="N562" s="48">
        <f>SUM(N559:N561)</f>
        <v>97420.400000000009</v>
      </c>
      <c r="O562" s="49">
        <f>SUM(O555:O561)</f>
        <v>880658.27500000002</v>
      </c>
      <c r="P562" s="190"/>
    </row>
    <row r="563" spans="2:16" x14ac:dyDescent="0.25">
      <c r="B563" s="1011"/>
      <c r="C563" s="1024" t="s">
        <v>67</v>
      </c>
      <c r="D563" s="22" t="s">
        <v>64</v>
      </c>
      <c r="E563" s="3">
        <v>0</v>
      </c>
      <c r="F563" s="4">
        <f>G563+H563</f>
        <v>0</v>
      </c>
      <c r="G563" s="4">
        <v>0</v>
      </c>
      <c r="H563" s="8">
        <v>0</v>
      </c>
      <c r="I563" s="16">
        <f>J563+K563</f>
        <v>109220</v>
      </c>
      <c r="J563" s="4">
        <f>G563+J498</f>
        <v>105750</v>
      </c>
      <c r="K563" s="4">
        <f>H563+K498</f>
        <v>3470</v>
      </c>
      <c r="L563" s="50" t="e">
        <f>+J563/E563</f>
        <v>#DIV/0!</v>
      </c>
      <c r="M563" s="144">
        <v>4.1712999999999996</v>
      </c>
      <c r="N563" s="7">
        <f>+M563*G563</f>
        <v>0</v>
      </c>
      <c r="O563" s="93">
        <f>+M563*J563</f>
        <v>441114.97499999998</v>
      </c>
      <c r="P563" s="1021"/>
    </row>
    <row r="564" spans="2:16" x14ac:dyDescent="0.25">
      <c r="B564" s="1011"/>
      <c r="C564" s="1025"/>
      <c r="D564" s="22" t="s">
        <v>65</v>
      </c>
      <c r="E564" s="3">
        <v>0</v>
      </c>
      <c r="F564" s="4">
        <f>G564+H564</f>
        <v>0</v>
      </c>
      <c r="G564" s="4">
        <v>0</v>
      </c>
      <c r="H564" s="8">
        <v>0</v>
      </c>
      <c r="I564" s="6">
        <f>+R1608+F564</f>
        <v>0</v>
      </c>
      <c r="J564" s="4">
        <f>G564+J499</f>
        <v>120000</v>
      </c>
      <c r="K564" s="4">
        <f>H564+K499</f>
        <v>3230</v>
      </c>
      <c r="L564" s="51" t="e">
        <f t="shared" ref="L564:L568" si="436">+J564/E564</f>
        <v>#DIV/0!</v>
      </c>
      <c r="M564" s="145">
        <v>4.8285999999999998</v>
      </c>
      <c r="N564" s="11">
        <f t="shared" ref="N564:N566" si="437">+M564*G564</f>
        <v>0</v>
      </c>
      <c r="O564" s="94">
        <f t="shared" ref="O564:O566" si="438">+M564*J564</f>
        <v>579432</v>
      </c>
      <c r="P564" s="1022"/>
    </row>
    <row r="565" spans="2:16" x14ac:dyDescent="0.25">
      <c r="B565" s="1011"/>
      <c r="C565" s="1025"/>
      <c r="D565" s="22" t="s">
        <v>127</v>
      </c>
      <c r="E565" s="3"/>
      <c r="F565" s="4">
        <f>G565+H565</f>
        <v>0</v>
      </c>
      <c r="G565" s="4">
        <v>0</v>
      </c>
      <c r="H565" s="8">
        <v>0</v>
      </c>
      <c r="I565" s="6">
        <f>+R1609+F565</f>
        <v>0</v>
      </c>
      <c r="J565" s="4">
        <f t="shared" ref="J565:J566" si="439">G565+J500</f>
        <v>0</v>
      </c>
      <c r="K565" s="4">
        <f t="shared" ref="K565:K566" si="440">H565+K500</f>
        <v>0</v>
      </c>
      <c r="L565" s="51" t="e">
        <f t="shared" si="436"/>
        <v>#DIV/0!</v>
      </c>
      <c r="M565" s="144">
        <v>4.5023</v>
      </c>
      <c r="N565" s="11">
        <f t="shared" si="437"/>
        <v>0</v>
      </c>
      <c r="O565" s="94">
        <f t="shared" si="438"/>
        <v>0</v>
      </c>
      <c r="P565" s="1022"/>
    </row>
    <row r="566" spans="2:16" ht="15.75" thickBot="1" x14ac:dyDescent="0.3">
      <c r="B566" s="1011"/>
      <c r="C566" s="1025"/>
      <c r="D566" s="22" t="s">
        <v>111</v>
      </c>
      <c r="E566" s="3">
        <v>0</v>
      </c>
      <c r="F566" s="4">
        <f t="shared" ref="F566" si="441">G566+H566</f>
        <v>0</v>
      </c>
      <c r="G566" s="4">
        <v>0</v>
      </c>
      <c r="H566" s="8">
        <v>0</v>
      </c>
      <c r="I566" s="6">
        <f>+R1609+F566</f>
        <v>0</v>
      </c>
      <c r="J566" s="4">
        <f t="shared" si="439"/>
        <v>0</v>
      </c>
      <c r="K566" s="4">
        <f t="shared" si="440"/>
        <v>0</v>
      </c>
      <c r="L566" s="51" t="e">
        <f t="shared" si="436"/>
        <v>#DIV/0!</v>
      </c>
      <c r="M566" s="144">
        <v>4.4065000000000003</v>
      </c>
      <c r="N566" s="11">
        <f t="shared" si="437"/>
        <v>0</v>
      </c>
      <c r="O566" s="94">
        <f t="shared" si="438"/>
        <v>0</v>
      </c>
      <c r="P566" s="1022"/>
    </row>
    <row r="567" spans="2:16" ht="15.75" thickBot="1" x14ac:dyDescent="0.3">
      <c r="B567" s="1011"/>
      <c r="C567" s="41" t="s">
        <v>31</v>
      </c>
      <c r="D567" s="18" t="str">
        <f>+C567</f>
        <v>TOTAL 4/4</v>
      </c>
      <c r="E567" s="42">
        <f t="shared" ref="E567:K567" si="442">SUM(E563:E566)</f>
        <v>0</v>
      </c>
      <c r="F567" s="43">
        <f t="shared" si="442"/>
        <v>0</v>
      </c>
      <c r="G567" s="43">
        <f t="shared" si="442"/>
        <v>0</v>
      </c>
      <c r="H567" s="44">
        <f t="shared" si="442"/>
        <v>0</v>
      </c>
      <c r="I567" s="45">
        <f t="shared" si="442"/>
        <v>109220</v>
      </c>
      <c r="J567" s="43">
        <f t="shared" si="442"/>
        <v>225750</v>
      </c>
      <c r="K567" s="43">
        <f t="shared" si="442"/>
        <v>6700</v>
      </c>
      <c r="L567" s="46" t="e">
        <f t="shared" si="436"/>
        <v>#DIV/0!</v>
      </c>
      <c r="M567" s="47"/>
      <c r="N567" s="48">
        <f>SUM(N563:N566)</f>
        <v>0</v>
      </c>
      <c r="O567" s="92">
        <f>SUM(O563:O566)</f>
        <v>1020546.975</v>
      </c>
      <c r="P567" s="1023"/>
    </row>
    <row r="568" spans="2:16" ht="15.75" thickBot="1" x14ac:dyDescent="0.3">
      <c r="B568" s="1020"/>
      <c r="C568" s="41" t="s">
        <v>68</v>
      </c>
      <c r="D568" s="27" t="s">
        <v>64</v>
      </c>
      <c r="E568" s="25">
        <v>0</v>
      </c>
      <c r="F568" s="20">
        <f>G568+H568</f>
        <v>0</v>
      </c>
      <c r="G568" s="20">
        <v>0</v>
      </c>
      <c r="H568" s="24">
        <v>0</v>
      </c>
      <c r="I568" s="19">
        <f>J568+K568</f>
        <v>0</v>
      </c>
      <c r="J568" s="4">
        <f>G568+J503</f>
        <v>0</v>
      </c>
      <c r="K568" s="4">
        <f>H568+K503</f>
        <v>0</v>
      </c>
      <c r="L568" s="52" t="e">
        <f t="shared" si="436"/>
        <v>#DIV/0!</v>
      </c>
      <c r="M568" s="149">
        <v>1.4086000000000001</v>
      </c>
      <c r="N568" s="26">
        <f t="shared" ref="N568" si="443">+M568*G568</f>
        <v>0</v>
      </c>
      <c r="O568" s="95">
        <f t="shared" ref="O568" si="444">+M568*J568</f>
        <v>0</v>
      </c>
      <c r="P568" s="53"/>
    </row>
    <row r="569" spans="2:16" ht="15.75" thickBot="1" x14ac:dyDescent="0.3">
      <c r="B569" s="995" t="s">
        <v>95</v>
      </c>
      <c r="C569" s="996"/>
      <c r="D569" s="996"/>
      <c r="E569" s="996"/>
      <c r="F569" s="996"/>
      <c r="G569" s="996"/>
      <c r="H569" s="996"/>
      <c r="I569" s="110">
        <f>J569+K569</f>
        <v>639582</v>
      </c>
      <c r="J569" s="110">
        <f>J562+J567+J568</f>
        <v>623500</v>
      </c>
      <c r="K569" s="110">
        <f>K562+K567+K568</f>
        <v>16082</v>
      </c>
      <c r="L569" s="111"/>
      <c r="M569" s="112"/>
      <c r="N569" s="109"/>
      <c r="O569" s="77">
        <f>+O568+O567+O562</f>
        <v>1901205.25</v>
      </c>
      <c r="P569" s="84"/>
    </row>
    <row r="570" spans="2:16" x14ac:dyDescent="0.25">
      <c r="B570" s="997" t="s">
        <v>69</v>
      </c>
      <c r="C570" s="1000" t="s">
        <v>70</v>
      </c>
      <c r="D570" s="54" t="s">
        <v>71</v>
      </c>
      <c r="E570" s="55">
        <v>0</v>
      </c>
      <c r="F570" s="56">
        <f>G570+H570</f>
        <v>0</v>
      </c>
      <c r="G570" s="56">
        <v>0</v>
      </c>
      <c r="H570" s="57">
        <v>0</v>
      </c>
      <c r="I570" s="78">
        <f>J570+K570</f>
        <v>0</v>
      </c>
      <c r="J570" s="4">
        <f>G570+J505</f>
        <v>0</v>
      </c>
      <c r="K570" s="4">
        <f>H570+K505</f>
        <v>0</v>
      </c>
      <c r="L570" s="58" t="e">
        <f t="shared" ref="L570" si="445">+J570/E570</f>
        <v>#DIV/0!</v>
      </c>
      <c r="M570" s="59">
        <v>32.946300000000001</v>
      </c>
      <c r="N570" s="60">
        <f>+M570*G570</f>
        <v>0</v>
      </c>
      <c r="O570" s="60">
        <f>M570*J570</f>
        <v>0</v>
      </c>
      <c r="P570" s="1002"/>
    </row>
    <row r="571" spans="2:16" x14ac:dyDescent="0.25">
      <c r="B571" s="998"/>
      <c r="C571" s="1001"/>
      <c r="D571" s="61" t="s">
        <v>72</v>
      </c>
      <c r="E571" s="62">
        <v>0</v>
      </c>
      <c r="F571" s="63">
        <f>G571+H571</f>
        <v>5077</v>
      </c>
      <c r="G571" s="63">
        <v>5000</v>
      </c>
      <c r="H571" s="64">
        <v>77</v>
      </c>
      <c r="I571" s="79">
        <f>J571+K571</f>
        <v>25372</v>
      </c>
      <c r="J571" s="4">
        <f>G571+J506</f>
        <v>25000</v>
      </c>
      <c r="K571" s="4">
        <f>H571+K506</f>
        <v>372</v>
      </c>
      <c r="L571" s="65" t="e">
        <f>+J571/E571</f>
        <v>#DIV/0!</v>
      </c>
      <c r="M571" s="66">
        <v>35.398400000000002</v>
      </c>
      <c r="N571" s="67">
        <f>+M571*G571</f>
        <v>176992</v>
      </c>
      <c r="O571" s="67">
        <f>M571*J571</f>
        <v>884960</v>
      </c>
      <c r="P571" s="1003"/>
    </row>
    <row r="572" spans="2:16" x14ac:dyDescent="0.25">
      <c r="B572" s="998"/>
      <c r="C572" s="1001"/>
      <c r="D572" s="61" t="s">
        <v>73</v>
      </c>
      <c r="E572" s="62">
        <v>0</v>
      </c>
      <c r="F572" s="63">
        <f t="shared" ref="F572:F575" si="446">G572+H572</f>
        <v>0</v>
      </c>
      <c r="G572" s="63">
        <v>0</v>
      </c>
      <c r="H572" s="64">
        <v>0</v>
      </c>
      <c r="I572" s="79">
        <f t="shared" ref="I572:I581" si="447">J572+K572</f>
        <v>0</v>
      </c>
      <c r="J572" s="4">
        <f t="shared" ref="J572:J597" si="448">G572+J507</f>
        <v>0</v>
      </c>
      <c r="K572" s="4">
        <f t="shared" ref="K572:K576" si="449">H572+K507</f>
        <v>0</v>
      </c>
      <c r="L572" s="65" t="e">
        <f t="shared" ref="L572:L585" si="450">+J572/E572</f>
        <v>#DIV/0!</v>
      </c>
      <c r="M572" s="66">
        <v>32.946300000000001</v>
      </c>
      <c r="N572" s="67">
        <f t="shared" ref="N572:N592" si="451">+M572*G572</f>
        <v>0</v>
      </c>
      <c r="O572" s="67">
        <f t="shared" ref="O572:O580" si="452">M572*J572</f>
        <v>0</v>
      </c>
      <c r="P572" s="1003"/>
    </row>
    <row r="573" spans="2:16" x14ac:dyDescent="0.25">
      <c r="B573" s="998"/>
      <c r="C573" s="1001" t="s">
        <v>74</v>
      </c>
      <c r="D573" s="61" t="s">
        <v>75</v>
      </c>
      <c r="E573" s="62">
        <v>0</v>
      </c>
      <c r="F573" s="63">
        <f t="shared" si="446"/>
        <v>2400</v>
      </c>
      <c r="G573" s="63">
        <v>2400</v>
      </c>
      <c r="H573" s="64">
        <v>0</v>
      </c>
      <c r="I573" s="79">
        <f t="shared" si="447"/>
        <v>12279</v>
      </c>
      <c r="J573" s="4">
        <f t="shared" si="448"/>
        <v>12000</v>
      </c>
      <c r="K573" s="4">
        <f t="shared" si="449"/>
        <v>279</v>
      </c>
      <c r="L573" s="65" t="e">
        <f t="shared" si="450"/>
        <v>#DIV/0!</v>
      </c>
      <c r="M573" s="66">
        <v>55.4758</v>
      </c>
      <c r="N573" s="67">
        <f t="shared" si="451"/>
        <v>133141.92000000001</v>
      </c>
      <c r="O573" s="67">
        <f t="shared" si="452"/>
        <v>665709.6</v>
      </c>
      <c r="P573" s="1003"/>
    </row>
    <row r="574" spans="2:16" x14ac:dyDescent="0.25">
      <c r="B574" s="998"/>
      <c r="C574" s="1001"/>
      <c r="D574" s="61" t="s">
        <v>134</v>
      </c>
      <c r="E574" s="62">
        <v>0</v>
      </c>
      <c r="F574" s="63">
        <f t="shared" si="446"/>
        <v>0</v>
      </c>
      <c r="G574" s="63">
        <v>0</v>
      </c>
      <c r="H574" s="64">
        <v>0</v>
      </c>
      <c r="I574" s="79">
        <f t="shared" si="447"/>
        <v>0</v>
      </c>
      <c r="J574" s="4">
        <f t="shared" si="448"/>
        <v>0</v>
      </c>
      <c r="K574" s="4">
        <f t="shared" si="449"/>
        <v>0</v>
      </c>
      <c r="L574" s="65" t="e">
        <f t="shared" si="450"/>
        <v>#DIV/0!</v>
      </c>
      <c r="M574" s="66">
        <v>53.515999999999998</v>
      </c>
      <c r="N574" s="67">
        <f t="shared" si="451"/>
        <v>0</v>
      </c>
      <c r="O574" s="67">
        <f t="shared" si="452"/>
        <v>0</v>
      </c>
      <c r="P574" s="1003"/>
    </row>
    <row r="575" spans="2:16" x14ac:dyDescent="0.25">
      <c r="B575" s="998"/>
      <c r="C575" s="1001"/>
      <c r="D575" s="61" t="s">
        <v>72</v>
      </c>
      <c r="E575" s="62">
        <v>0</v>
      </c>
      <c r="F575" s="63">
        <f t="shared" si="446"/>
        <v>0</v>
      </c>
      <c r="G575" s="63">
        <v>0</v>
      </c>
      <c r="H575" s="64">
        <v>0</v>
      </c>
      <c r="I575" s="79">
        <f t="shared" si="447"/>
        <v>9804</v>
      </c>
      <c r="J575" s="4">
        <f t="shared" si="448"/>
        <v>9600</v>
      </c>
      <c r="K575" s="4">
        <f t="shared" si="449"/>
        <v>204</v>
      </c>
      <c r="L575" s="65" t="e">
        <f t="shared" si="450"/>
        <v>#DIV/0!</v>
      </c>
      <c r="M575" s="66">
        <v>58.836300000000001</v>
      </c>
      <c r="N575" s="67">
        <f t="shared" si="451"/>
        <v>0</v>
      </c>
      <c r="O575" s="67">
        <f t="shared" si="452"/>
        <v>564828.48</v>
      </c>
      <c r="P575" s="1003"/>
    </row>
    <row r="576" spans="2:16" x14ac:dyDescent="0.25">
      <c r="B576" s="998"/>
      <c r="C576" s="1005" t="s">
        <v>76</v>
      </c>
      <c r="D576" s="61" t="s">
        <v>77</v>
      </c>
      <c r="E576" s="62">
        <v>0</v>
      </c>
      <c r="F576" s="63">
        <f>G576+H576</f>
        <v>0</v>
      </c>
      <c r="G576" s="63">
        <v>0</v>
      </c>
      <c r="H576" s="64">
        <v>0</v>
      </c>
      <c r="I576" s="79">
        <f t="shared" si="447"/>
        <v>3675</v>
      </c>
      <c r="J576" s="4">
        <f t="shared" si="448"/>
        <v>3575</v>
      </c>
      <c r="K576" s="4">
        <f t="shared" si="449"/>
        <v>100</v>
      </c>
      <c r="L576" s="65" t="e">
        <f t="shared" si="450"/>
        <v>#DIV/0!</v>
      </c>
      <c r="M576" s="66">
        <v>25.687200000000001</v>
      </c>
      <c r="N576" s="67">
        <f t="shared" si="451"/>
        <v>0</v>
      </c>
      <c r="O576" s="67">
        <f t="shared" si="452"/>
        <v>91831.74</v>
      </c>
      <c r="P576" s="1003"/>
    </row>
    <row r="577" spans="2:16" x14ac:dyDescent="0.25">
      <c r="B577" s="998"/>
      <c r="C577" s="1006"/>
      <c r="D577" s="61" t="s">
        <v>117</v>
      </c>
      <c r="E577" s="62">
        <v>0</v>
      </c>
      <c r="F577" s="63">
        <f>G577+H577</f>
        <v>0</v>
      </c>
      <c r="G577" s="63">
        <v>0</v>
      </c>
      <c r="H577" s="64">
        <v>0</v>
      </c>
      <c r="I577" s="79">
        <f t="shared" si="447"/>
        <v>0</v>
      </c>
      <c r="J577" s="4">
        <f t="shared" si="448"/>
        <v>0</v>
      </c>
      <c r="K577" s="4">
        <f>H577+K512</f>
        <v>0</v>
      </c>
      <c r="L577" s="65" t="e">
        <f t="shared" si="450"/>
        <v>#DIV/0!</v>
      </c>
      <c r="M577" s="66">
        <v>25.033899999999999</v>
      </c>
      <c r="N577" s="67">
        <f t="shared" si="451"/>
        <v>0</v>
      </c>
      <c r="O577" s="67">
        <f t="shared" si="452"/>
        <v>0</v>
      </c>
      <c r="P577" s="1003"/>
    </row>
    <row r="578" spans="2:16" x14ac:dyDescent="0.25">
      <c r="B578" s="998"/>
      <c r="C578" s="1005" t="s">
        <v>78</v>
      </c>
      <c r="D578" s="61" t="s">
        <v>79</v>
      </c>
      <c r="E578" s="62">
        <v>0</v>
      </c>
      <c r="F578" s="63">
        <f t="shared" ref="F578:F597" si="453">G578+H578</f>
        <v>0</v>
      </c>
      <c r="G578" s="63">
        <v>0</v>
      </c>
      <c r="H578" s="64">
        <v>0</v>
      </c>
      <c r="I578" s="79">
        <f t="shared" si="447"/>
        <v>8113</v>
      </c>
      <c r="J578" s="4">
        <f t="shared" si="448"/>
        <v>8000</v>
      </c>
      <c r="K578" s="4">
        <f t="shared" ref="K578:K597" si="454">H578+K513</f>
        <v>113</v>
      </c>
      <c r="L578" s="65" t="e">
        <f t="shared" si="450"/>
        <v>#DIV/0!</v>
      </c>
      <c r="M578" s="66">
        <v>41.992699999999999</v>
      </c>
      <c r="N578" s="67">
        <f t="shared" si="451"/>
        <v>0</v>
      </c>
      <c r="O578" s="67">
        <f t="shared" si="452"/>
        <v>335941.6</v>
      </c>
      <c r="P578" s="1003"/>
    </row>
    <row r="579" spans="2:16" x14ac:dyDescent="0.25">
      <c r="B579" s="998"/>
      <c r="C579" s="1006"/>
      <c r="D579" s="61" t="s">
        <v>72</v>
      </c>
      <c r="E579" s="62">
        <v>0</v>
      </c>
      <c r="F579" s="63">
        <f t="shared" si="453"/>
        <v>0</v>
      </c>
      <c r="G579" s="63">
        <v>0</v>
      </c>
      <c r="H579" s="64">
        <v>0</v>
      </c>
      <c r="I579" s="79">
        <f t="shared" si="447"/>
        <v>0</v>
      </c>
      <c r="J579" s="4">
        <f t="shared" si="448"/>
        <v>0</v>
      </c>
      <c r="K579" s="4">
        <f t="shared" si="454"/>
        <v>0</v>
      </c>
      <c r="L579" s="65" t="e">
        <f t="shared" si="450"/>
        <v>#DIV/0!</v>
      </c>
      <c r="M579" s="66">
        <v>42.283799999999999</v>
      </c>
      <c r="N579" s="67">
        <f t="shared" si="451"/>
        <v>0</v>
      </c>
      <c r="O579" s="67">
        <f t="shared" si="452"/>
        <v>0</v>
      </c>
      <c r="P579" s="1003"/>
    </row>
    <row r="580" spans="2:16" x14ac:dyDescent="0.25">
      <c r="B580" s="998"/>
      <c r="C580" s="188" t="s">
        <v>80</v>
      </c>
      <c r="D580" s="61" t="s">
        <v>81</v>
      </c>
      <c r="E580" s="62">
        <v>0</v>
      </c>
      <c r="F580" s="63">
        <f t="shared" si="453"/>
        <v>0</v>
      </c>
      <c r="G580" s="63">
        <v>0</v>
      </c>
      <c r="H580" s="64">
        <v>0</v>
      </c>
      <c r="I580" s="79">
        <f t="shared" si="447"/>
        <v>10898</v>
      </c>
      <c r="J580" s="4">
        <f t="shared" si="448"/>
        <v>10500</v>
      </c>
      <c r="K580" s="4">
        <f t="shared" si="454"/>
        <v>398</v>
      </c>
      <c r="L580" s="65" t="e">
        <f t="shared" si="450"/>
        <v>#DIV/0!</v>
      </c>
      <c r="M580" s="66">
        <v>4.3535000000000004</v>
      </c>
      <c r="N580" s="67">
        <f t="shared" si="451"/>
        <v>0</v>
      </c>
      <c r="O580" s="67">
        <f t="shared" si="452"/>
        <v>45711.750000000007</v>
      </c>
      <c r="P580" s="1003"/>
    </row>
    <row r="581" spans="2:16" x14ac:dyDescent="0.25">
      <c r="B581" s="998"/>
      <c r="C581" s="1001" t="s">
        <v>82</v>
      </c>
      <c r="D581" s="61" t="s">
        <v>77</v>
      </c>
      <c r="E581" s="62">
        <v>0</v>
      </c>
      <c r="F581" s="63">
        <f t="shared" si="453"/>
        <v>0</v>
      </c>
      <c r="G581" s="63">
        <v>0</v>
      </c>
      <c r="H581" s="64">
        <v>0</v>
      </c>
      <c r="I581" s="79">
        <f t="shared" si="447"/>
        <v>0</v>
      </c>
      <c r="J581" s="4">
        <f t="shared" si="448"/>
        <v>0</v>
      </c>
      <c r="K581" s="4">
        <f t="shared" si="454"/>
        <v>0</v>
      </c>
      <c r="L581" s="65" t="e">
        <f t="shared" si="450"/>
        <v>#DIV/0!</v>
      </c>
      <c r="M581" s="66">
        <v>4.6184000000000003</v>
      </c>
      <c r="N581" s="67">
        <f t="shared" si="451"/>
        <v>0</v>
      </c>
      <c r="O581" s="67">
        <f>M581*J581</f>
        <v>0</v>
      </c>
      <c r="P581" s="1003"/>
    </row>
    <row r="582" spans="2:16" x14ac:dyDescent="0.25">
      <c r="B582" s="998"/>
      <c r="C582" s="1001"/>
      <c r="D582" s="61" t="s">
        <v>119</v>
      </c>
      <c r="E582" s="62">
        <v>0</v>
      </c>
      <c r="F582" s="63">
        <f t="shared" si="453"/>
        <v>0</v>
      </c>
      <c r="G582" s="63">
        <v>0</v>
      </c>
      <c r="H582" s="64">
        <v>0</v>
      </c>
      <c r="I582" s="79">
        <f>J582+K582</f>
        <v>0</v>
      </c>
      <c r="J582" s="4">
        <f t="shared" si="448"/>
        <v>0</v>
      </c>
      <c r="K582" s="4">
        <f t="shared" si="454"/>
        <v>0</v>
      </c>
      <c r="L582" s="65" t="e">
        <f t="shared" si="450"/>
        <v>#DIV/0!</v>
      </c>
      <c r="M582" s="153">
        <v>4.6184000000000003</v>
      </c>
      <c r="N582" s="67">
        <f t="shared" si="451"/>
        <v>0</v>
      </c>
      <c r="O582" s="67">
        <f>M582*J582</f>
        <v>0</v>
      </c>
      <c r="P582" s="1003"/>
    </row>
    <row r="583" spans="2:16" x14ac:dyDescent="0.25">
      <c r="B583" s="998"/>
      <c r="C583" s="1001"/>
      <c r="D583" s="61" t="s">
        <v>123</v>
      </c>
      <c r="E583" s="62">
        <v>0</v>
      </c>
      <c r="F583" s="63">
        <f t="shared" si="453"/>
        <v>0</v>
      </c>
      <c r="G583" s="63">
        <v>0</v>
      </c>
      <c r="H583" s="64">
        <v>0</v>
      </c>
      <c r="I583" s="79">
        <f t="shared" ref="I583:I597" si="455">J583+K583</f>
        <v>0</v>
      </c>
      <c r="J583" s="4">
        <f t="shared" si="448"/>
        <v>0</v>
      </c>
      <c r="K583" s="4">
        <f t="shared" si="454"/>
        <v>0</v>
      </c>
      <c r="L583" s="65" t="e">
        <f t="shared" si="450"/>
        <v>#DIV/0!</v>
      </c>
      <c r="M583" s="153">
        <v>4.6184000000000003</v>
      </c>
      <c r="N583" s="67">
        <f t="shared" si="451"/>
        <v>0</v>
      </c>
      <c r="O583" s="67">
        <f t="shared" ref="O583:O588" si="456">M583*J583</f>
        <v>0</v>
      </c>
      <c r="P583" s="1003"/>
    </row>
    <row r="584" spans="2:16" x14ac:dyDescent="0.25">
      <c r="B584" s="998"/>
      <c r="C584" s="1001"/>
      <c r="D584" s="61" t="s">
        <v>124</v>
      </c>
      <c r="E584" s="62">
        <v>0</v>
      </c>
      <c r="F584" s="63">
        <f t="shared" si="453"/>
        <v>13658</v>
      </c>
      <c r="G584" s="63">
        <v>13200</v>
      </c>
      <c r="H584" s="64">
        <v>458</v>
      </c>
      <c r="I584" s="79">
        <f t="shared" si="455"/>
        <v>172800</v>
      </c>
      <c r="J584" s="4">
        <f t="shared" si="448"/>
        <v>167455</v>
      </c>
      <c r="K584" s="4">
        <f t="shared" si="454"/>
        <v>5345</v>
      </c>
      <c r="L584" s="65" t="e">
        <f t="shared" si="450"/>
        <v>#DIV/0!</v>
      </c>
      <c r="M584" s="153">
        <v>4.7636000000000003</v>
      </c>
      <c r="N584" s="67">
        <f t="shared" si="451"/>
        <v>62879.520000000004</v>
      </c>
      <c r="O584" s="67">
        <f t="shared" si="456"/>
        <v>797688.63800000004</v>
      </c>
      <c r="P584" s="1003"/>
    </row>
    <row r="585" spans="2:16" x14ac:dyDescent="0.25">
      <c r="B585" s="998"/>
      <c r="C585" s="1001"/>
      <c r="D585" s="61" t="s">
        <v>83</v>
      </c>
      <c r="E585" s="62">
        <v>0</v>
      </c>
      <c r="F585" s="63">
        <f t="shared" si="453"/>
        <v>0</v>
      </c>
      <c r="G585" s="63">
        <v>0</v>
      </c>
      <c r="H585" s="64">
        <v>0</v>
      </c>
      <c r="I585" s="79">
        <f t="shared" si="455"/>
        <v>0</v>
      </c>
      <c r="J585" s="4">
        <f t="shared" si="448"/>
        <v>0</v>
      </c>
      <c r="K585" s="4">
        <f t="shared" si="454"/>
        <v>0</v>
      </c>
      <c r="L585" s="65" t="e">
        <f t="shared" si="450"/>
        <v>#DIV/0!</v>
      </c>
      <c r="M585" s="66">
        <v>4.8738000000000001</v>
      </c>
      <c r="N585" s="67">
        <f t="shared" si="451"/>
        <v>0</v>
      </c>
      <c r="O585" s="67">
        <f t="shared" si="456"/>
        <v>0</v>
      </c>
      <c r="P585" s="1003"/>
    </row>
    <row r="586" spans="2:16" x14ac:dyDescent="0.25">
      <c r="B586" s="998"/>
      <c r="C586" s="188" t="s">
        <v>128</v>
      </c>
      <c r="D586" s="61" t="s">
        <v>124</v>
      </c>
      <c r="E586" s="62"/>
      <c r="F586" s="63">
        <f t="shared" si="453"/>
        <v>0</v>
      </c>
      <c r="G586" s="63">
        <v>0</v>
      </c>
      <c r="H586" s="64">
        <v>0</v>
      </c>
      <c r="I586" s="79">
        <f t="shared" si="455"/>
        <v>0</v>
      </c>
      <c r="J586" s="4">
        <f t="shared" si="448"/>
        <v>0</v>
      </c>
      <c r="K586" s="4">
        <f t="shared" si="454"/>
        <v>0</v>
      </c>
      <c r="L586" s="65"/>
      <c r="M586" s="66">
        <v>4.8738000000000001</v>
      </c>
      <c r="N586" s="67">
        <f t="shared" si="451"/>
        <v>0</v>
      </c>
      <c r="O586" s="67">
        <f t="shared" si="456"/>
        <v>0</v>
      </c>
      <c r="P586" s="1003"/>
    </row>
    <row r="587" spans="2:16" x14ac:dyDescent="0.25">
      <c r="B587" s="998"/>
      <c r="C587" s="1001" t="s">
        <v>84</v>
      </c>
      <c r="D587" s="61" t="s">
        <v>77</v>
      </c>
      <c r="E587" s="62">
        <v>0</v>
      </c>
      <c r="F587" s="63">
        <f t="shared" si="453"/>
        <v>20489</v>
      </c>
      <c r="G587" s="63">
        <v>20400</v>
      </c>
      <c r="H587" s="64">
        <v>89</v>
      </c>
      <c r="I587" s="79">
        <f t="shared" si="455"/>
        <v>172858</v>
      </c>
      <c r="J587" s="4">
        <f t="shared" si="448"/>
        <v>170900</v>
      </c>
      <c r="K587" s="4">
        <f t="shared" si="454"/>
        <v>1958</v>
      </c>
      <c r="L587" s="65" t="e">
        <f t="shared" ref="L587:L597" si="457">+J587/E587</f>
        <v>#DIV/0!</v>
      </c>
      <c r="M587" s="66">
        <v>4.9344999999999999</v>
      </c>
      <c r="N587" s="67">
        <f t="shared" si="451"/>
        <v>100663.8</v>
      </c>
      <c r="O587" s="67">
        <f t="shared" si="456"/>
        <v>843306.04999999993</v>
      </c>
      <c r="P587" s="1003"/>
    </row>
    <row r="588" spans="2:16" x14ac:dyDescent="0.25">
      <c r="B588" s="998"/>
      <c r="C588" s="1001"/>
      <c r="D588" s="61" t="s">
        <v>135</v>
      </c>
      <c r="E588" s="62"/>
      <c r="F588" s="63">
        <f t="shared" si="453"/>
        <v>0</v>
      </c>
      <c r="G588" s="63">
        <v>0</v>
      </c>
      <c r="H588" s="64">
        <v>0</v>
      </c>
      <c r="I588" s="79">
        <f t="shared" si="455"/>
        <v>0</v>
      </c>
      <c r="J588" s="4">
        <f t="shared" si="448"/>
        <v>0</v>
      </c>
      <c r="K588" s="4">
        <f t="shared" si="454"/>
        <v>0</v>
      </c>
      <c r="L588" s="65" t="e">
        <f t="shared" si="457"/>
        <v>#DIV/0!</v>
      </c>
      <c r="M588" s="66">
        <v>4.9344999999999999</v>
      </c>
      <c r="N588" s="67">
        <f t="shared" si="451"/>
        <v>0</v>
      </c>
      <c r="O588" s="67">
        <f t="shared" si="456"/>
        <v>0</v>
      </c>
      <c r="P588" s="1003"/>
    </row>
    <row r="589" spans="2:16" x14ac:dyDescent="0.25">
      <c r="B589" s="998"/>
      <c r="C589" s="1001"/>
      <c r="D589" s="61" t="s">
        <v>129</v>
      </c>
      <c r="E589" s="62">
        <v>0</v>
      </c>
      <c r="F589" s="63">
        <f t="shared" si="453"/>
        <v>0</v>
      </c>
      <c r="G589" s="155">
        <v>0</v>
      </c>
      <c r="H589" s="156">
        <v>0</v>
      </c>
      <c r="I589" s="157">
        <f t="shared" si="455"/>
        <v>0</v>
      </c>
      <c r="J589" s="4">
        <f t="shared" si="448"/>
        <v>0</v>
      </c>
      <c r="K589" s="4">
        <f t="shared" si="454"/>
        <v>0</v>
      </c>
      <c r="L589" s="158" t="e">
        <f t="shared" si="457"/>
        <v>#DIV/0!</v>
      </c>
      <c r="M589" s="66">
        <v>4.9344999999999999</v>
      </c>
      <c r="N589" s="159">
        <f t="shared" si="451"/>
        <v>0</v>
      </c>
      <c r="O589" s="67">
        <f>M589*J589</f>
        <v>0</v>
      </c>
      <c r="P589" s="1003"/>
    </row>
    <row r="590" spans="2:16" x14ac:dyDescent="0.25">
      <c r="B590" s="998"/>
      <c r="C590" s="1001" t="s">
        <v>85</v>
      </c>
      <c r="D590" s="61" t="s">
        <v>77</v>
      </c>
      <c r="E590" s="62">
        <v>0</v>
      </c>
      <c r="F590" s="63">
        <f t="shared" si="453"/>
        <v>24761</v>
      </c>
      <c r="G590" s="63">
        <v>24000</v>
      </c>
      <c r="H590" s="64">
        <v>761</v>
      </c>
      <c r="I590" s="79">
        <f t="shared" si="455"/>
        <v>138276</v>
      </c>
      <c r="J590" s="4">
        <f t="shared" si="448"/>
        <v>130950</v>
      </c>
      <c r="K590" s="4">
        <f t="shared" si="454"/>
        <v>7326</v>
      </c>
      <c r="L590" s="65" t="e">
        <f t="shared" si="457"/>
        <v>#DIV/0!</v>
      </c>
      <c r="M590" s="148">
        <v>5.5069999999999997</v>
      </c>
      <c r="N590" s="67">
        <f t="shared" si="451"/>
        <v>132168</v>
      </c>
      <c r="O590" s="67">
        <f>M590*J590</f>
        <v>721141.64999999991</v>
      </c>
      <c r="P590" s="1003"/>
    </row>
    <row r="591" spans="2:16" x14ac:dyDescent="0.25">
      <c r="B591" s="998"/>
      <c r="C591" s="1001"/>
      <c r="D591" s="61" t="s">
        <v>112</v>
      </c>
      <c r="E591" s="62">
        <v>0</v>
      </c>
      <c r="F591" s="63">
        <f t="shared" si="453"/>
        <v>14889</v>
      </c>
      <c r="G591" s="63">
        <v>14400</v>
      </c>
      <c r="H591" s="64">
        <v>489</v>
      </c>
      <c r="I591" s="79">
        <f t="shared" si="455"/>
        <v>25839</v>
      </c>
      <c r="J591" s="4">
        <f t="shared" si="448"/>
        <v>25300</v>
      </c>
      <c r="K591" s="4">
        <f t="shared" si="454"/>
        <v>539</v>
      </c>
      <c r="L591" s="65" t="e">
        <f t="shared" si="457"/>
        <v>#DIV/0!</v>
      </c>
      <c r="M591" s="147">
        <v>5.6550000000000002</v>
      </c>
      <c r="N591" s="67">
        <f t="shared" si="451"/>
        <v>81432</v>
      </c>
      <c r="O591" s="67">
        <f>M591*J591</f>
        <v>143071.5</v>
      </c>
      <c r="P591" s="1003"/>
    </row>
    <row r="592" spans="2:16" x14ac:dyDescent="0.25">
      <c r="B592" s="998"/>
      <c r="C592" s="1001"/>
      <c r="D592" s="61" t="s">
        <v>118</v>
      </c>
      <c r="E592" s="62">
        <v>0</v>
      </c>
      <c r="F592" s="63">
        <f t="shared" si="453"/>
        <v>0</v>
      </c>
      <c r="G592" s="63">
        <v>0</v>
      </c>
      <c r="H592" s="64">
        <v>0</v>
      </c>
      <c r="I592" s="79">
        <f t="shared" si="455"/>
        <v>0</v>
      </c>
      <c r="J592" s="4">
        <f t="shared" si="448"/>
        <v>0</v>
      </c>
      <c r="K592" s="4">
        <f t="shared" si="454"/>
        <v>0</v>
      </c>
      <c r="L592" s="65" t="e">
        <f t="shared" si="457"/>
        <v>#DIV/0!</v>
      </c>
      <c r="M592" s="152">
        <v>5.6550000000000002</v>
      </c>
      <c r="N592" s="67">
        <f t="shared" si="451"/>
        <v>0</v>
      </c>
      <c r="O592" s="67">
        <f>M592*J592</f>
        <v>0</v>
      </c>
      <c r="P592" s="1003"/>
    </row>
    <row r="593" spans="2:16" x14ac:dyDescent="0.25">
      <c r="B593" s="998"/>
      <c r="C593" s="1001"/>
      <c r="D593" s="61" t="s">
        <v>121</v>
      </c>
      <c r="E593" s="62">
        <v>0</v>
      </c>
      <c r="F593" s="63">
        <f t="shared" si="453"/>
        <v>4264</v>
      </c>
      <c r="G593" s="63">
        <v>4200</v>
      </c>
      <c r="H593" s="64">
        <v>64</v>
      </c>
      <c r="I593" s="79">
        <f t="shared" si="455"/>
        <v>16664</v>
      </c>
      <c r="J593" s="4">
        <f t="shared" si="448"/>
        <v>15100</v>
      </c>
      <c r="K593" s="4">
        <f t="shared" si="454"/>
        <v>1564</v>
      </c>
      <c r="L593" s="65" t="e">
        <f t="shared" si="457"/>
        <v>#DIV/0!</v>
      </c>
      <c r="M593" s="66">
        <v>5.7885299999999997</v>
      </c>
      <c r="N593" s="67">
        <f>+M593*G593</f>
        <v>24311.825999999997</v>
      </c>
      <c r="O593" s="67">
        <f>M593*J593</f>
        <v>87406.803</v>
      </c>
      <c r="P593" s="1003"/>
    </row>
    <row r="594" spans="2:16" x14ac:dyDescent="0.25">
      <c r="B594" s="998"/>
      <c r="C594" s="1001"/>
      <c r="D594" s="61" t="s">
        <v>136</v>
      </c>
      <c r="E594" s="62">
        <v>0</v>
      </c>
      <c r="F594" s="63">
        <f t="shared" si="453"/>
        <v>0</v>
      </c>
      <c r="G594" s="63">
        <v>0</v>
      </c>
      <c r="H594" s="64">
        <v>0</v>
      </c>
      <c r="I594" s="79">
        <f t="shared" si="455"/>
        <v>0</v>
      </c>
      <c r="J594" s="4">
        <f t="shared" si="448"/>
        <v>0</v>
      </c>
      <c r="K594" s="4">
        <f t="shared" si="454"/>
        <v>0</v>
      </c>
      <c r="L594" s="65" t="e">
        <f t="shared" si="457"/>
        <v>#DIV/0!</v>
      </c>
      <c r="M594" s="152">
        <v>5.6550000000000002</v>
      </c>
      <c r="N594" s="67">
        <f t="shared" ref="N594:N596" si="458">+M594*G594</f>
        <v>0</v>
      </c>
      <c r="O594" s="67">
        <f t="shared" ref="O594:O597" si="459">M594*J594</f>
        <v>0</v>
      </c>
      <c r="P594" s="1003"/>
    </row>
    <row r="595" spans="2:16" x14ac:dyDescent="0.25">
      <c r="B595" s="998"/>
      <c r="C595" s="188" t="s">
        <v>86</v>
      </c>
      <c r="D595" s="61" t="s">
        <v>77</v>
      </c>
      <c r="E595" s="62">
        <v>0</v>
      </c>
      <c r="F595" s="63">
        <f t="shared" si="453"/>
        <v>0</v>
      </c>
      <c r="G595" s="63">
        <v>0</v>
      </c>
      <c r="H595" s="64">
        <v>0</v>
      </c>
      <c r="I595" s="79">
        <f t="shared" si="455"/>
        <v>0</v>
      </c>
      <c r="J595" s="4">
        <f t="shared" si="448"/>
        <v>0</v>
      </c>
      <c r="K595" s="4">
        <f t="shared" si="454"/>
        <v>0</v>
      </c>
      <c r="L595" s="65" t="e">
        <f t="shared" si="457"/>
        <v>#DIV/0!</v>
      </c>
      <c r="M595" s="66">
        <v>3.2963</v>
      </c>
      <c r="N595" s="67">
        <f t="shared" si="458"/>
        <v>0</v>
      </c>
      <c r="O595" s="67">
        <f t="shared" si="459"/>
        <v>0</v>
      </c>
      <c r="P595" s="1003"/>
    </row>
    <row r="596" spans="2:16" x14ac:dyDescent="0.25">
      <c r="B596" s="998"/>
      <c r="C596" s="188" t="s">
        <v>87</v>
      </c>
      <c r="D596" s="61" t="s">
        <v>77</v>
      </c>
      <c r="E596" s="62">
        <v>0</v>
      </c>
      <c r="F596" s="63">
        <f t="shared" si="453"/>
        <v>0</v>
      </c>
      <c r="G596" s="63">
        <v>0</v>
      </c>
      <c r="H596" s="64">
        <v>0</v>
      </c>
      <c r="I596" s="79">
        <f t="shared" si="455"/>
        <v>0</v>
      </c>
      <c r="J596" s="4">
        <f t="shared" si="448"/>
        <v>0</v>
      </c>
      <c r="K596" s="4">
        <f t="shared" si="454"/>
        <v>0</v>
      </c>
      <c r="L596" s="65" t="e">
        <f t="shared" si="457"/>
        <v>#DIV/0!</v>
      </c>
      <c r="M596" s="66">
        <v>3.2963</v>
      </c>
      <c r="N596" s="67">
        <f t="shared" si="458"/>
        <v>0</v>
      </c>
      <c r="O596" s="67">
        <f t="shared" si="459"/>
        <v>0</v>
      </c>
      <c r="P596" s="1003"/>
    </row>
    <row r="597" spans="2:16" ht="15.75" thickBot="1" x14ac:dyDescent="0.3">
      <c r="B597" s="998"/>
      <c r="C597" s="68" t="s">
        <v>88</v>
      </c>
      <c r="D597" s="69" t="s">
        <v>89</v>
      </c>
      <c r="E597" s="70">
        <v>0</v>
      </c>
      <c r="F597" s="71">
        <f t="shared" si="453"/>
        <v>0</v>
      </c>
      <c r="G597" s="71">
        <v>0</v>
      </c>
      <c r="H597" s="72">
        <v>0</v>
      </c>
      <c r="I597" s="80">
        <f t="shared" si="455"/>
        <v>65030</v>
      </c>
      <c r="J597" s="4">
        <f t="shared" si="448"/>
        <v>65000</v>
      </c>
      <c r="K597" s="4">
        <f t="shared" si="454"/>
        <v>30</v>
      </c>
      <c r="L597" s="65" t="e">
        <f t="shared" si="457"/>
        <v>#DIV/0!</v>
      </c>
      <c r="M597" s="73">
        <v>2.3201000000000001</v>
      </c>
      <c r="N597" s="74">
        <f t="shared" ref="N597" si="460">M597*G597</f>
        <v>0</v>
      </c>
      <c r="O597" s="74">
        <f t="shared" si="459"/>
        <v>150806.5</v>
      </c>
      <c r="P597" s="1004"/>
    </row>
    <row r="598" spans="2:16" ht="15.75" thickBot="1" x14ac:dyDescent="0.3">
      <c r="B598" s="999"/>
      <c r="C598" s="1007" t="s">
        <v>99</v>
      </c>
      <c r="D598" s="1008"/>
      <c r="E598" s="1008"/>
      <c r="F598" s="1008"/>
      <c r="G598" s="1008"/>
      <c r="H598" s="1009"/>
      <c r="I598" s="116">
        <f>J598+K598</f>
        <v>661608</v>
      </c>
      <c r="J598" s="115">
        <f>SUM(J570:J597)</f>
        <v>643380</v>
      </c>
      <c r="K598" s="115">
        <f>SUM(K570:K597)</f>
        <v>18228</v>
      </c>
      <c r="L598" s="114"/>
      <c r="M598" s="113"/>
      <c r="N598" s="114"/>
      <c r="O598" s="97">
        <f>SUM(O570:O597)</f>
        <v>5332404.3109999998</v>
      </c>
      <c r="P598" s="96"/>
    </row>
    <row r="599" spans="2:16" ht="15.75" thickBot="1" x14ac:dyDescent="0.3">
      <c r="B599" s="100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2"/>
    </row>
    <row r="600" spans="2:16" ht="15.75" thickBot="1" x14ac:dyDescent="0.3">
      <c r="B600" s="992" t="s">
        <v>100</v>
      </c>
      <c r="C600" s="993"/>
      <c r="D600" s="993"/>
      <c r="E600" s="993"/>
      <c r="F600" s="993"/>
      <c r="G600" s="993"/>
      <c r="H600" s="993"/>
      <c r="I600" s="993"/>
      <c r="J600" s="993"/>
      <c r="K600" s="993"/>
      <c r="L600" s="993"/>
      <c r="M600" s="993"/>
      <c r="N600" s="994"/>
      <c r="O600" s="103">
        <f>+O598+O569+O554</f>
        <v>11477316.184999999</v>
      </c>
      <c r="P600" s="96"/>
    </row>
    <row r="601" spans="2:16" ht="15.75" thickBot="1" x14ac:dyDescent="0.3"/>
    <row r="602" spans="2:16" x14ac:dyDescent="0.25">
      <c r="B602" s="1026" t="s">
        <v>1</v>
      </c>
      <c r="C602" s="1028" t="s">
        <v>2</v>
      </c>
      <c r="D602" s="1031" t="s">
        <v>3</v>
      </c>
      <c r="E602" s="1034" t="s">
        <v>4</v>
      </c>
      <c r="F602" s="1035"/>
      <c r="G602" s="1035"/>
      <c r="H602" s="1035"/>
      <c r="I602" s="1035"/>
      <c r="J602" s="1035"/>
      <c r="K602" s="1035"/>
      <c r="L602" s="1036"/>
      <c r="M602" s="1037" t="s">
        <v>5</v>
      </c>
      <c r="N602" s="1038"/>
      <c r="O602" s="1039"/>
      <c r="P602" s="1031" t="s">
        <v>6</v>
      </c>
    </row>
    <row r="603" spans="2:16" x14ac:dyDescent="0.25">
      <c r="B603" s="1027"/>
      <c r="C603" s="1029"/>
      <c r="D603" s="1032"/>
      <c r="E603" s="1040" t="s">
        <v>7</v>
      </c>
      <c r="F603" s="1042" t="s">
        <v>149</v>
      </c>
      <c r="G603" s="1042"/>
      <c r="H603" s="1043"/>
      <c r="I603" s="1044" t="s">
        <v>8</v>
      </c>
      <c r="J603" s="1042"/>
      <c r="K603" s="1042"/>
      <c r="L603" s="1043" t="s">
        <v>9</v>
      </c>
      <c r="M603" s="1046" t="s">
        <v>10</v>
      </c>
      <c r="N603" s="1048" t="s">
        <v>11</v>
      </c>
      <c r="O603" s="1050" t="s">
        <v>12</v>
      </c>
      <c r="P603" s="1032"/>
    </row>
    <row r="604" spans="2:16" ht="15.75" thickBot="1" x14ac:dyDescent="0.3">
      <c r="B604" s="1027"/>
      <c r="C604" s="1030"/>
      <c r="D604" s="1033"/>
      <c r="E604" s="1041"/>
      <c r="F604" s="2" t="s">
        <v>13</v>
      </c>
      <c r="G604" s="2" t="s">
        <v>14</v>
      </c>
      <c r="H604" s="195" t="s">
        <v>15</v>
      </c>
      <c r="I604" s="142" t="s">
        <v>13</v>
      </c>
      <c r="J604" s="2" t="s">
        <v>14</v>
      </c>
      <c r="K604" s="2" t="s">
        <v>15</v>
      </c>
      <c r="L604" s="1045"/>
      <c r="M604" s="1047"/>
      <c r="N604" s="1049"/>
      <c r="O604" s="1051"/>
      <c r="P604" s="1033"/>
    </row>
    <row r="605" spans="2:16" x14ac:dyDescent="0.25">
      <c r="B605" s="1010" t="s">
        <v>53</v>
      </c>
      <c r="C605" s="29"/>
      <c r="D605" s="117" t="s">
        <v>143</v>
      </c>
      <c r="E605" s="98">
        <v>0</v>
      </c>
      <c r="F605" s="4">
        <f>+G605+H605</f>
        <v>0</v>
      </c>
      <c r="G605" s="4">
        <v>0</v>
      </c>
      <c r="H605" s="8">
        <v>0</v>
      </c>
      <c r="I605" s="6">
        <f>J605+K605</f>
        <v>285266</v>
      </c>
      <c r="J605" s="4">
        <f>G605+J540</f>
        <v>280000</v>
      </c>
      <c r="K605" s="4">
        <f>H605+K540</f>
        <v>5266</v>
      </c>
      <c r="L605" s="33" t="e">
        <f>+J605/E605</f>
        <v>#DIV/0!</v>
      </c>
      <c r="M605" s="104">
        <v>1.3652</v>
      </c>
      <c r="N605" s="31">
        <f>G605*M605</f>
        <v>0</v>
      </c>
      <c r="O605" s="86">
        <f>M605*J605</f>
        <v>382256</v>
      </c>
      <c r="P605" s="1012"/>
    </row>
    <row r="606" spans="2:16" x14ac:dyDescent="0.25">
      <c r="B606" s="1011"/>
      <c r="C606" s="32"/>
      <c r="D606" s="118" t="s">
        <v>109</v>
      </c>
      <c r="E606" s="99">
        <v>0</v>
      </c>
      <c r="F606" s="9">
        <f>+G606+H606</f>
        <v>0</v>
      </c>
      <c r="G606" s="9">
        <v>0</v>
      </c>
      <c r="H606" s="10">
        <v>0</v>
      </c>
      <c r="I606" s="6">
        <f>J606+K606</f>
        <v>0</v>
      </c>
      <c r="J606" s="4">
        <f>+G606+J541</f>
        <v>0</v>
      </c>
      <c r="K606" s="4">
        <f>+H606+K541</f>
        <v>0</v>
      </c>
      <c r="L606" s="33"/>
      <c r="M606" s="105">
        <v>5.9917999999999996</v>
      </c>
      <c r="N606" s="34">
        <f>M606*G606</f>
        <v>0</v>
      </c>
      <c r="O606" s="87">
        <f>M606*J606</f>
        <v>0</v>
      </c>
      <c r="P606" s="1013"/>
    </row>
    <row r="607" spans="2:16" x14ac:dyDescent="0.25">
      <c r="B607" s="1011"/>
      <c r="C607" s="35"/>
      <c r="D607" s="119" t="s">
        <v>55</v>
      </c>
      <c r="E607" s="99">
        <v>0</v>
      </c>
      <c r="F607" s="9">
        <f t="shared" ref="F607:F611" si="461">+G607+H607</f>
        <v>231592</v>
      </c>
      <c r="G607" s="9">
        <v>230000</v>
      </c>
      <c r="H607" s="10">
        <v>1592</v>
      </c>
      <c r="I607" s="6">
        <f t="shared" ref="I607:I611" si="462">J607+K607</f>
        <v>1799791</v>
      </c>
      <c r="J607" s="4">
        <f t="shared" ref="J607:J611" si="463">+G607+J542</f>
        <v>1785750</v>
      </c>
      <c r="K607" s="4">
        <f t="shared" ref="K607:K611" si="464">+H607+K542</f>
        <v>14041</v>
      </c>
      <c r="L607" s="33" t="e">
        <f t="shared" ref="L607" si="465">+J607/E607</f>
        <v>#DIV/0!</v>
      </c>
      <c r="M607" s="106">
        <v>2.3807999999999998</v>
      </c>
      <c r="N607" s="36">
        <f>G607*M607</f>
        <v>547584</v>
      </c>
      <c r="O607" s="88">
        <f>M607*J607</f>
        <v>4251513.5999999996</v>
      </c>
      <c r="P607" s="1013"/>
    </row>
    <row r="608" spans="2:16" x14ac:dyDescent="0.25">
      <c r="B608" s="1011"/>
      <c r="C608" s="35"/>
      <c r="D608" s="119" t="s">
        <v>56</v>
      </c>
      <c r="E608" s="99">
        <v>0</v>
      </c>
      <c r="F608" s="9">
        <f t="shared" si="461"/>
        <v>0</v>
      </c>
      <c r="G608" s="9">
        <v>0</v>
      </c>
      <c r="H608" s="10">
        <v>0</v>
      </c>
      <c r="I608" s="6">
        <f t="shared" si="462"/>
        <v>0</v>
      </c>
      <c r="J608" s="4">
        <f t="shared" si="463"/>
        <v>0</v>
      </c>
      <c r="K608" s="4">
        <f t="shared" si="464"/>
        <v>0</v>
      </c>
      <c r="L608" s="33"/>
      <c r="M608" s="106">
        <v>2.1457999999999999</v>
      </c>
      <c r="N608" s="36">
        <f t="shared" ref="N608:N611" si="466">G608*M608</f>
        <v>0</v>
      </c>
      <c r="O608" s="88">
        <f>M608*J608</f>
        <v>0</v>
      </c>
      <c r="P608" s="1013"/>
    </row>
    <row r="609" spans="2:16" x14ac:dyDescent="0.25">
      <c r="B609" s="1011"/>
      <c r="C609" s="35"/>
      <c r="D609" s="119" t="s">
        <v>106</v>
      </c>
      <c r="E609" s="99">
        <v>0</v>
      </c>
      <c r="F609" s="9">
        <f t="shared" si="461"/>
        <v>0</v>
      </c>
      <c r="G609" s="9">
        <v>0</v>
      </c>
      <c r="H609" s="10">
        <v>0</v>
      </c>
      <c r="I609" s="6">
        <f t="shared" si="462"/>
        <v>0</v>
      </c>
      <c r="J609" s="4">
        <f t="shared" si="463"/>
        <v>0</v>
      </c>
      <c r="K609" s="4">
        <f t="shared" si="464"/>
        <v>0</v>
      </c>
      <c r="L609" s="33" t="e">
        <f t="shared" ref="L609:L610" si="467">+J609/E609</f>
        <v>#DIV/0!</v>
      </c>
      <c r="M609" s="143">
        <v>4.0426000000000002</v>
      </c>
      <c r="N609" s="36">
        <f t="shared" si="466"/>
        <v>0</v>
      </c>
      <c r="O609" s="88">
        <f>M609*J609</f>
        <v>0</v>
      </c>
      <c r="P609" s="1013"/>
    </row>
    <row r="610" spans="2:16" x14ac:dyDescent="0.25">
      <c r="B610" s="1011"/>
      <c r="C610" s="35"/>
      <c r="D610" s="119" t="s">
        <v>110</v>
      </c>
      <c r="E610" s="99">
        <v>0</v>
      </c>
      <c r="F610" s="9">
        <f t="shared" si="461"/>
        <v>0</v>
      </c>
      <c r="G610" s="9">
        <v>0</v>
      </c>
      <c r="H610" s="10">
        <v>0</v>
      </c>
      <c r="I610" s="6">
        <f t="shared" si="462"/>
        <v>0</v>
      </c>
      <c r="J610" s="4">
        <f t="shared" si="463"/>
        <v>0</v>
      </c>
      <c r="K610" s="4">
        <f t="shared" si="464"/>
        <v>0</v>
      </c>
      <c r="L610" s="33" t="e">
        <f t="shared" si="467"/>
        <v>#DIV/0!</v>
      </c>
      <c r="M610" s="143">
        <v>3.8715000000000002</v>
      </c>
      <c r="N610" s="36">
        <f t="shared" si="466"/>
        <v>0</v>
      </c>
      <c r="O610" s="88">
        <f t="shared" ref="O610:O611" si="468">M610*J610</f>
        <v>0</v>
      </c>
      <c r="P610" s="1013"/>
    </row>
    <row r="611" spans="2:16" ht="15.75" thickBot="1" x14ac:dyDescent="0.3">
      <c r="B611" s="1011"/>
      <c r="C611" s="82"/>
      <c r="D611" s="120" t="s">
        <v>57</v>
      </c>
      <c r="E611" s="108">
        <v>0</v>
      </c>
      <c r="F611" s="12">
        <f t="shared" si="461"/>
        <v>0</v>
      </c>
      <c r="G611" s="12">
        <v>0</v>
      </c>
      <c r="H611" s="13">
        <v>0</v>
      </c>
      <c r="I611" s="21">
        <f t="shared" si="462"/>
        <v>0</v>
      </c>
      <c r="J611" s="4">
        <f t="shared" si="463"/>
        <v>0</v>
      </c>
      <c r="K611" s="4">
        <f t="shared" si="464"/>
        <v>0</v>
      </c>
      <c r="L611" s="81"/>
      <c r="M611" s="127">
        <v>12.284700000000001</v>
      </c>
      <c r="N611" s="36">
        <f t="shared" si="466"/>
        <v>0</v>
      </c>
      <c r="O611" s="128">
        <f t="shared" si="468"/>
        <v>0</v>
      </c>
      <c r="P611" s="1013"/>
    </row>
    <row r="612" spans="2:16" ht="15.75" thickBot="1" x14ac:dyDescent="0.3">
      <c r="B612" s="1011"/>
      <c r="C612" s="1016" t="s">
        <v>104</v>
      </c>
      <c r="D612" s="1017"/>
      <c r="E612" s="129"/>
      <c r="F612" s="130">
        <f>SUM(F605:F611)</f>
        <v>231592</v>
      </c>
      <c r="G612" s="130">
        <f>SUM(G605:G611)</f>
        <v>230000</v>
      </c>
      <c r="H612" s="131">
        <f>SUM(H605:H611)</f>
        <v>1592</v>
      </c>
      <c r="I612" s="132">
        <f>+J612+K612</f>
        <v>2085057</v>
      </c>
      <c r="J612" s="133">
        <f>SUM(J605:J611)</f>
        <v>2065750</v>
      </c>
      <c r="K612" s="133">
        <f>SUM(K605:K611)</f>
        <v>19307</v>
      </c>
      <c r="L612" s="134"/>
      <c r="M612" s="135"/>
      <c r="N612" s="136"/>
      <c r="O612" s="137">
        <f>SUM(O605:O611)</f>
        <v>4633769.5999999996</v>
      </c>
      <c r="P612" s="1014"/>
    </row>
    <row r="613" spans="2:16" x14ac:dyDescent="0.25">
      <c r="B613" s="1011"/>
      <c r="C613" s="32"/>
      <c r="D613" s="118" t="s">
        <v>58</v>
      </c>
      <c r="E613" s="98">
        <v>0</v>
      </c>
      <c r="F613" s="4">
        <f t="shared" ref="F613:F616" si="469">+G613+H613</f>
        <v>0</v>
      </c>
      <c r="G613" s="4">
        <v>0</v>
      </c>
      <c r="H613" s="8">
        <v>0</v>
      </c>
      <c r="I613" s="6">
        <f t="shared" ref="I613:I617" si="470">J613+K613</f>
        <v>0</v>
      </c>
      <c r="J613" s="4">
        <f>G613+J548</f>
        <v>0</v>
      </c>
      <c r="K613" s="4">
        <f>H613+K548</f>
        <v>0</v>
      </c>
      <c r="L613" s="33" t="e">
        <f t="shared" ref="L613" si="471">+J613/E613</f>
        <v>#DIV/0!</v>
      </c>
      <c r="M613" s="105">
        <v>12.029500000000001</v>
      </c>
      <c r="N613" s="34">
        <f>M613*G613</f>
        <v>0</v>
      </c>
      <c r="O613" s="87">
        <f t="shared" ref="O613:O615" si="472">M613*J613</f>
        <v>0</v>
      </c>
      <c r="P613" s="1013"/>
    </row>
    <row r="614" spans="2:16" x14ac:dyDescent="0.25">
      <c r="B614" s="1011"/>
      <c r="C614" s="35"/>
      <c r="D614" s="119" t="s">
        <v>59</v>
      </c>
      <c r="E614" s="99">
        <v>0</v>
      </c>
      <c r="F614" s="9">
        <f t="shared" si="469"/>
        <v>0</v>
      </c>
      <c r="G614" s="9">
        <v>0</v>
      </c>
      <c r="H614" s="10">
        <v>0</v>
      </c>
      <c r="I614" s="6">
        <f t="shared" si="470"/>
        <v>0</v>
      </c>
      <c r="J614" s="4">
        <f>G614+J549</f>
        <v>0</v>
      </c>
      <c r="K614" s="4">
        <f>H614+K549</f>
        <v>0</v>
      </c>
      <c r="L614" s="33"/>
      <c r="M614" s="106">
        <v>0</v>
      </c>
      <c r="N614" s="36"/>
      <c r="O614" s="88">
        <f t="shared" si="472"/>
        <v>0</v>
      </c>
      <c r="P614" s="1013"/>
    </row>
    <row r="615" spans="2:16" x14ac:dyDescent="0.25">
      <c r="B615" s="1011"/>
      <c r="C615" s="35"/>
      <c r="D615" s="119" t="s">
        <v>97</v>
      </c>
      <c r="E615" s="99">
        <v>0</v>
      </c>
      <c r="F615" s="9">
        <f t="shared" si="469"/>
        <v>0</v>
      </c>
      <c r="G615" s="9">
        <v>0</v>
      </c>
      <c r="H615" s="10">
        <v>0</v>
      </c>
      <c r="I615" s="6">
        <f t="shared" si="470"/>
        <v>0</v>
      </c>
      <c r="J615" s="4">
        <f t="shared" ref="J615:J617" si="473">G615+J550</f>
        <v>0</v>
      </c>
      <c r="K615" s="4">
        <f t="shared" ref="K615:K617" si="474">H615+K550</f>
        <v>0</v>
      </c>
      <c r="L615" s="33" t="e">
        <f t="shared" ref="L615:L617" si="475">+J615/E615</f>
        <v>#DIV/0!</v>
      </c>
      <c r="M615" s="106">
        <v>19.688600000000001</v>
      </c>
      <c r="N615" s="36">
        <f>M615*G615</f>
        <v>0</v>
      </c>
      <c r="O615" s="88">
        <f t="shared" si="472"/>
        <v>0</v>
      </c>
      <c r="P615" s="1013"/>
    </row>
    <row r="616" spans="2:16" x14ac:dyDescent="0.25">
      <c r="B616" s="1011"/>
      <c r="C616" s="35"/>
      <c r="D616" s="119" t="s">
        <v>61</v>
      </c>
      <c r="E616" s="99">
        <v>0</v>
      </c>
      <c r="F616" s="9">
        <f t="shared" si="469"/>
        <v>0</v>
      </c>
      <c r="G616" s="9">
        <v>0</v>
      </c>
      <c r="H616" s="10">
        <v>0</v>
      </c>
      <c r="I616" s="6">
        <f t="shared" si="470"/>
        <v>0</v>
      </c>
      <c r="J616" s="4">
        <f t="shared" si="473"/>
        <v>0</v>
      </c>
      <c r="K616" s="4">
        <f t="shared" si="474"/>
        <v>0</v>
      </c>
      <c r="L616" s="33" t="e">
        <f t="shared" si="475"/>
        <v>#DIV/0!</v>
      </c>
      <c r="M616" s="106">
        <v>1.2824</v>
      </c>
      <c r="N616" s="151">
        <f>M616*G616</f>
        <v>0</v>
      </c>
      <c r="O616" s="88">
        <f>M616*J616</f>
        <v>0</v>
      </c>
      <c r="P616" s="1013"/>
    </row>
    <row r="617" spans="2:16" ht="15.75" thickBot="1" x14ac:dyDescent="0.3">
      <c r="B617" s="1011"/>
      <c r="C617" s="82"/>
      <c r="D617" s="120" t="s">
        <v>60</v>
      </c>
      <c r="E617" s="108">
        <v>0</v>
      </c>
      <c r="F617" s="12">
        <v>0</v>
      </c>
      <c r="G617" s="12">
        <v>12960</v>
      </c>
      <c r="H617" s="13">
        <v>0</v>
      </c>
      <c r="I617" s="21">
        <f t="shared" si="470"/>
        <v>21774</v>
      </c>
      <c r="J617" s="4">
        <f t="shared" si="473"/>
        <v>21600</v>
      </c>
      <c r="K617" s="4">
        <f t="shared" si="474"/>
        <v>174</v>
      </c>
      <c r="L617" s="81" t="e">
        <f t="shared" si="475"/>
        <v>#DIV/0!</v>
      </c>
      <c r="M617" s="107">
        <v>18.2316</v>
      </c>
      <c r="N617" s="75"/>
      <c r="O617" s="89">
        <f t="shared" ref="O617" si="476">M617*J617</f>
        <v>393802.56</v>
      </c>
      <c r="P617" s="1015"/>
    </row>
    <row r="618" spans="2:16" ht="15.75" thickBot="1" x14ac:dyDescent="0.3">
      <c r="B618" s="995" t="s">
        <v>105</v>
      </c>
      <c r="C618" s="996"/>
      <c r="D618" s="996"/>
      <c r="E618" s="124"/>
      <c r="F618" s="125">
        <f>+G618+H618</f>
        <v>12960</v>
      </c>
      <c r="G618" s="125">
        <f>SUM(G613:G617)</f>
        <v>12960</v>
      </c>
      <c r="H618" s="126">
        <f>SUM(H613:H617)</f>
        <v>0</v>
      </c>
      <c r="I618" s="121">
        <f>J618+K618</f>
        <v>21774</v>
      </c>
      <c r="J618" s="122">
        <f>SUM(J613:J617)</f>
        <v>21600</v>
      </c>
      <c r="K618" s="123">
        <f>SUM(K613:K617)</f>
        <v>174</v>
      </c>
      <c r="L618" s="138"/>
      <c r="M618" s="139"/>
      <c r="N618" s="140"/>
      <c r="O618" s="141">
        <f>SUM(O613:O617)</f>
        <v>393802.56</v>
      </c>
      <c r="P618" s="193"/>
    </row>
    <row r="619" spans="2:16" ht="15.75" thickBot="1" x14ac:dyDescent="0.3">
      <c r="B619" s="995" t="s">
        <v>98</v>
      </c>
      <c r="C619" s="996"/>
      <c r="D619" s="996"/>
      <c r="E619" s="1018"/>
      <c r="F619" s="1018"/>
      <c r="G619" s="1018"/>
      <c r="H619" s="1018"/>
      <c r="I619" s="996"/>
      <c r="J619" s="996"/>
      <c r="K619" s="996"/>
      <c r="L619" s="996"/>
      <c r="M619" s="996"/>
      <c r="N619" s="1019"/>
      <c r="O619" s="83">
        <f>O612+O618</f>
        <v>5027572.1599999992</v>
      </c>
      <c r="P619" s="193"/>
    </row>
    <row r="620" spans="2:16" x14ac:dyDescent="0.25">
      <c r="B620" s="1010" t="s">
        <v>62</v>
      </c>
      <c r="C620" s="37" t="s">
        <v>63</v>
      </c>
      <c r="D620" s="28" t="s">
        <v>64</v>
      </c>
      <c r="E620" s="38">
        <v>0</v>
      </c>
      <c r="F620" s="14">
        <f>+G620+H620</f>
        <v>0</v>
      </c>
      <c r="G620" s="14">
        <v>0</v>
      </c>
      <c r="H620" s="5">
        <v>0</v>
      </c>
      <c r="I620" s="17">
        <f t="shared" ref="I620:I626" si="477">J620+K620</f>
        <v>0</v>
      </c>
      <c r="J620" s="4">
        <f>G620+J555</f>
        <v>0</v>
      </c>
      <c r="K620" s="4">
        <f>H620+K555</f>
        <v>0</v>
      </c>
      <c r="L620" s="30" t="e">
        <f>+J620/E620</f>
        <v>#DIV/0!</v>
      </c>
      <c r="M620" s="146">
        <v>2.2141000000000002</v>
      </c>
      <c r="N620" s="15">
        <f>+M620*G620</f>
        <v>0</v>
      </c>
      <c r="O620" s="90">
        <f>+M620*J620</f>
        <v>0</v>
      </c>
      <c r="P620" s="1021"/>
    </row>
    <row r="621" spans="2:16" x14ac:dyDescent="0.25">
      <c r="B621" s="1011"/>
      <c r="C621" s="39"/>
      <c r="D621" s="22" t="s">
        <v>65</v>
      </c>
      <c r="E621" s="3">
        <v>0</v>
      </c>
      <c r="F621" s="9">
        <f t="shared" ref="F621:F626" si="478">+G621+H621</f>
        <v>0</v>
      </c>
      <c r="G621" s="4">
        <v>0</v>
      </c>
      <c r="H621" s="8">
        <v>0</v>
      </c>
      <c r="I621" s="6">
        <f t="shared" si="477"/>
        <v>0</v>
      </c>
      <c r="J621" s="4">
        <f>+G621+J556</f>
        <v>0</v>
      </c>
      <c r="K621" s="4">
        <f>+H621+K556</f>
        <v>0</v>
      </c>
      <c r="L621" s="40" t="e">
        <f t="shared" ref="L621:L622" si="479">+J621/E621</f>
        <v>#DIV/0!</v>
      </c>
      <c r="M621" s="145">
        <v>2.4565999999999999</v>
      </c>
      <c r="N621" s="11">
        <f t="shared" ref="N621:N623" si="480">+M621*G621</f>
        <v>0</v>
      </c>
      <c r="O621" s="91">
        <f t="shared" ref="O621:O623" si="481">+M621*J621</f>
        <v>0</v>
      </c>
      <c r="P621" s="1022"/>
    </row>
    <row r="622" spans="2:16" x14ac:dyDescent="0.25">
      <c r="B622" s="1011"/>
      <c r="C622" s="39"/>
      <c r="D622" s="23" t="s">
        <v>126</v>
      </c>
      <c r="E622" s="3">
        <v>0</v>
      </c>
      <c r="F622" s="9">
        <f t="shared" si="478"/>
        <v>0</v>
      </c>
      <c r="G622" s="4">
        <v>0</v>
      </c>
      <c r="H622" s="8">
        <v>0</v>
      </c>
      <c r="I622" s="6">
        <f t="shared" si="477"/>
        <v>0</v>
      </c>
      <c r="J622" s="4">
        <f t="shared" ref="J622:J623" si="482">+G622+J557</f>
        <v>0</v>
      </c>
      <c r="K622" s="4">
        <f t="shared" ref="K622:K626" si="483">+H622+K557</f>
        <v>0</v>
      </c>
      <c r="L622" s="40" t="e">
        <f t="shared" si="479"/>
        <v>#DIV/0!</v>
      </c>
      <c r="M622" s="145">
        <v>2.2907000000000002</v>
      </c>
      <c r="N622" s="11">
        <f t="shared" si="480"/>
        <v>0</v>
      </c>
      <c r="O622" s="91">
        <f t="shared" si="481"/>
        <v>0</v>
      </c>
      <c r="P622" s="1022"/>
    </row>
    <row r="623" spans="2:16" x14ac:dyDescent="0.25">
      <c r="B623" s="1011"/>
      <c r="C623" s="39"/>
      <c r="D623" s="22" t="s">
        <v>131</v>
      </c>
      <c r="E623" s="3"/>
      <c r="F623" s="9">
        <f t="shared" si="478"/>
        <v>0</v>
      </c>
      <c r="G623" s="4">
        <v>0</v>
      </c>
      <c r="H623" s="8">
        <v>0</v>
      </c>
      <c r="I623" s="6">
        <f t="shared" si="477"/>
        <v>0</v>
      </c>
      <c r="J623" s="4">
        <f t="shared" si="482"/>
        <v>0</v>
      </c>
      <c r="K623" s="4">
        <f t="shared" si="483"/>
        <v>0</v>
      </c>
      <c r="L623" s="33"/>
      <c r="M623" s="150">
        <v>2.544</v>
      </c>
      <c r="N623" s="11">
        <f t="shared" si="480"/>
        <v>0</v>
      </c>
      <c r="O623" s="91">
        <f t="shared" si="481"/>
        <v>0</v>
      </c>
      <c r="P623" s="1022"/>
    </row>
    <row r="624" spans="2:16" x14ac:dyDescent="0.25">
      <c r="B624" s="1011"/>
      <c r="C624" s="39" t="s">
        <v>66</v>
      </c>
      <c r="D624" s="22" t="s">
        <v>133</v>
      </c>
      <c r="E624" s="3">
        <v>0</v>
      </c>
      <c r="F624" s="9">
        <f t="shared" si="478"/>
        <v>84000</v>
      </c>
      <c r="G624" s="4">
        <v>82500</v>
      </c>
      <c r="H624" s="8">
        <v>1500</v>
      </c>
      <c r="I624" s="6">
        <f t="shared" si="477"/>
        <v>491132</v>
      </c>
      <c r="J624" s="4">
        <f>+G624+J559</f>
        <v>480250</v>
      </c>
      <c r="K624" s="4">
        <f t="shared" si="483"/>
        <v>10882</v>
      </c>
      <c r="L624" s="33" t="e">
        <f>+J624/E624</f>
        <v>#DIV/0!</v>
      </c>
      <c r="M624" s="144">
        <v>2.2141000000000002</v>
      </c>
      <c r="N624" s="7">
        <f>+M624*G624</f>
        <v>182663.25000000003</v>
      </c>
      <c r="O624" s="85">
        <f>+M624*J624</f>
        <v>1063321.5250000001</v>
      </c>
      <c r="P624" s="1022"/>
    </row>
    <row r="625" spans="2:16" x14ac:dyDescent="0.25">
      <c r="B625" s="1011"/>
      <c r="C625" s="39"/>
      <c r="D625" s="22" t="s">
        <v>65</v>
      </c>
      <c r="E625" s="3">
        <v>0</v>
      </c>
      <c r="F625" s="9">
        <f t="shared" si="478"/>
        <v>0</v>
      </c>
      <c r="G625" s="4">
        <v>0</v>
      </c>
      <c r="H625" s="8">
        <v>0</v>
      </c>
      <c r="I625" s="6">
        <f t="shared" si="477"/>
        <v>0</v>
      </c>
      <c r="J625" s="4">
        <f t="shared" ref="J625:J626" si="484">+G625+J560</f>
        <v>0</v>
      </c>
      <c r="K625" s="4">
        <f t="shared" si="483"/>
        <v>0</v>
      </c>
      <c r="L625" s="40" t="e">
        <f t="shared" ref="L625:L626" si="485">+J625/E625</f>
        <v>#DIV/0!</v>
      </c>
      <c r="M625" s="145">
        <v>2.4565999999999999</v>
      </c>
      <c r="N625" s="11">
        <f t="shared" ref="N625:N626" si="486">+M625*G625</f>
        <v>0</v>
      </c>
      <c r="O625" s="91">
        <f t="shared" ref="O625" si="487">+M625*J625</f>
        <v>0</v>
      </c>
      <c r="P625" s="1022"/>
    </row>
    <row r="626" spans="2:16" ht="15.75" thickBot="1" x14ac:dyDescent="0.3">
      <c r="B626" s="1011"/>
      <c r="C626" s="39"/>
      <c r="D626" s="22" t="s">
        <v>126</v>
      </c>
      <c r="E626" s="3">
        <v>0</v>
      </c>
      <c r="F626" s="9">
        <f t="shared" si="478"/>
        <v>0</v>
      </c>
      <c r="G626" s="4">
        <v>0</v>
      </c>
      <c r="H626" s="8">
        <v>0</v>
      </c>
      <c r="I626" s="6">
        <f t="shared" si="477"/>
        <v>0</v>
      </c>
      <c r="J626" s="4">
        <f t="shared" si="484"/>
        <v>0</v>
      </c>
      <c r="K626" s="4">
        <f t="shared" si="483"/>
        <v>0</v>
      </c>
      <c r="L626" s="40" t="e">
        <f t="shared" si="485"/>
        <v>#DIV/0!</v>
      </c>
      <c r="M626" s="145">
        <v>2.2907000000000002</v>
      </c>
      <c r="N626" s="11">
        <f t="shared" si="486"/>
        <v>0</v>
      </c>
      <c r="O626" s="154">
        <f>+M626*J626</f>
        <v>0</v>
      </c>
      <c r="P626" s="1023"/>
    </row>
    <row r="627" spans="2:16" ht="15.75" thickBot="1" x14ac:dyDescent="0.3">
      <c r="B627" s="1011"/>
      <c r="C627" s="41" t="s">
        <v>29</v>
      </c>
      <c r="D627" s="27" t="str">
        <f>+C627</f>
        <v>TOTAL 1/2</v>
      </c>
      <c r="E627" s="42">
        <f>SUM(E620:E626)</f>
        <v>0</v>
      </c>
      <c r="F627" s="43">
        <f>SUM(F620:F626)</f>
        <v>84000</v>
      </c>
      <c r="G627" s="43">
        <f>SUM(G620:G626)</f>
        <v>82500</v>
      </c>
      <c r="H627" s="44">
        <f>SUM(H620:H626)</f>
        <v>1500</v>
      </c>
      <c r="I627" s="45">
        <f>SUM(I624:I626)</f>
        <v>491132</v>
      </c>
      <c r="J627" s="43">
        <f>SUM(J620:J626)</f>
        <v>480250</v>
      </c>
      <c r="K627" s="43">
        <f>SUM(K620:K626)</f>
        <v>10882</v>
      </c>
      <c r="L627" s="46" t="e">
        <f>+J627/E627</f>
        <v>#DIV/0!</v>
      </c>
      <c r="M627" s="47"/>
      <c r="N627" s="48">
        <f>SUM(N624:N626)</f>
        <v>182663.25000000003</v>
      </c>
      <c r="O627" s="49">
        <f>SUM(O620:O626)</f>
        <v>1063321.5250000001</v>
      </c>
      <c r="P627" s="194"/>
    </row>
    <row r="628" spans="2:16" x14ac:dyDescent="0.25">
      <c r="B628" s="1011"/>
      <c r="C628" s="1024" t="s">
        <v>67</v>
      </c>
      <c r="D628" s="22" t="s">
        <v>64</v>
      </c>
      <c r="E628" s="3">
        <v>0</v>
      </c>
      <c r="F628" s="4">
        <f>G628+H628</f>
        <v>0</v>
      </c>
      <c r="G628" s="4">
        <v>0</v>
      </c>
      <c r="H628" s="8">
        <v>0</v>
      </c>
      <c r="I628" s="16">
        <f>J628+K628</f>
        <v>109220</v>
      </c>
      <c r="J628" s="4">
        <f>G628+J563</f>
        <v>105750</v>
      </c>
      <c r="K628" s="4">
        <f>H628+K563</f>
        <v>3470</v>
      </c>
      <c r="L628" s="50" t="e">
        <f>+J628/E628</f>
        <v>#DIV/0!</v>
      </c>
      <c r="M628" s="144">
        <v>4.1712999999999996</v>
      </c>
      <c r="N628" s="7">
        <f>+M628*G628</f>
        <v>0</v>
      </c>
      <c r="O628" s="93">
        <f>+M628*J628</f>
        <v>441114.97499999998</v>
      </c>
      <c r="P628" s="1021"/>
    </row>
    <row r="629" spans="2:16" x14ac:dyDescent="0.25">
      <c r="B629" s="1011"/>
      <c r="C629" s="1025"/>
      <c r="D629" s="22" t="s">
        <v>65</v>
      </c>
      <c r="E629" s="3">
        <v>0</v>
      </c>
      <c r="F629" s="4">
        <f>G629+H629</f>
        <v>0</v>
      </c>
      <c r="G629" s="4">
        <v>0</v>
      </c>
      <c r="H629" s="8">
        <v>0</v>
      </c>
      <c r="I629" s="6">
        <f>+R1673+F629</f>
        <v>0</v>
      </c>
      <c r="J629" s="4">
        <f>G629+J564</f>
        <v>120000</v>
      </c>
      <c r="K629" s="4">
        <f>H629+K564</f>
        <v>3230</v>
      </c>
      <c r="L629" s="51" t="e">
        <f t="shared" ref="L629:L633" si="488">+J629/E629</f>
        <v>#DIV/0!</v>
      </c>
      <c r="M629" s="145">
        <v>4.8285999999999998</v>
      </c>
      <c r="N629" s="11">
        <f t="shared" ref="N629:N631" si="489">+M629*G629</f>
        <v>0</v>
      </c>
      <c r="O629" s="94">
        <f t="shared" ref="O629:O631" si="490">+M629*J629</f>
        <v>579432</v>
      </c>
      <c r="P629" s="1022"/>
    </row>
    <row r="630" spans="2:16" x14ac:dyDescent="0.25">
      <c r="B630" s="1011"/>
      <c r="C630" s="1025"/>
      <c r="D630" s="22" t="s">
        <v>127</v>
      </c>
      <c r="E630" s="3"/>
      <c r="F630" s="4">
        <f>G630+H630</f>
        <v>0</v>
      </c>
      <c r="G630" s="4">
        <v>0</v>
      </c>
      <c r="H630" s="8">
        <v>0</v>
      </c>
      <c r="I630" s="6">
        <f>+R1674+F630</f>
        <v>0</v>
      </c>
      <c r="J630" s="4">
        <f t="shared" ref="J630:J631" si="491">G630+J565</f>
        <v>0</v>
      </c>
      <c r="K630" s="4">
        <f t="shared" ref="K630:K631" si="492">H630+K565</f>
        <v>0</v>
      </c>
      <c r="L630" s="51" t="e">
        <f t="shared" si="488"/>
        <v>#DIV/0!</v>
      </c>
      <c r="M630" s="144">
        <v>4.5023</v>
      </c>
      <c r="N630" s="11">
        <f t="shared" si="489"/>
        <v>0</v>
      </c>
      <c r="O630" s="94">
        <f t="shared" si="490"/>
        <v>0</v>
      </c>
      <c r="P630" s="1022"/>
    </row>
    <row r="631" spans="2:16" ht="15.75" thickBot="1" x14ac:dyDescent="0.3">
      <c r="B631" s="1011"/>
      <c r="C631" s="1025"/>
      <c r="D631" s="22" t="s">
        <v>111</v>
      </c>
      <c r="E631" s="3">
        <v>0</v>
      </c>
      <c r="F631" s="4">
        <f t="shared" ref="F631" si="493">G631+H631</f>
        <v>0</v>
      </c>
      <c r="G631" s="4">
        <v>0</v>
      </c>
      <c r="H631" s="8">
        <v>0</v>
      </c>
      <c r="I631" s="6">
        <f>+R1674+F631</f>
        <v>0</v>
      </c>
      <c r="J631" s="4">
        <f t="shared" si="491"/>
        <v>0</v>
      </c>
      <c r="K631" s="4">
        <f t="shared" si="492"/>
        <v>0</v>
      </c>
      <c r="L631" s="51" t="e">
        <f t="shared" si="488"/>
        <v>#DIV/0!</v>
      </c>
      <c r="M631" s="144">
        <v>4.4065000000000003</v>
      </c>
      <c r="N631" s="11">
        <f t="shared" si="489"/>
        <v>0</v>
      </c>
      <c r="O631" s="94">
        <f t="shared" si="490"/>
        <v>0</v>
      </c>
      <c r="P631" s="1022"/>
    </row>
    <row r="632" spans="2:16" ht="15.75" thickBot="1" x14ac:dyDescent="0.3">
      <c r="B632" s="1011"/>
      <c r="C632" s="41" t="s">
        <v>31</v>
      </c>
      <c r="D632" s="18" t="str">
        <f>+C632</f>
        <v>TOTAL 4/4</v>
      </c>
      <c r="E632" s="42">
        <f t="shared" ref="E632:K632" si="494">SUM(E628:E631)</f>
        <v>0</v>
      </c>
      <c r="F632" s="43">
        <f t="shared" si="494"/>
        <v>0</v>
      </c>
      <c r="G632" s="43">
        <f t="shared" si="494"/>
        <v>0</v>
      </c>
      <c r="H632" s="44">
        <f t="shared" si="494"/>
        <v>0</v>
      </c>
      <c r="I632" s="45">
        <f t="shared" si="494"/>
        <v>109220</v>
      </c>
      <c r="J632" s="43">
        <f t="shared" si="494"/>
        <v>225750</v>
      </c>
      <c r="K632" s="43">
        <f t="shared" si="494"/>
        <v>6700</v>
      </c>
      <c r="L632" s="46" t="e">
        <f t="shared" si="488"/>
        <v>#DIV/0!</v>
      </c>
      <c r="M632" s="47"/>
      <c r="N632" s="48">
        <f>SUM(N628:N631)</f>
        <v>0</v>
      </c>
      <c r="O632" s="92">
        <f>SUM(O628:O631)</f>
        <v>1020546.975</v>
      </c>
      <c r="P632" s="1023"/>
    </row>
    <row r="633" spans="2:16" ht="15.75" thickBot="1" x14ac:dyDescent="0.3">
      <c r="B633" s="1020"/>
      <c r="C633" s="41" t="s">
        <v>68</v>
      </c>
      <c r="D633" s="27" t="s">
        <v>64</v>
      </c>
      <c r="E633" s="25">
        <v>0</v>
      </c>
      <c r="F633" s="20">
        <f>G633+H633</f>
        <v>0</v>
      </c>
      <c r="G633" s="20">
        <v>0</v>
      </c>
      <c r="H633" s="24">
        <v>0</v>
      </c>
      <c r="I633" s="19">
        <f>J633+K633</f>
        <v>0</v>
      </c>
      <c r="J633" s="4">
        <f>G633+J568</f>
        <v>0</v>
      </c>
      <c r="K633" s="4">
        <f>H633+K568</f>
        <v>0</v>
      </c>
      <c r="L633" s="52" t="e">
        <f t="shared" si="488"/>
        <v>#DIV/0!</v>
      </c>
      <c r="M633" s="149">
        <v>1.4086000000000001</v>
      </c>
      <c r="N633" s="26">
        <f t="shared" ref="N633" si="495">+M633*G633</f>
        <v>0</v>
      </c>
      <c r="O633" s="95">
        <f t="shared" ref="O633" si="496">+M633*J633</f>
        <v>0</v>
      </c>
      <c r="P633" s="53"/>
    </row>
    <row r="634" spans="2:16" ht="15.75" thickBot="1" x14ac:dyDescent="0.3">
      <c r="B634" s="995" t="s">
        <v>95</v>
      </c>
      <c r="C634" s="996"/>
      <c r="D634" s="996"/>
      <c r="E634" s="996"/>
      <c r="F634" s="996"/>
      <c r="G634" s="996"/>
      <c r="H634" s="996"/>
      <c r="I634" s="110">
        <f>J634+K634</f>
        <v>723582</v>
      </c>
      <c r="J634" s="110">
        <f>J627+J632+J633</f>
        <v>706000</v>
      </c>
      <c r="K634" s="110">
        <f>K627+K632+K633</f>
        <v>17582</v>
      </c>
      <c r="L634" s="111"/>
      <c r="M634" s="112"/>
      <c r="N634" s="109"/>
      <c r="O634" s="77">
        <f>+O633+O632+O627</f>
        <v>2083868.5</v>
      </c>
      <c r="P634" s="84"/>
    </row>
    <row r="635" spans="2:16" x14ac:dyDescent="0.25">
      <c r="B635" s="997" t="s">
        <v>69</v>
      </c>
      <c r="C635" s="1000" t="s">
        <v>70</v>
      </c>
      <c r="D635" s="54" t="s">
        <v>71</v>
      </c>
      <c r="E635" s="55">
        <v>0</v>
      </c>
      <c r="F635" s="56">
        <f>G635+H635</f>
        <v>5070</v>
      </c>
      <c r="G635" s="56">
        <v>5000</v>
      </c>
      <c r="H635" s="57">
        <v>70</v>
      </c>
      <c r="I635" s="78">
        <f>J635+K635</f>
        <v>5070</v>
      </c>
      <c r="J635" s="4">
        <f>G635+J570</f>
        <v>5000</v>
      </c>
      <c r="K635" s="4">
        <f>H635+K570</f>
        <v>70</v>
      </c>
      <c r="L635" s="58" t="e">
        <f t="shared" ref="L635" si="497">+J635/E635</f>
        <v>#DIV/0!</v>
      </c>
      <c r="M635" s="59">
        <v>32.946300000000001</v>
      </c>
      <c r="N635" s="60">
        <f>+M635*G635</f>
        <v>164731.5</v>
      </c>
      <c r="O635" s="60">
        <f>M635*J635</f>
        <v>164731.5</v>
      </c>
      <c r="P635" s="1002"/>
    </row>
    <row r="636" spans="2:16" x14ac:dyDescent="0.25">
      <c r="B636" s="998"/>
      <c r="C636" s="1001"/>
      <c r="D636" s="61" t="s">
        <v>72</v>
      </c>
      <c r="E636" s="62">
        <v>0</v>
      </c>
      <c r="F636" s="63">
        <f>G636+H636</f>
        <v>6461</v>
      </c>
      <c r="G636" s="63">
        <v>6420</v>
      </c>
      <c r="H636" s="64">
        <v>41</v>
      </c>
      <c r="I636" s="79">
        <f>J636+K636</f>
        <v>31833</v>
      </c>
      <c r="J636" s="4">
        <f>G636+J571</f>
        <v>31420</v>
      </c>
      <c r="K636" s="4">
        <f>H636+K571</f>
        <v>413</v>
      </c>
      <c r="L636" s="65" t="e">
        <f>+J636/E636</f>
        <v>#DIV/0!</v>
      </c>
      <c r="M636" s="66">
        <v>35.398400000000002</v>
      </c>
      <c r="N636" s="67">
        <f>+M636*G636</f>
        <v>227257.728</v>
      </c>
      <c r="O636" s="67">
        <f>M636*J636</f>
        <v>1112217.7280000001</v>
      </c>
      <c r="P636" s="1003"/>
    </row>
    <row r="637" spans="2:16" x14ac:dyDescent="0.25">
      <c r="B637" s="998"/>
      <c r="C637" s="1001"/>
      <c r="D637" s="61" t="s">
        <v>73</v>
      </c>
      <c r="E637" s="62">
        <v>0</v>
      </c>
      <c r="F637" s="63">
        <f t="shared" ref="F637:F640" si="498">G637+H637</f>
        <v>0</v>
      </c>
      <c r="G637" s="63">
        <v>0</v>
      </c>
      <c r="H637" s="64">
        <v>0</v>
      </c>
      <c r="I637" s="79">
        <f t="shared" ref="I637:I646" si="499">J637+K637</f>
        <v>0</v>
      </c>
      <c r="J637" s="4">
        <f t="shared" ref="J637:J662" si="500">G637+J572</f>
        <v>0</v>
      </c>
      <c r="K637" s="4">
        <f t="shared" ref="K637:K641" si="501">H637+K572</f>
        <v>0</v>
      </c>
      <c r="L637" s="65" t="e">
        <f t="shared" ref="L637:L650" si="502">+J637/E637</f>
        <v>#DIV/0!</v>
      </c>
      <c r="M637" s="66">
        <v>32.946300000000001</v>
      </c>
      <c r="N637" s="67">
        <f t="shared" ref="N637:N657" si="503">+M637*G637</f>
        <v>0</v>
      </c>
      <c r="O637" s="67">
        <f t="shared" ref="O637:O645" si="504">M637*J637</f>
        <v>0</v>
      </c>
      <c r="P637" s="1003"/>
    </row>
    <row r="638" spans="2:16" x14ac:dyDescent="0.25">
      <c r="B638" s="998"/>
      <c r="C638" s="1001" t="s">
        <v>74</v>
      </c>
      <c r="D638" s="61" t="s">
        <v>75</v>
      </c>
      <c r="E638" s="62">
        <v>0</v>
      </c>
      <c r="F638" s="63">
        <f t="shared" si="498"/>
        <v>0</v>
      </c>
      <c r="G638" s="63">
        <v>0</v>
      </c>
      <c r="H638" s="64">
        <v>0</v>
      </c>
      <c r="I638" s="79">
        <f t="shared" si="499"/>
        <v>12279</v>
      </c>
      <c r="J638" s="4">
        <f t="shared" si="500"/>
        <v>12000</v>
      </c>
      <c r="K638" s="4">
        <f t="shared" si="501"/>
        <v>279</v>
      </c>
      <c r="L638" s="65" t="e">
        <f t="shared" si="502"/>
        <v>#DIV/0!</v>
      </c>
      <c r="M638" s="66">
        <v>55.4758</v>
      </c>
      <c r="N638" s="67">
        <f t="shared" si="503"/>
        <v>0</v>
      </c>
      <c r="O638" s="67">
        <f t="shared" si="504"/>
        <v>665709.6</v>
      </c>
      <c r="P638" s="1003"/>
    </row>
    <row r="639" spans="2:16" x14ac:dyDescent="0.25">
      <c r="B639" s="998"/>
      <c r="C639" s="1001"/>
      <c r="D639" s="61" t="s">
        <v>134</v>
      </c>
      <c r="E639" s="62">
        <v>0</v>
      </c>
      <c r="F639" s="63">
        <f t="shared" si="498"/>
        <v>0</v>
      </c>
      <c r="G639" s="63">
        <v>0</v>
      </c>
      <c r="H639" s="64">
        <v>0</v>
      </c>
      <c r="I639" s="79">
        <f t="shared" si="499"/>
        <v>0</v>
      </c>
      <c r="J639" s="4">
        <f t="shared" si="500"/>
        <v>0</v>
      </c>
      <c r="K639" s="4">
        <f t="shared" si="501"/>
        <v>0</v>
      </c>
      <c r="L639" s="65" t="e">
        <f t="shared" si="502"/>
        <v>#DIV/0!</v>
      </c>
      <c r="M639" s="66">
        <v>53.515999999999998</v>
      </c>
      <c r="N639" s="67">
        <f t="shared" si="503"/>
        <v>0</v>
      </c>
      <c r="O639" s="67">
        <f t="shared" si="504"/>
        <v>0</v>
      </c>
      <c r="P639" s="1003"/>
    </row>
    <row r="640" spans="2:16" x14ac:dyDescent="0.25">
      <c r="B640" s="998"/>
      <c r="C640" s="1001"/>
      <c r="D640" s="61" t="s">
        <v>72</v>
      </c>
      <c r="E640" s="62">
        <v>0</v>
      </c>
      <c r="F640" s="63">
        <f t="shared" si="498"/>
        <v>0</v>
      </c>
      <c r="G640" s="63">
        <v>0</v>
      </c>
      <c r="H640" s="64">
        <v>0</v>
      </c>
      <c r="I640" s="79">
        <f t="shared" si="499"/>
        <v>9804</v>
      </c>
      <c r="J640" s="4">
        <f t="shared" si="500"/>
        <v>9600</v>
      </c>
      <c r="K640" s="4">
        <f t="shared" si="501"/>
        <v>204</v>
      </c>
      <c r="L640" s="65" t="e">
        <f t="shared" si="502"/>
        <v>#DIV/0!</v>
      </c>
      <c r="M640" s="66">
        <v>58.836300000000001</v>
      </c>
      <c r="N640" s="67">
        <f t="shared" si="503"/>
        <v>0</v>
      </c>
      <c r="O640" s="67">
        <f t="shared" si="504"/>
        <v>564828.48</v>
      </c>
      <c r="P640" s="1003"/>
    </row>
    <row r="641" spans="2:16" x14ac:dyDescent="0.25">
      <c r="B641" s="998"/>
      <c r="C641" s="1005" t="s">
        <v>76</v>
      </c>
      <c r="D641" s="61" t="s">
        <v>77</v>
      </c>
      <c r="E641" s="62">
        <v>0</v>
      </c>
      <c r="F641" s="63">
        <f>G641+H641</f>
        <v>0</v>
      </c>
      <c r="G641" s="63">
        <v>0</v>
      </c>
      <c r="H641" s="64">
        <v>0</v>
      </c>
      <c r="I641" s="79">
        <f t="shared" si="499"/>
        <v>3675</v>
      </c>
      <c r="J641" s="4">
        <f t="shared" si="500"/>
        <v>3575</v>
      </c>
      <c r="K641" s="4">
        <f t="shared" si="501"/>
        <v>100</v>
      </c>
      <c r="L641" s="65" t="e">
        <f t="shared" si="502"/>
        <v>#DIV/0!</v>
      </c>
      <c r="M641" s="66">
        <v>25.687200000000001</v>
      </c>
      <c r="N641" s="67">
        <f t="shared" si="503"/>
        <v>0</v>
      </c>
      <c r="O641" s="67">
        <f t="shared" si="504"/>
        <v>91831.74</v>
      </c>
      <c r="P641" s="1003"/>
    </row>
    <row r="642" spans="2:16" x14ac:dyDescent="0.25">
      <c r="B642" s="998"/>
      <c r="C642" s="1006"/>
      <c r="D642" s="61" t="s">
        <v>117</v>
      </c>
      <c r="E642" s="62">
        <v>0</v>
      </c>
      <c r="F642" s="63">
        <f>G642+H642</f>
        <v>0</v>
      </c>
      <c r="G642" s="63">
        <v>0</v>
      </c>
      <c r="H642" s="64">
        <v>0</v>
      </c>
      <c r="I642" s="79">
        <f t="shared" si="499"/>
        <v>0</v>
      </c>
      <c r="J642" s="4">
        <f t="shared" si="500"/>
        <v>0</v>
      </c>
      <c r="K642" s="4">
        <f>H642+K577</f>
        <v>0</v>
      </c>
      <c r="L642" s="65" t="e">
        <f t="shared" si="502"/>
        <v>#DIV/0!</v>
      </c>
      <c r="M642" s="66">
        <v>25.033899999999999</v>
      </c>
      <c r="N642" s="67">
        <f t="shared" si="503"/>
        <v>0</v>
      </c>
      <c r="O642" s="67">
        <f t="shared" si="504"/>
        <v>0</v>
      </c>
      <c r="P642" s="1003"/>
    </row>
    <row r="643" spans="2:16" x14ac:dyDescent="0.25">
      <c r="B643" s="998"/>
      <c r="C643" s="1005" t="s">
        <v>78</v>
      </c>
      <c r="D643" s="61" t="s">
        <v>79</v>
      </c>
      <c r="E643" s="62">
        <v>0</v>
      </c>
      <c r="F643" s="63">
        <f t="shared" ref="F643:F662" si="505">G643+H643</f>
        <v>4075</v>
      </c>
      <c r="G643" s="63">
        <v>4000</v>
      </c>
      <c r="H643" s="64">
        <v>75</v>
      </c>
      <c r="I643" s="79">
        <f t="shared" si="499"/>
        <v>12188</v>
      </c>
      <c r="J643" s="4">
        <f t="shared" si="500"/>
        <v>12000</v>
      </c>
      <c r="K643" s="4">
        <f t="shared" ref="K643:K662" si="506">H643+K578</f>
        <v>188</v>
      </c>
      <c r="L643" s="65" t="e">
        <f t="shared" si="502"/>
        <v>#DIV/0!</v>
      </c>
      <c r="M643" s="66">
        <v>41.992699999999999</v>
      </c>
      <c r="N643" s="67">
        <f t="shared" si="503"/>
        <v>167970.8</v>
      </c>
      <c r="O643" s="67">
        <f t="shared" si="504"/>
        <v>503912.39999999997</v>
      </c>
      <c r="P643" s="1003"/>
    </row>
    <row r="644" spans="2:16" x14ac:dyDescent="0.25">
      <c r="B644" s="998"/>
      <c r="C644" s="1006"/>
      <c r="D644" s="61" t="s">
        <v>72</v>
      </c>
      <c r="E644" s="62">
        <v>0</v>
      </c>
      <c r="F644" s="63">
        <f t="shared" si="505"/>
        <v>0</v>
      </c>
      <c r="G644" s="63">
        <v>0</v>
      </c>
      <c r="H644" s="64">
        <v>0</v>
      </c>
      <c r="I644" s="79">
        <f t="shared" si="499"/>
        <v>0</v>
      </c>
      <c r="J644" s="4">
        <f t="shared" si="500"/>
        <v>0</v>
      </c>
      <c r="K644" s="4">
        <f t="shared" si="506"/>
        <v>0</v>
      </c>
      <c r="L644" s="65" t="e">
        <f t="shared" si="502"/>
        <v>#DIV/0!</v>
      </c>
      <c r="M644" s="66">
        <v>42.283799999999999</v>
      </c>
      <c r="N644" s="67">
        <f t="shared" si="503"/>
        <v>0</v>
      </c>
      <c r="O644" s="67">
        <f t="shared" si="504"/>
        <v>0</v>
      </c>
      <c r="P644" s="1003"/>
    </row>
    <row r="645" spans="2:16" x14ac:dyDescent="0.25">
      <c r="B645" s="998"/>
      <c r="C645" s="192" t="s">
        <v>80</v>
      </c>
      <c r="D645" s="61" t="s">
        <v>81</v>
      </c>
      <c r="E645" s="62">
        <v>0</v>
      </c>
      <c r="F645" s="63">
        <f t="shared" si="505"/>
        <v>13905</v>
      </c>
      <c r="G645" s="63">
        <v>13500</v>
      </c>
      <c r="H645" s="64">
        <v>405</v>
      </c>
      <c r="I645" s="79">
        <f t="shared" si="499"/>
        <v>24803</v>
      </c>
      <c r="J645" s="4">
        <f t="shared" si="500"/>
        <v>24000</v>
      </c>
      <c r="K645" s="4">
        <f t="shared" si="506"/>
        <v>803</v>
      </c>
      <c r="L645" s="65" t="e">
        <f t="shared" si="502"/>
        <v>#DIV/0!</v>
      </c>
      <c r="M645" s="66">
        <v>4.3535000000000004</v>
      </c>
      <c r="N645" s="67">
        <f t="shared" si="503"/>
        <v>58772.250000000007</v>
      </c>
      <c r="O645" s="67">
        <f t="shared" si="504"/>
        <v>104484.00000000001</v>
      </c>
      <c r="P645" s="1003"/>
    </row>
    <row r="646" spans="2:16" x14ac:dyDescent="0.25">
      <c r="B646" s="998"/>
      <c r="C646" s="1001" t="s">
        <v>82</v>
      </c>
      <c r="D646" s="61" t="s">
        <v>77</v>
      </c>
      <c r="E646" s="62">
        <v>0</v>
      </c>
      <c r="F646" s="63">
        <f t="shared" si="505"/>
        <v>0</v>
      </c>
      <c r="G646" s="63">
        <v>0</v>
      </c>
      <c r="H646" s="64">
        <v>0</v>
      </c>
      <c r="I646" s="79">
        <f t="shared" si="499"/>
        <v>0</v>
      </c>
      <c r="J646" s="4">
        <f t="shared" si="500"/>
        <v>0</v>
      </c>
      <c r="K646" s="4">
        <f t="shared" si="506"/>
        <v>0</v>
      </c>
      <c r="L646" s="65" t="e">
        <f t="shared" si="502"/>
        <v>#DIV/0!</v>
      </c>
      <c r="M646" s="66">
        <v>4.6184000000000003</v>
      </c>
      <c r="N646" s="67">
        <f t="shared" si="503"/>
        <v>0</v>
      </c>
      <c r="O646" s="67">
        <f>M646*J646</f>
        <v>0</v>
      </c>
      <c r="P646" s="1003"/>
    </row>
    <row r="647" spans="2:16" x14ac:dyDescent="0.25">
      <c r="B647" s="998"/>
      <c r="C647" s="1001"/>
      <c r="D647" s="61" t="s">
        <v>119</v>
      </c>
      <c r="E647" s="62">
        <v>0</v>
      </c>
      <c r="F647" s="63">
        <f t="shared" si="505"/>
        <v>0</v>
      </c>
      <c r="G647" s="63">
        <v>0</v>
      </c>
      <c r="H647" s="64">
        <v>0</v>
      </c>
      <c r="I647" s="79">
        <f>J647+K647</f>
        <v>0</v>
      </c>
      <c r="J647" s="4">
        <f t="shared" si="500"/>
        <v>0</v>
      </c>
      <c r="K647" s="4">
        <f t="shared" si="506"/>
        <v>0</v>
      </c>
      <c r="L647" s="65" t="e">
        <f t="shared" si="502"/>
        <v>#DIV/0!</v>
      </c>
      <c r="M647" s="153">
        <v>4.6184000000000003</v>
      </c>
      <c r="N647" s="67">
        <f t="shared" si="503"/>
        <v>0</v>
      </c>
      <c r="O647" s="67">
        <f>M647*J647</f>
        <v>0</v>
      </c>
      <c r="P647" s="1003"/>
    </row>
    <row r="648" spans="2:16" x14ac:dyDescent="0.25">
      <c r="B648" s="998"/>
      <c r="C648" s="1001"/>
      <c r="D648" s="61" t="s">
        <v>123</v>
      </c>
      <c r="E648" s="62">
        <v>0</v>
      </c>
      <c r="F648" s="63">
        <f t="shared" si="505"/>
        <v>0</v>
      </c>
      <c r="G648" s="63">
        <v>0</v>
      </c>
      <c r="H648" s="64">
        <v>0</v>
      </c>
      <c r="I648" s="79">
        <f t="shared" ref="I648:I662" si="507">J648+K648</f>
        <v>0</v>
      </c>
      <c r="J648" s="4">
        <f t="shared" si="500"/>
        <v>0</v>
      </c>
      <c r="K648" s="4">
        <f t="shared" si="506"/>
        <v>0</v>
      </c>
      <c r="L648" s="65" t="e">
        <f t="shared" si="502"/>
        <v>#DIV/0!</v>
      </c>
      <c r="M648" s="153">
        <v>4.6184000000000003</v>
      </c>
      <c r="N648" s="67">
        <f t="shared" si="503"/>
        <v>0</v>
      </c>
      <c r="O648" s="67">
        <f t="shared" ref="O648:O653" si="508">M648*J648</f>
        <v>0</v>
      </c>
      <c r="P648" s="1003"/>
    </row>
    <row r="649" spans="2:16" x14ac:dyDescent="0.25">
      <c r="B649" s="998"/>
      <c r="C649" s="1001"/>
      <c r="D649" s="61" t="s">
        <v>124</v>
      </c>
      <c r="E649" s="62">
        <v>0</v>
      </c>
      <c r="F649" s="63">
        <f t="shared" si="505"/>
        <v>21259</v>
      </c>
      <c r="G649" s="63">
        <v>20780</v>
      </c>
      <c r="H649" s="64">
        <v>479</v>
      </c>
      <c r="I649" s="79">
        <f t="shared" si="507"/>
        <v>194059</v>
      </c>
      <c r="J649" s="4">
        <f t="shared" si="500"/>
        <v>188235</v>
      </c>
      <c r="K649" s="4">
        <f t="shared" si="506"/>
        <v>5824</v>
      </c>
      <c r="L649" s="65" t="e">
        <f t="shared" si="502"/>
        <v>#DIV/0!</v>
      </c>
      <c r="M649" s="153">
        <v>4.7636000000000003</v>
      </c>
      <c r="N649" s="67">
        <f t="shared" si="503"/>
        <v>98987.608000000007</v>
      </c>
      <c r="O649" s="67">
        <f t="shared" si="508"/>
        <v>896676.24600000004</v>
      </c>
      <c r="P649" s="1003"/>
    </row>
    <row r="650" spans="2:16" x14ac:dyDescent="0.25">
      <c r="B650" s="998"/>
      <c r="C650" s="1001"/>
      <c r="D650" s="61" t="s">
        <v>83</v>
      </c>
      <c r="E650" s="62">
        <v>0</v>
      </c>
      <c r="F650" s="63">
        <f t="shared" si="505"/>
        <v>0</v>
      </c>
      <c r="G650" s="63">
        <v>0</v>
      </c>
      <c r="H650" s="64">
        <v>0</v>
      </c>
      <c r="I650" s="79">
        <f t="shared" si="507"/>
        <v>0</v>
      </c>
      <c r="J650" s="4">
        <f t="shared" si="500"/>
        <v>0</v>
      </c>
      <c r="K650" s="4">
        <f t="shared" si="506"/>
        <v>0</v>
      </c>
      <c r="L650" s="65" t="e">
        <f t="shared" si="502"/>
        <v>#DIV/0!</v>
      </c>
      <c r="M650" s="66">
        <v>4.8738000000000001</v>
      </c>
      <c r="N650" s="67">
        <f t="shared" si="503"/>
        <v>0</v>
      </c>
      <c r="O650" s="67">
        <f t="shared" si="508"/>
        <v>0</v>
      </c>
      <c r="P650" s="1003"/>
    </row>
    <row r="651" spans="2:16" x14ac:dyDescent="0.25">
      <c r="B651" s="998"/>
      <c r="C651" s="192" t="s">
        <v>128</v>
      </c>
      <c r="D651" s="61" t="s">
        <v>124</v>
      </c>
      <c r="E651" s="62"/>
      <c r="F651" s="63">
        <f t="shared" si="505"/>
        <v>0</v>
      </c>
      <c r="G651" s="63">
        <v>0</v>
      </c>
      <c r="H651" s="64">
        <v>0</v>
      </c>
      <c r="I651" s="79">
        <f t="shared" si="507"/>
        <v>0</v>
      </c>
      <c r="J651" s="4">
        <f t="shared" si="500"/>
        <v>0</v>
      </c>
      <c r="K651" s="4">
        <f t="shared" si="506"/>
        <v>0</v>
      </c>
      <c r="L651" s="65"/>
      <c r="M651" s="66">
        <v>4.8738000000000001</v>
      </c>
      <c r="N651" s="67">
        <f t="shared" si="503"/>
        <v>0</v>
      </c>
      <c r="O651" s="67">
        <f t="shared" si="508"/>
        <v>0</v>
      </c>
      <c r="P651" s="1003"/>
    </row>
    <row r="652" spans="2:16" x14ac:dyDescent="0.25">
      <c r="B652" s="998"/>
      <c r="C652" s="1001" t="s">
        <v>84</v>
      </c>
      <c r="D652" s="61" t="s">
        <v>77</v>
      </c>
      <c r="E652" s="62">
        <v>0</v>
      </c>
      <c r="F652" s="63">
        <f t="shared" si="505"/>
        <v>0</v>
      </c>
      <c r="G652" s="63">
        <v>0</v>
      </c>
      <c r="H652" s="64">
        <v>0</v>
      </c>
      <c r="I652" s="79">
        <f t="shared" si="507"/>
        <v>172858</v>
      </c>
      <c r="J652" s="4">
        <f t="shared" si="500"/>
        <v>170900</v>
      </c>
      <c r="K652" s="4">
        <f t="shared" si="506"/>
        <v>1958</v>
      </c>
      <c r="L652" s="65" t="e">
        <f t="shared" ref="L652:L662" si="509">+J652/E652</f>
        <v>#DIV/0!</v>
      </c>
      <c r="M652" s="66">
        <v>4.9344999999999999</v>
      </c>
      <c r="N652" s="67">
        <f t="shared" si="503"/>
        <v>0</v>
      </c>
      <c r="O652" s="67">
        <f t="shared" si="508"/>
        <v>843306.04999999993</v>
      </c>
      <c r="P652" s="1003"/>
    </row>
    <row r="653" spans="2:16" x14ac:dyDescent="0.25">
      <c r="B653" s="998"/>
      <c r="C653" s="1001"/>
      <c r="D653" s="61" t="s">
        <v>135</v>
      </c>
      <c r="E653" s="62"/>
      <c r="F653" s="63">
        <f t="shared" si="505"/>
        <v>0</v>
      </c>
      <c r="G653" s="63">
        <v>0</v>
      </c>
      <c r="H653" s="64">
        <v>0</v>
      </c>
      <c r="I653" s="79">
        <f t="shared" si="507"/>
        <v>0</v>
      </c>
      <c r="J653" s="4">
        <f t="shared" si="500"/>
        <v>0</v>
      </c>
      <c r="K653" s="4">
        <f t="shared" si="506"/>
        <v>0</v>
      </c>
      <c r="L653" s="65" t="e">
        <f t="shared" si="509"/>
        <v>#DIV/0!</v>
      </c>
      <c r="M653" s="66">
        <v>4.9344999999999999</v>
      </c>
      <c r="N653" s="67">
        <f t="shared" si="503"/>
        <v>0</v>
      </c>
      <c r="O653" s="67">
        <f t="shared" si="508"/>
        <v>0</v>
      </c>
      <c r="P653" s="1003"/>
    </row>
    <row r="654" spans="2:16" x14ac:dyDescent="0.25">
      <c r="B654" s="998"/>
      <c r="C654" s="1001"/>
      <c r="D654" s="61" t="s">
        <v>129</v>
      </c>
      <c r="E654" s="62">
        <v>0</v>
      </c>
      <c r="F654" s="63">
        <f t="shared" si="505"/>
        <v>0</v>
      </c>
      <c r="G654" s="155">
        <v>0</v>
      </c>
      <c r="H654" s="156">
        <v>0</v>
      </c>
      <c r="I654" s="157">
        <f t="shared" si="507"/>
        <v>0</v>
      </c>
      <c r="J654" s="4">
        <f t="shared" si="500"/>
        <v>0</v>
      </c>
      <c r="K654" s="4">
        <f t="shared" si="506"/>
        <v>0</v>
      </c>
      <c r="L654" s="158" t="e">
        <f t="shared" si="509"/>
        <v>#DIV/0!</v>
      </c>
      <c r="M654" s="66">
        <v>4.9344999999999999</v>
      </c>
      <c r="N654" s="159">
        <f t="shared" si="503"/>
        <v>0</v>
      </c>
      <c r="O654" s="67">
        <f>M654*J654</f>
        <v>0</v>
      </c>
      <c r="P654" s="1003"/>
    </row>
    <row r="655" spans="2:16" x14ac:dyDescent="0.25">
      <c r="B655" s="998"/>
      <c r="C655" s="1001" t="s">
        <v>85</v>
      </c>
      <c r="D655" s="61" t="s">
        <v>77</v>
      </c>
      <c r="E655" s="62">
        <v>0</v>
      </c>
      <c r="F655" s="63">
        <f t="shared" si="505"/>
        <v>0</v>
      </c>
      <c r="G655" s="63">
        <v>0</v>
      </c>
      <c r="H655" s="64">
        <v>0</v>
      </c>
      <c r="I655" s="79">
        <f t="shared" si="507"/>
        <v>138276</v>
      </c>
      <c r="J655" s="4">
        <f t="shared" si="500"/>
        <v>130950</v>
      </c>
      <c r="K655" s="4">
        <f t="shared" si="506"/>
        <v>7326</v>
      </c>
      <c r="L655" s="65" t="e">
        <f t="shared" si="509"/>
        <v>#DIV/0!</v>
      </c>
      <c r="M655" s="148">
        <v>5.5069999999999997</v>
      </c>
      <c r="N655" s="67">
        <f t="shared" si="503"/>
        <v>0</v>
      </c>
      <c r="O655" s="67">
        <f>M655*J655</f>
        <v>721141.64999999991</v>
      </c>
      <c r="P655" s="1003"/>
    </row>
    <row r="656" spans="2:16" x14ac:dyDescent="0.25">
      <c r="B656" s="998"/>
      <c r="C656" s="1001"/>
      <c r="D656" s="61" t="s">
        <v>112</v>
      </c>
      <c r="E656" s="62">
        <v>0</v>
      </c>
      <c r="F656" s="63">
        <f t="shared" si="505"/>
        <v>5339</v>
      </c>
      <c r="G656" s="63">
        <v>4850</v>
      </c>
      <c r="H656" s="64">
        <v>489</v>
      </c>
      <c r="I656" s="79">
        <f t="shared" si="507"/>
        <v>31178</v>
      </c>
      <c r="J656" s="4">
        <f t="shared" si="500"/>
        <v>30150</v>
      </c>
      <c r="K656" s="4">
        <f t="shared" si="506"/>
        <v>1028</v>
      </c>
      <c r="L656" s="65" t="e">
        <f t="shared" si="509"/>
        <v>#DIV/0!</v>
      </c>
      <c r="M656" s="147">
        <v>5.6550000000000002</v>
      </c>
      <c r="N656" s="67">
        <f t="shared" si="503"/>
        <v>27426.75</v>
      </c>
      <c r="O656" s="67">
        <f>M656*J656</f>
        <v>170498.25</v>
      </c>
      <c r="P656" s="1003"/>
    </row>
    <row r="657" spans="2:16" x14ac:dyDescent="0.25">
      <c r="B657" s="998"/>
      <c r="C657" s="1001"/>
      <c r="D657" s="61" t="s">
        <v>118</v>
      </c>
      <c r="E657" s="62">
        <v>0</v>
      </c>
      <c r="F657" s="63">
        <f t="shared" si="505"/>
        <v>0</v>
      </c>
      <c r="G657" s="63">
        <v>0</v>
      </c>
      <c r="H657" s="64">
        <v>0</v>
      </c>
      <c r="I657" s="79">
        <f t="shared" si="507"/>
        <v>0</v>
      </c>
      <c r="J657" s="4">
        <f t="shared" si="500"/>
        <v>0</v>
      </c>
      <c r="K657" s="4">
        <f t="shared" si="506"/>
        <v>0</v>
      </c>
      <c r="L657" s="65" t="e">
        <f t="shared" si="509"/>
        <v>#DIV/0!</v>
      </c>
      <c r="M657" s="152">
        <v>5.6550000000000002</v>
      </c>
      <c r="N657" s="67">
        <f t="shared" si="503"/>
        <v>0</v>
      </c>
      <c r="O657" s="67">
        <f>M657*J657</f>
        <v>0</v>
      </c>
      <c r="P657" s="1003"/>
    </row>
    <row r="658" spans="2:16" x14ac:dyDescent="0.25">
      <c r="B658" s="998"/>
      <c r="C658" s="1001"/>
      <c r="D658" s="61" t="s">
        <v>121</v>
      </c>
      <c r="E658" s="62">
        <v>0</v>
      </c>
      <c r="F658" s="63">
        <f t="shared" si="505"/>
        <v>11660</v>
      </c>
      <c r="G658" s="63">
        <v>11610</v>
      </c>
      <c r="H658" s="64">
        <v>50</v>
      </c>
      <c r="I658" s="79">
        <f t="shared" si="507"/>
        <v>28324</v>
      </c>
      <c r="J658" s="4">
        <f t="shared" si="500"/>
        <v>26710</v>
      </c>
      <c r="K658" s="4">
        <f t="shared" si="506"/>
        <v>1614</v>
      </c>
      <c r="L658" s="65" t="e">
        <f t="shared" si="509"/>
        <v>#DIV/0!</v>
      </c>
      <c r="M658" s="66">
        <v>5.7885299999999997</v>
      </c>
      <c r="N658" s="67">
        <f>+M658*G658</f>
        <v>67204.833299999998</v>
      </c>
      <c r="O658" s="67">
        <f>M658*J658</f>
        <v>154611.63629999998</v>
      </c>
      <c r="P658" s="1003"/>
    </row>
    <row r="659" spans="2:16" x14ac:dyDescent="0.25">
      <c r="B659" s="998"/>
      <c r="C659" s="1001"/>
      <c r="D659" s="61" t="s">
        <v>136</v>
      </c>
      <c r="E659" s="62">
        <v>0</v>
      </c>
      <c r="F659" s="63">
        <f t="shared" si="505"/>
        <v>0</v>
      </c>
      <c r="G659" s="63">
        <v>0</v>
      </c>
      <c r="H659" s="64">
        <v>0</v>
      </c>
      <c r="I659" s="79">
        <f t="shared" si="507"/>
        <v>0</v>
      </c>
      <c r="J659" s="4">
        <f t="shared" si="500"/>
        <v>0</v>
      </c>
      <c r="K659" s="4">
        <f t="shared" si="506"/>
        <v>0</v>
      </c>
      <c r="L659" s="65" t="e">
        <f t="shared" si="509"/>
        <v>#DIV/0!</v>
      </c>
      <c r="M659" s="152">
        <v>5.6550000000000002</v>
      </c>
      <c r="N659" s="67">
        <f t="shared" ref="N659:N661" si="510">+M659*G659</f>
        <v>0</v>
      </c>
      <c r="O659" s="67">
        <f t="shared" ref="O659:O662" si="511">M659*J659</f>
        <v>0</v>
      </c>
      <c r="P659" s="1003"/>
    </row>
    <row r="660" spans="2:16" x14ac:dyDescent="0.25">
      <c r="B660" s="998"/>
      <c r="C660" s="192" t="s">
        <v>86</v>
      </c>
      <c r="D660" s="61" t="s">
        <v>77</v>
      </c>
      <c r="E660" s="62">
        <v>0</v>
      </c>
      <c r="F660" s="63">
        <f t="shared" si="505"/>
        <v>0</v>
      </c>
      <c r="G660" s="63">
        <v>0</v>
      </c>
      <c r="H660" s="64">
        <v>0</v>
      </c>
      <c r="I660" s="79">
        <f t="shared" si="507"/>
        <v>0</v>
      </c>
      <c r="J660" s="4">
        <f t="shared" si="500"/>
        <v>0</v>
      </c>
      <c r="K660" s="4">
        <f t="shared" si="506"/>
        <v>0</v>
      </c>
      <c r="L660" s="65" t="e">
        <f t="shared" si="509"/>
        <v>#DIV/0!</v>
      </c>
      <c r="M660" s="66">
        <v>3.2963</v>
      </c>
      <c r="N660" s="67">
        <f t="shared" si="510"/>
        <v>0</v>
      </c>
      <c r="O660" s="67">
        <f t="shared" si="511"/>
        <v>0</v>
      </c>
      <c r="P660" s="1003"/>
    </row>
    <row r="661" spans="2:16" x14ac:dyDescent="0.25">
      <c r="B661" s="998"/>
      <c r="C661" s="192" t="s">
        <v>87</v>
      </c>
      <c r="D661" s="61" t="s">
        <v>77</v>
      </c>
      <c r="E661" s="62">
        <v>0</v>
      </c>
      <c r="F661" s="63">
        <f t="shared" si="505"/>
        <v>0</v>
      </c>
      <c r="G661" s="63">
        <v>0</v>
      </c>
      <c r="H661" s="64">
        <v>0</v>
      </c>
      <c r="I661" s="79">
        <f t="shared" si="507"/>
        <v>0</v>
      </c>
      <c r="J661" s="4">
        <f t="shared" si="500"/>
        <v>0</v>
      </c>
      <c r="K661" s="4">
        <f t="shared" si="506"/>
        <v>0</v>
      </c>
      <c r="L661" s="65" t="e">
        <f t="shared" si="509"/>
        <v>#DIV/0!</v>
      </c>
      <c r="M661" s="66">
        <v>3.2963</v>
      </c>
      <c r="N661" s="67">
        <f t="shared" si="510"/>
        <v>0</v>
      </c>
      <c r="O661" s="67">
        <f t="shared" si="511"/>
        <v>0</v>
      </c>
      <c r="P661" s="1003"/>
    </row>
    <row r="662" spans="2:16" ht="15.75" thickBot="1" x14ac:dyDescent="0.3">
      <c r="B662" s="998"/>
      <c r="C662" s="68" t="s">
        <v>88</v>
      </c>
      <c r="D662" s="69" t="s">
        <v>89</v>
      </c>
      <c r="E662" s="70">
        <v>0</v>
      </c>
      <c r="F662" s="71">
        <f t="shared" si="505"/>
        <v>0</v>
      </c>
      <c r="G662" s="71">
        <v>0</v>
      </c>
      <c r="H662" s="72">
        <v>0</v>
      </c>
      <c r="I662" s="80">
        <f t="shared" si="507"/>
        <v>65030</v>
      </c>
      <c r="J662" s="4">
        <f t="shared" si="500"/>
        <v>65000</v>
      </c>
      <c r="K662" s="4">
        <f t="shared" si="506"/>
        <v>30</v>
      </c>
      <c r="L662" s="65" t="e">
        <f t="shared" si="509"/>
        <v>#DIV/0!</v>
      </c>
      <c r="M662" s="73">
        <v>2.3201000000000001</v>
      </c>
      <c r="N662" s="74">
        <f t="shared" ref="N662" si="512">M662*G662</f>
        <v>0</v>
      </c>
      <c r="O662" s="74">
        <f t="shared" si="511"/>
        <v>150806.5</v>
      </c>
      <c r="P662" s="1004"/>
    </row>
    <row r="663" spans="2:16" ht="15.75" thickBot="1" x14ac:dyDescent="0.3">
      <c r="B663" s="999"/>
      <c r="C663" s="1007" t="s">
        <v>99</v>
      </c>
      <c r="D663" s="1008"/>
      <c r="E663" s="1008"/>
      <c r="F663" s="1008"/>
      <c r="G663" s="1008"/>
      <c r="H663" s="1009"/>
      <c r="I663" s="116">
        <f>J663+K663</f>
        <v>729377</v>
      </c>
      <c r="J663" s="115">
        <f>SUM(J635:J662)</f>
        <v>709540</v>
      </c>
      <c r="K663" s="115">
        <f>SUM(K635:K662)</f>
        <v>19837</v>
      </c>
      <c r="L663" s="114"/>
      <c r="M663" s="113"/>
      <c r="N663" s="114"/>
      <c r="O663" s="97">
        <f>SUM(O635:O662)</f>
        <v>6144755.7802999998</v>
      </c>
      <c r="P663" s="96"/>
    </row>
    <row r="664" spans="2:16" ht="15.75" thickBot="1" x14ac:dyDescent="0.3">
      <c r="B664" s="100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2"/>
    </row>
    <row r="665" spans="2:16" ht="15.75" thickBot="1" x14ac:dyDescent="0.3">
      <c r="B665" s="992" t="s">
        <v>100</v>
      </c>
      <c r="C665" s="993"/>
      <c r="D665" s="993"/>
      <c r="E665" s="993"/>
      <c r="F665" s="993"/>
      <c r="G665" s="993"/>
      <c r="H665" s="993"/>
      <c r="I665" s="993"/>
      <c r="J665" s="993"/>
      <c r="K665" s="993"/>
      <c r="L665" s="993"/>
      <c r="M665" s="993"/>
      <c r="N665" s="994"/>
      <c r="O665" s="103">
        <f>+O663+O634+O619</f>
        <v>13256196.440299999</v>
      </c>
      <c r="P665" s="96"/>
    </row>
    <row r="666" spans="2:16" ht="15.75" thickBot="1" x14ac:dyDescent="0.3"/>
    <row r="667" spans="2:16" x14ac:dyDescent="0.25">
      <c r="B667" s="1026" t="s">
        <v>1</v>
      </c>
      <c r="C667" s="1028" t="s">
        <v>2</v>
      </c>
      <c r="D667" s="1031" t="s">
        <v>3</v>
      </c>
      <c r="E667" s="1034" t="s">
        <v>4</v>
      </c>
      <c r="F667" s="1035"/>
      <c r="G667" s="1035"/>
      <c r="H667" s="1035"/>
      <c r="I667" s="1035"/>
      <c r="J667" s="1035"/>
      <c r="K667" s="1035"/>
      <c r="L667" s="1036"/>
      <c r="M667" s="1037" t="s">
        <v>5</v>
      </c>
      <c r="N667" s="1038"/>
      <c r="O667" s="1039"/>
      <c r="P667" s="1031" t="s">
        <v>6</v>
      </c>
    </row>
    <row r="668" spans="2:16" x14ac:dyDescent="0.25">
      <c r="B668" s="1027"/>
      <c r="C668" s="1029"/>
      <c r="D668" s="1032"/>
      <c r="E668" s="1040" t="s">
        <v>7</v>
      </c>
      <c r="F668" s="1042" t="s">
        <v>150</v>
      </c>
      <c r="G668" s="1042"/>
      <c r="H668" s="1043"/>
      <c r="I668" s="1044" t="s">
        <v>8</v>
      </c>
      <c r="J668" s="1042"/>
      <c r="K668" s="1042"/>
      <c r="L668" s="1043" t="s">
        <v>9</v>
      </c>
      <c r="M668" s="1046" t="s">
        <v>10</v>
      </c>
      <c r="N668" s="1048" t="s">
        <v>11</v>
      </c>
      <c r="O668" s="1050" t="s">
        <v>12</v>
      </c>
      <c r="P668" s="1032"/>
    </row>
    <row r="669" spans="2:16" ht="15.75" thickBot="1" x14ac:dyDescent="0.3">
      <c r="B669" s="1027"/>
      <c r="C669" s="1030"/>
      <c r="D669" s="1033"/>
      <c r="E669" s="1041"/>
      <c r="F669" s="2" t="s">
        <v>13</v>
      </c>
      <c r="G669" s="2" t="s">
        <v>14</v>
      </c>
      <c r="H669" s="199" t="s">
        <v>15</v>
      </c>
      <c r="I669" s="142" t="s">
        <v>13</v>
      </c>
      <c r="J669" s="2" t="s">
        <v>14</v>
      </c>
      <c r="K669" s="2" t="s">
        <v>15</v>
      </c>
      <c r="L669" s="1045"/>
      <c r="M669" s="1047"/>
      <c r="N669" s="1049"/>
      <c r="O669" s="1051"/>
      <c r="P669" s="1033"/>
    </row>
    <row r="670" spans="2:16" x14ac:dyDescent="0.25">
      <c r="B670" s="1010" t="s">
        <v>53</v>
      </c>
      <c r="C670" s="29"/>
      <c r="D670" s="117" t="s">
        <v>143</v>
      </c>
      <c r="E670" s="98">
        <v>0</v>
      </c>
      <c r="F670" s="4">
        <f>+G670+H670</f>
        <v>0</v>
      </c>
      <c r="G670" s="4">
        <v>0</v>
      </c>
      <c r="H670" s="8">
        <v>0</v>
      </c>
      <c r="I670" s="6">
        <f>J670+K670</f>
        <v>285266</v>
      </c>
      <c r="J670" s="4">
        <f>G670+J605</f>
        <v>280000</v>
      </c>
      <c r="K670" s="4">
        <f>H670+K605</f>
        <v>5266</v>
      </c>
      <c r="L670" s="33" t="e">
        <f>+J670/E670</f>
        <v>#DIV/0!</v>
      </c>
      <c r="M670" s="104">
        <v>1.3652</v>
      </c>
      <c r="N670" s="31">
        <f>G670*M670</f>
        <v>0</v>
      </c>
      <c r="O670" s="86">
        <f>M670*J670</f>
        <v>382256</v>
      </c>
      <c r="P670" s="1012"/>
    </row>
    <row r="671" spans="2:16" x14ac:dyDescent="0.25">
      <c r="B671" s="1011"/>
      <c r="C671" s="32"/>
      <c r="D671" s="118" t="s">
        <v>109</v>
      </c>
      <c r="E671" s="99">
        <v>0</v>
      </c>
      <c r="F671" s="9">
        <f>+G671+H671</f>
        <v>0</v>
      </c>
      <c r="G671" s="9">
        <v>0</v>
      </c>
      <c r="H671" s="10">
        <v>0</v>
      </c>
      <c r="I671" s="6">
        <f>J671+K671</f>
        <v>0</v>
      </c>
      <c r="J671" s="4">
        <f>+G671+J606</f>
        <v>0</v>
      </c>
      <c r="K671" s="4">
        <f>+H671+K606</f>
        <v>0</v>
      </c>
      <c r="L671" s="33"/>
      <c r="M671" s="105">
        <v>5.9917999999999996</v>
      </c>
      <c r="N671" s="34">
        <f>M671*G671</f>
        <v>0</v>
      </c>
      <c r="O671" s="87">
        <f>M671*J671</f>
        <v>0</v>
      </c>
      <c r="P671" s="1013"/>
    </row>
    <row r="672" spans="2:16" x14ac:dyDescent="0.25">
      <c r="B672" s="1011"/>
      <c r="C672" s="35"/>
      <c r="D672" s="119" t="s">
        <v>55</v>
      </c>
      <c r="E672" s="99">
        <v>0</v>
      </c>
      <c r="F672" s="9">
        <f t="shared" ref="F672:F676" si="513">+G672+H672</f>
        <v>231715</v>
      </c>
      <c r="G672" s="9">
        <v>230000</v>
      </c>
      <c r="H672" s="10">
        <v>1715</v>
      </c>
      <c r="I672" s="6">
        <f t="shared" ref="I672:I676" si="514">J672+K672</f>
        <v>2031506</v>
      </c>
      <c r="J672" s="4">
        <f t="shared" ref="J672:J676" si="515">+G672+J607</f>
        <v>2015750</v>
      </c>
      <c r="K672" s="4">
        <f t="shared" ref="K672:K676" si="516">+H672+K607</f>
        <v>15756</v>
      </c>
      <c r="L672" s="33" t="e">
        <f t="shared" ref="L672" si="517">+J672/E672</f>
        <v>#DIV/0!</v>
      </c>
      <c r="M672" s="106">
        <v>2.3807999999999998</v>
      </c>
      <c r="N672" s="36">
        <f>G672*M672</f>
        <v>547584</v>
      </c>
      <c r="O672" s="88">
        <f>M672*J672</f>
        <v>4799097.5999999996</v>
      </c>
      <c r="P672" s="1013"/>
    </row>
    <row r="673" spans="2:16" x14ac:dyDescent="0.25">
      <c r="B673" s="1011"/>
      <c r="C673" s="35"/>
      <c r="D673" s="119" t="s">
        <v>56</v>
      </c>
      <c r="E673" s="99">
        <v>0</v>
      </c>
      <c r="F673" s="9">
        <f t="shared" si="513"/>
        <v>0</v>
      </c>
      <c r="G673" s="9">
        <v>0</v>
      </c>
      <c r="H673" s="10">
        <v>0</v>
      </c>
      <c r="I673" s="6">
        <f t="shared" si="514"/>
        <v>0</v>
      </c>
      <c r="J673" s="4">
        <f t="shared" si="515"/>
        <v>0</v>
      </c>
      <c r="K673" s="4">
        <f t="shared" si="516"/>
        <v>0</v>
      </c>
      <c r="L673" s="33"/>
      <c r="M673" s="106">
        <v>2.1457999999999999</v>
      </c>
      <c r="N673" s="36">
        <f t="shared" ref="N673:N676" si="518">G673*M673</f>
        <v>0</v>
      </c>
      <c r="O673" s="88">
        <f>M673*J673</f>
        <v>0</v>
      </c>
      <c r="P673" s="1013"/>
    </row>
    <row r="674" spans="2:16" x14ac:dyDescent="0.25">
      <c r="B674" s="1011"/>
      <c r="C674" s="35"/>
      <c r="D674" s="119" t="s">
        <v>106</v>
      </c>
      <c r="E674" s="99">
        <v>0</v>
      </c>
      <c r="F674" s="9">
        <f t="shared" si="513"/>
        <v>0</v>
      </c>
      <c r="G674" s="9">
        <v>0</v>
      </c>
      <c r="H674" s="10">
        <v>0</v>
      </c>
      <c r="I674" s="6">
        <f t="shared" si="514"/>
        <v>0</v>
      </c>
      <c r="J674" s="4">
        <f t="shared" si="515"/>
        <v>0</v>
      </c>
      <c r="K674" s="4">
        <f t="shared" si="516"/>
        <v>0</v>
      </c>
      <c r="L674" s="33" t="e">
        <f t="shared" ref="L674:L675" si="519">+J674/E674</f>
        <v>#DIV/0!</v>
      </c>
      <c r="M674" s="143">
        <v>4.0426000000000002</v>
      </c>
      <c r="N674" s="36">
        <f t="shared" si="518"/>
        <v>0</v>
      </c>
      <c r="O674" s="88">
        <f>M674*J674</f>
        <v>0</v>
      </c>
      <c r="P674" s="1013"/>
    </row>
    <row r="675" spans="2:16" x14ac:dyDescent="0.25">
      <c r="B675" s="1011"/>
      <c r="C675" s="35"/>
      <c r="D675" s="119" t="s">
        <v>110</v>
      </c>
      <c r="E675" s="99">
        <v>0</v>
      </c>
      <c r="F675" s="9">
        <f t="shared" si="513"/>
        <v>0</v>
      </c>
      <c r="G675" s="9">
        <v>0</v>
      </c>
      <c r="H675" s="10">
        <v>0</v>
      </c>
      <c r="I675" s="6">
        <f t="shared" si="514"/>
        <v>0</v>
      </c>
      <c r="J675" s="4">
        <f t="shared" si="515"/>
        <v>0</v>
      </c>
      <c r="K675" s="4">
        <f t="shared" si="516"/>
        <v>0</v>
      </c>
      <c r="L675" s="33" t="e">
        <f t="shared" si="519"/>
        <v>#DIV/0!</v>
      </c>
      <c r="M675" s="143">
        <v>3.8715000000000002</v>
      </c>
      <c r="N675" s="36">
        <f t="shared" si="518"/>
        <v>0</v>
      </c>
      <c r="O675" s="88">
        <f t="shared" ref="O675:O676" si="520">M675*J675</f>
        <v>0</v>
      </c>
      <c r="P675" s="1013"/>
    </row>
    <row r="676" spans="2:16" ht="15.75" thickBot="1" x14ac:dyDescent="0.3">
      <c r="B676" s="1011"/>
      <c r="C676" s="82"/>
      <c r="D676" s="120" t="s">
        <v>57</v>
      </c>
      <c r="E676" s="108">
        <v>0</v>
      </c>
      <c r="F676" s="12">
        <f t="shared" si="513"/>
        <v>0</v>
      </c>
      <c r="G676" s="12">
        <v>0</v>
      </c>
      <c r="H676" s="13">
        <v>0</v>
      </c>
      <c r="I676" s="21">
        <f t="shared" si="514"/>
        <v>0</v>
      </c>
      <c r="J676" s="4">
        <f t="shared" si="515"/>
        <v>0</v>
      </c>
      <c r="K676" s="4">
        <f t="shared" si="516"/>
        <v>0</v>
      </c>
      <c r="L676" s="81"/>
      <c r="M676" s="127">
        <v>12.284700000000001</v>
      </c>
      <c r="N676" s="36">
        <f t="shared" si="518"/>
        <v>0</v>
      </c>
      <c r="O676" s="128">
        <f t="shared" si="520"/>
        <v>0</v>
      </c>
      <c r="P676" s="1013"/>
    </row>
    <row r="677" spans="2:16" ht="15.75" thickBot="1" x14ac:dyDescent="0.3">
      <c r="B677" s="1011"/>
      <c r="C677" s="1016" t="s">
        <v>104</v>
      </c>
      <c r="D677" s="1017"/>
      <c r="E677" s="129"/>
      <c r="F677" s="130">
        <f>SUM(F670:F676)</f>
        <v>231715</v>
      </c>
      <c r="G677" s="130">
        <f>SUM(G670:G676)</f>
        <v>230000</v>
      </c>
      <c r="H677" s="131">
        <f>SUM(H670:H676)</f>
        <v>1715</v>
      </c>
      <c r="I677" s="132">
        <f>+J677+K677</f>
        <v>2316772</v>
      </c>
      <c r="J677" s="133">
        <f>SUM(J670:J676)</f>
        <v>2295750</v>
      </c>
      <c r="K677" s="133">
        <f>SUM(K670:K676)</f>
        <v>21022</v>
      </c>
      <c r="L677" s="134"/>
      <c r="M677" s="135"/>
      <c r="N677" s="136"/>
      <c r="O677" s="137">
        <f>SUM(O670:O676)</f>
        <v>5181353.5999999996</v>
      </c>
      <c r="P677" s="1014"/>
    </row>
    <row r="678" spans="2:16" x14ac:dyDescent="0.25">
      <c r="B678" s="1011"/>
      <c r="C678" s="32"/>
      <c r="D678" s="118" t="s">
        <v>58</v>
      </c>
      <c r="E678" s="98">
        <v>0</v>
      </c>
      <c r="F678" s="4">
        <f t="shared" ref="F678:F681" si="521">+G678+H678</f>
        <v>0</v>
      </c>
      <c r="G678" s="4">
        <v>0</v>
      </c>
      <c r="H678" s="8">
        <v>0</v>
      </c>
      <c r="I678" s="6">
        <f t="shared" ref="I678:I682" si="522">J678+K678</f>
        <v>0</v>
      </c>
      <c r="J678" s="4">
        <f>G678+J613</f>
        <v>0</v>
      </c>
      <c r="K678" s="4">
        <f>H678+K613</f>
        <v>0</v>
      </c>
      <c r="L678" s="33" t="e">
        <f t="shared" ref="L678" si="523">+J678/E678</f>
        <v>#DIV/0!</v>
      </c>
      <c r="M678" s="105">
        <v>12.029500000000001</v>
      </c>
      <c r="N678" s="34">
        <f>M678*G678</f>
        <v>0</v>
      </c>
      <c r="O678" s="87">
        <f t="shared" ref="O678:O680" si="524">M678*J678</f>
        <v>0</v>
      </c>
      <c r="P678" s="1013"/>
    </row>
    <row r="679" spans="2:16" x14ac:dyDescent="0.25">
      <c r="B679" s="1011"/>
      <c r="C679" s="35"/>
      <c r="D679" s="119" t="s">
        <v>59</v>
      </c>
      <c r="E679" s="99">
        <v>0</v>
      </c>
      <c r="F679" s="9">
        <f t="shared" si="521"/>
        <v>0</v>
      </c>
      <c r="G679" s="9">
        <v>0</v>
      </c>
      <c r="H679" s="10">
        <v>0</v>
      </c>
      <c r="I679" s="6">
        <f t="shared" si="522"/>
        <v>0</v>
      </c>
      <c r="J679" s="4">
        <f>G679+J614</f>
        <v>0</v>
      </c>
      <c r="K679" s="4">
        <f>H679+K614</f>
        <v>0</v>
      </c>
      <c r="L679" s="33"/>
      <c r="M679" s="106">
        <v>0</v>
      </c>
      <c r="N679" s="36"/>
      <c r="O679" s="88">
        <f t="shared" si="524"/>
        <v>0</v>
      </c>
      <c r="P679" s="1013"/>
    </row>
    <row r="680" spans="2:16" x14ac:dyDescent="0.25">
      <c r="B680" s="1011"/>
      <c r="C680" s="35"/>
      <c r="D680" s="119" t="s">
        <v>97</v>
      </c>
      <c r="E680" s="99">
        <v>0</v>
      </c>
      <c r="F680" s="9">
        <f t="shared" si="521"/>
        <v>0</v>
      </c>
      <c r="G680" s="9">
        <v>0</v>
      </c>
      <c r="H680" s="10">
        <v>0</v>
      </c>
      <c r="I680" s="6">
        <f t="shared" si="522"/>
        <v>0</v>
      </c>
      <c r="J680" s="4">
        <f t="shared" ref="J680:J682" si="525">G680+J615</f>
        <v>0</v>
      </c>
      <c r="K680" s="4">
        <f t="shared" ref="K680:K682" si="526">H680+K615</f>
        <v>0</v>
      </c>
      <c r="L680" s="33" t="e">
        <f t="shared" ref="L680:L682" si="527">+J680/E680</f>
        <v>#DIV/0!</v>
      </c>
      <c r="M680" s="106">
        <v>19.688600000000001</v>
      </c>
      <c r="N680" s="36">
        <f>M680*G680</f>
        <v>0</v>
      </c>
      <c r="O680" s="88">
        <f t="shared" si="524"/>
        <v>0</v>
      </c>
      <c r="P680" s="1013"/>
    </row>
    <row r="681" spans="2:16" x14ac:dyDescent="0.25">
      <c r="B681" s="1011"/>
      <c r="C681" s="35"/>
      <c r="D681" s="119" t="s">
        <v>61</v>
      </c>
      <c r="E681" s="99">
        <v>0</v>
      </c>
      <c r="F681" s="9">
        <f t="shared" si="521"/>
        <v>0</v>
      </c>
      <c r="G681" s="9">
        <v>0</v>
      </c>
      <c r="H681" s="10">
        <v>0</v>
      </c>
      <c r="I681" s="6">
        <f t="shared" si="522"/>
        <v>0</v>
      </c>
      <c r="J681" s="4">
        <f t="shared" si="525"/>
        <v>0</v>
      </c>
      <c r="K681" s="4">
        <f t="shared" si="526"/>
        <v>0</v>
      </c>
      <c r="L681" s="33" t="e">
        <f t="shared" si="527"/>
        <v>#DIV/0!</v>
      </c>
      <c r="M681" s="106">
        <v>1.2824</v>
      </c>
      <c r="N681" s="151">
        <f>M681*G681</f>
        <v>0</v>
      </c>
      <c r="O681" s="88">
        <f>M681*J681</f>
        <v>0</v>
      </c>
      <c r="P681" s="1013"/>
    </row>
    <row r="682" spans="2:16" ht="15.75" thickBot="1" x14ac:dyDescent="0.3">
      <c r="B682" s="1011"/>
      <c r="C682" s="82"/>
      <c r="D682" s="120" t="s">
        <v>60</v>
      </c>
      <c r="E682" s="108">
        <v>0</v>
      </c>
      <c r="F682" s="12">
        <v>0</v>
      </c>
      <c r="G682" s="12">
        <v>12960</v>
      </c>
      <c r="H682" s="13">
        <v>212</v>
      </c>
      <c r="I682" s="21">
        <f t="shared" si="522"/>
        <v>34946</v>
      </c>
      <c r="J682" s="4">
        <f t="shared" si="525"/>
        <v>34560</v>
      </c>
      <c r="K682" s="4">
        <f t="shared" si="526"/>
        <v>386</v>
      </c>
      <c r="L682" s="81" t="e">
        <f t="shared" si="527"/>
        <v>#DIV/0!</v>
      </c>
      <c r="M682" s="107">
        <v>18.2316</v>
      </c>
      <c r="N682" s="75"/>
      <c r="O682" s="89">
        <f t="shared" ref="O682" si="528">M682*J682</f>
        <v>630084.09600000002</v>
      </c>
      <c r="P682" s="1015"/>
    </row>
    <row r="683" spans="2:16" ht="15.75" thickBot="1" x14ac:dyDescent="0.3">
      <c r="B683" s="995" t="s">
        <v>105</v>
      </c>
      <c r="C683" s="996"/>
      <c r="D683" s="996"/>
      <c r="E683" s="124"/>
      <c r="F683" s="125">
        <f>+G683+H683</f>
        <v>13172</v>
      </c>
      <c r="G683" s="125">
        <f>SUM(G678:G682)</f>
        <v>12960</v>
      </c>
      <c r="H683" s="126">
        <f>SUM(H678:H682)</f>
        <v>212</v>
      </c>
      <c r="I683" s="121">
        <f>J683+K683</f>
        <v>34946</v>
      </c>
      <c r="J683" s="122">
        <f>SUM(J678:J682)</f>
        <v>34560</v>
      </c>
      <c r="K683" s="123">
        <f>SUM(K678:K682)</f>
        <v>386</v>
      </c>
      <c r="L683" s="138"/>
      <c r="M683" s="139"/>
      <c r="N683" s="140"/>
      <c r="O683" s="141">
        <f>SUM(O678:O682)</f>
        <v>630084.09600000002</v>
      </c>
      <c r="P683" s="197"/>
    </row>
    <row r="684" spans="2:16" ht="15.75" thickBot="1" x14ac:dyDescent="0.3">
      <c r="B684" s="995" t="s">
        <v>98</v>
      </c>
      <c r="C684" s="996"/>
      <c r="D684" s="996"/>
      <c r="E684" s="1018"/>
      <c r="F684" s="1018"/>
      <c r="G684" s="1018"/>
      <c r="H684" s="1018"/>
      <c r="I684" s="996"/>
      <c r="J684" s="996"/>
      <c r="K684" s="996"/>
      <c r="L684" s="996"/>
      <c r="M684" s="996"/>
      <c r="N684" s="1019"/>
      <c r="O684" s="83">
        <f>O677+O683</f>
        <v>5811437.6959999995</v>
      </c>
      <c r="P684" s="197"/>
    </row>
    <row r="685" spans="2:16" x14ac:dyDescent="0.25">
      <c r="B685" s="1010" t="s">
        <v>62</v>
      </c>
      <c r="C685" s="37" t="s">
        <v>63</v>
      </c>
      <c r="D685" s="28" t="s">
        <v>64</v>
      </c>
      <c r="E685" s="38">
        <v>0</v>
      </c>
      <c r="F685" s="14">
        <f>+G685+H685</f>
        <v>0</v>
      </c>
      <c r="G685" s="14">
        <v>0</v>
      </c>
      <c r="H685" s="5">
        <v>0</v>
      </c>
      <c r="I685" s="17">
        <f t="shared" ref="I685:I691" si="529">J685+K685</f>
        <v>0</v>
      </c>
      <c r="J685" s="4">
        <f>G685+J620</f>
        <v>0</v>
      </c>
      <c r="K685" s="4">
        <f>H685+K620</f>
        <v>0</v>
      </c>
      <c r="L685" s="30" t="e">
        <f>+J685/E685</f>
        <v>#DIV/0!</v>
      </c>
      <c r="M685" s="146">
        <v>2.2141000000000002</v>
      </c>
      <c r="N685" s="15">
        <f>+M685*G685</f>
        <v>0</v>
      </c>
      <c r="O685" s="90">
        <f>+M685*J685</f>
        <v>0</v>
      </c>
      <c r="P685" s="1021"/>
    </row>
    <row r="686" spans="2:16" x14ac:dyDescent="0.25">
      <c r="B686" s="1011"/>
      <c r="C686" s="39"/>
      <c r="D686" s="22" t="s">
        <v>65</v>
      </c>
      <c r="E686" s="3">
        <v>0</v>
      </c>
      <c r="F686" s="9">
        <f t="shared" ref="F686:F691" si="530">+G686+H686</f>
        <v>0</v>
      </c>
      <c r="G686" s="4">
        <v>0</v>
      </c>
      <c r="H686" s="8">
        <v>0</v>
      </c>
      <c r="I686" s="6">
        <f t="shared" si="529"/>
        <v>0</v>
      </c>
      <c r="J686" s="4">
        <f>+G686+J621</f>
        <v>0</v>
      </c>
      <c r="K686" s="4">
        <f>+H686+K621</f>
        <v>0</v>
      </c>
      <c r="L686" s="40" t="e">
        <f t="shared" ref="L686:L687" si="531">+J686/E686</f>
        <v>#DIV/0!</v>
      </c>
      <c r="M686" s="145">
        <v>2.4565999999999999</v>
      </c>
      <c r="N686" s="11">
        <f t="shared" ref="N686:N688" si="532">+M686*G686</f>
        <v>0</v>
      </c>
      <c r="O686" s="91">
        <f t="shared" ref="O686:O688" si="533">+M686*J686</f>
        <v>0</v>
      </c>
      <c r="P686" s="1022"/>
    </row>
    <row r="687" spans="2:16" x14ac:dyDescent="0.25">
      <c r="B687" s="1011"/>
      <c r="C687" s="39"/>
      <c r="D687" s="23" t="s">
        <v>126</v>
      </c>
      <c r="E687" s="3">
        <v>0</v>
      </c>
      <c r="F687" s="9">
        <f t="shared" si="530"/>
        <v>0</v>
      </c>
      <c r="G687" s="4">
        <v>0</v>
      </c>
      <c r="H687" s="8">
        <v>0</v>
      </c>
      <c r="I687" s="6">
        <f t="shared" si="529"/>
        <v>0</v>
      </c>
      <c r="J687" s="4">
        <f t="shared" ref="J687:J688" si="534">+G687+J622</f>
        <v>0</v>
      </c>
      <c r="K687" s="4">
        <f t="shared" ref="K687:K691" si="535">+H687+K622</f>
        <v>0</v>
      </c>
      <c r="L687" s="40" t="e">
        <f t="shared" si="531"/>
        <v>#DIV/0!</v>
      </c>
      <c r="M687" s="145">
        <v>2.2907000000000002</v>
      </c>
      <c r="N687" s="11">
        <f t="shared" si="532"/>
        <v>0</v>
      </c>
      <c r="O687" s="91">
        <f t="shared" si="533"/>
        <v>0</v>
      </c>
      <c r="P687" s="1022"/>
    </row>
    <row r="688" spans="2:16" x14ac:dyDescent="0.25">
      <c r="B688" s="1011"/>
      <c r="C688" s="39"/>
      <c r="D688" s="22" t="s">
        <v>131</v>
      </c>
      <c r="E688" s="3"/>
      <c r="F688" s="9">
        <f t="shared" si="530"/>
        <v>0</v>
      </c>
      <c r="G688" s="4">
        <v>0</v>
      </c>
      <c r="H688" s="8">
        <v>0</v>
      </c>
      <c r="I688" s="6">
        <f t="shared" si="529"/>
        <v>0</v>
      </c>
      <c r="J688" s="4">
        <f t="shared" si="534"/>
        <v>0</v>
      </c>
      <c r="K688" s="4">
        <f t="shared" si="535"/>
        <v>0</v>
      </c>
      <c r="L688" s="33"/>
      <c r="M688" s="150">
        <v>2.544</v>
      </c>
      <c r="N688" s="11">
        <f t="shared" si="532"/>
        <v>0</v>
      </c>
      <c r="O688" s="91">
        <f t="shared" si="533"/>
        <v>0</v>
      </c>
      <c r="P688" s="1022"/>
    </row>
    <row r="689" spans="2:16" x14ac:dyDescent="0.25">
      <c r="B689" s="1011"/>
      <c r="C689" s="39" t="s">
        <v>66</v>
      </c>
      <c r="D689" s="22" t="s">
        <v>133</v>
      </c>
      <c r="E689" s="3">
        <v>0</v>
      </c>
      <c r="F689" s="9">
        <f t="shared" si="530"/>
        <v>33430</v>
      </c>
      <c r="G689" s="4">
        <v>31500</v>
      </c>
      <c r="H689" s="8">
        <v>1930</v>
      </c>
      <c r="I689" s="6">
        <f t="shared" si="529"/>
        <v>524562</v>
      </c>
      <c r="J689" s="4">
        <f>+G689+J624</f>
        <v>511750</v>
      </c>
      <c r="K689" s="4">
        <f t="shared" si="535"/>
        <v>12812</v>
      </c>
      <c r="L689" s="33" t="e">
        <f>+J689/E689</f>
        <v>#DIV/0!</v>
      </c>
      <c r="M689" s="144">
        <v>2.2141000000000002</v>
      </c>
      <c r="N689" s="7">
        <f>+M689*G689</f>
        <v>69744.150000000009</v>
      </c>
      <c r="O689" s="85">
        <f>+M689*J689</f>
        <v>1133065.675</v>
      </c>
      <c r="P689" s="1022"/>
    </row>
    <row r="690" spans="2:16" x14ac:dyDescent="0.25">
      <c r="B690" s="1011"/>
      <c r="C690" s="39"/>
      <c r="D690" s="22" t="s">
        <v>65</v>
      </c>
      <c r="E690" s="3">
        <v>0</v>
      </c>
      <c r="F690" s="9">
        <f t="shared" si="530"/>
        <v>0</v>
      </c>
      <c r="G690" s="4">
        <v>0</v>
      </c>
      <c r="H690" s="8">
        <v>0</v>
      </c>
      <c r="I690" s="6">
        <f t="shared" si="529"/>
        <v>0</v>
      </c>
      <c r="J690" s="4">
        <f t="shared" ref="J690:J691" si="536">+G690+J625</f>
        <v>0</v>
      </c>
      <c r="K690" s="4">
        <f t="shared" si="535"/>
        <v>0</v>
      </c>
      <c r="L690" s="40" t="e">
        <f t="shared" ref="L690:L691" si="537">+J690/E690</f>
        <v>#DIV/0!</v>
      </c>
      <c r="M690" s="145">
        <v>2.4565999999999999</v>
      </c>
      <c r="N690" s="11">
        <f t="shared" ref="N690:N691" si="538">+M690*G690</f>
        <v>0</v>
      </c>
      <c r="O690" s="91">
        <f t="shared" ref="O690" si="539">+M690*J690</f>
        <v>0</v>
      </c>
      <c r="P690" s="1022"/>
    </row>
    <row r="691" spans="2:16" ht="15.75" thickBot="1" x14ac:dyDescent="0.3">
      <c r="B691" s="1011"/>
      <c r="C691" s="39"/>
      <c r="D691" s="22" t="s">
        <v>126</v>
      </c>
      <c r="E691" s="3">
        <v>0</v>
      </c>
      <c r="F691" s="9">
        <f t="shared" si="530"/>
        <v>0</v>
      </c>
      <c r="G691" s="4">
        <v>0</v>
      </c>
      <c r="H691" s="8">
        <v>0</v>
      </c>
      <c r="I691" s="6">
        <f t="shared" si="529"/>
        <v>0</v>
      </c>
      <c r="J691" s="4">
        <f t="shared" si="536"/>
        <v>0</v>
      </c>
      <c r="K691" s="4">
        <f t="shared" si="535"/>
        <v>0</v>
      </c>
      <c r="L691" s="40" t="e">
        <f t="shared" si="537"/>
        <v>#DIV/0!</v>
      </c>
      <c r="M691" s="145">
        <v>2.2907000000000002</v>
      </c>
      <c r="N691" s="11">
        <f t="shared" si="538"/>
        <v>0</v>
      </c>
      <c r="O691" s="154">
        <f>+M691*J691</f>
        <v>0</v>
      </c>
      <c r="P691" s="1023"/>
    </row>
    <row r="692" spans="2:16" ht="15.75" thickBot="1" x14ac:dyDescent="0.3">
      <c r="B692" s="1011"/>
      <c r="C692" s="41" t="s">
        <v>29</v>
      </c>
      <c r="D692" s="27" t="str">
        <f>+C692</f>
        <v>TOTAL 1/2</v>
      </c>
      <c r="E692" s="42">
        <f>SUM(E685:E691)</f>
        <v>0</v>
      </c>
      <c r="F692" s="43">
        <f>SUM(F685:F691)</f>
        <v>33430</v>
      </c>
      <c r="G692" s="43">
        <f>SUM(G685:G691)</f>
        <v>31500</v>
      </c>
      <c r="H692" s="44">
        <f>SUM(H685:H691)</f>
        <v>1930</v>
      </c>
      <c r="I692" s="45">
        <f>SUM(I689:I691)</f>
        <v>524562</v>
      </c>
      <c r="J692" s="43">
        <f>SUM(J685:J691)</f>
        <v>511750</v>
      </c>
      <c r="K692" s="43">
        <f>SUM(K685:K691)</f>
        <v>12812</v>
      </c>
      <c r="L692" s="46" t="e">
        <f>+J692/E692</f>
        <v>#DIV/0!</v>
      </c>
      <c r="M692" s="47"/>
      <c r="N692" s="48">
        <f>SUM(N689:N691)</f>
        <v>69744.150000000009</v>
      </c>
      <c r="O692" s="49">
        <f>SUM(O685:O691)</f>
        <v>1133065.675</v>
      </c>
      <c r="P692" s="198"/>
    </row>
    <row r="693" spans="2:16" x14ac:dyDescent="0.25">
      <c r="B693" s="1011"/>
      <c r="C693" s="1024" t="s">
        <v>67</v>
      </c>
      <c r="D693" s="22" t="s">
        <v>64</v>
      </c>
      <c r="E693" s="3">
        <v>0</v>
      </c>
      <c r="F693" s="4">
        <f>G693+H693</f>
        <v>0</v>
      </c>
      <c r="G693" s="4">
        <v>0</v>
      </c>
      <c r="H693" s="8">
        <v>0</v>
      </c>
      <c r="I693" s="16">
        <f>J693+K693</f>
        <v>109220</v>
      </c>
      <c r="J693" s="4">
        <f>G693+J628</f>
        <v>105750</v>
      </c>
      <c r="K693" s="4">
        <f>H693+K628</f>
        <v>3470</v>
      </c>
      <c r="L693" s="50" t="e">
        <f>+J693/E693</f>
        <v>#DIV/0!</v>
      </c>
      <c r="M693" s="144">
        <v>4.1712999999999996</v>
      </c>
      <c r="N693" s="7">
        <f>+M693*G693</f>
        <v>0</v>
      </c>
      <c r="O693" s="93">
        <f>+M693*J693</f>
        <v>441114.97499999998</v>
      </c>
      <c r="P693" s="1021"/>
    </row>
    <row r="694" spans="2:16" x14ac:dyDescent="0.25">
      <c r="B694" s="1011"/>
      <c r="C694" s="1025"/>
      <c r="D694" s="22" t="s">
        <v>65</v>
      </c>
      <c r="E694" s="3">
        <v>0</v>
      </c>
      <c r="F694" s="4">
        <f>G694+H694</f>
        <v>0</v>
      </c>
      <c r="G694" s="4">
        <v>0</v>
      </c>
      <c r="H694" s="8">
        <v>0</v>
      </c>
      <c r="I694" s="6">
        <f>+R1738+F694</f>
        <v>0</v>
      </c>
      <c r="J694" s="4">
        <f>G694+J629</f>
        <v>120000</v>
      </c>
      <c r="K694" s="4">
        <f>H694+K629</f>
        <v>3230</v>
      </c>
      <c r="L694" s="51" t="e">
        <f t="shared" ref="L694:L698" si="540">+J694/E694</f>
        <v>#DIV/0!</v>
      </c>
      <c r="M694" s="145">
        <v>4.8285999999999998</v>
      </c>
      <c r="N694" s="11">
        <f t="shared" ref="N694:N696" si="541">+M694*G694</f>
        <v>0</v>
      </c>
      <c r="O694" s="94">
        <f t="shared" ref="O694:O696" si="542">+M694*J694</f>
        <v>579432</v>
      </c>
      <c r="P694" s="1022"/>
    </row>
    <row r="695" spans="2:16" x14ac:dyDescent="0.25">
      <c r="B695" s="1011"/>
      <c r="C695" s="1025"/>
      <c r="D695" s="22" t="s">
        <v>127</v>
      </c>
      <c r="E695" s="3"/>
      <c r="F695" s="4">
        <f>G695+H695</f>
        <v>0</v>
      </c>
      <c r="G695" s="4">
        <v>0</v>
      </c>
      <c r="H695" s="8">
        <v>0</v>
      </c>
      <c r="I695" s="6">
        <f>+R1739+F695</f>
        <v>0</v>
      </c>
      <c r="J695" s="4">
        <f t="shared" ref="J695:J696" si="543">G695+J630</f>
        <v>0</v>
      </c>
      <c r="K695" s="4">
        <f t="shared" ref="K695:K696" si="544">H695+K630</f>
        <v>0</v>
      </c>
      <c r="L695" s="51" t="e">
        <f t="shared" si="540"/>
        <v>#DIV/0!</v>
      </c>
      <c r="M695" s="144">
        <v>4.5023</v>
      </c>
      <c r="N695" s="11">
        <f t="shared" si="541"/>
        <v>0</v>
      </c>
      <c r="O695" s="94">
        <f t="shared" si="542"/>
        <v>0</v>
      </c>
      <c r="P695" s="1022"/>
    </row>
    <row r="696" spans="2:16" ht="15.75" thickBot="1" x14ac:dyDescent="0.3">
      <c r="B696" s="1011"/>
      <c r="C696" s="1025"/>
      <c r="D696" s="22" t="s">
        <v>111</v>
      </c>
      <c r="E696" s="3">
        <v>0</v>
      </c>
      <c r="F696" s="4">
        <f t="shared" ref="F696" si="545">G696+H696</f>
        <v>0</v>
      </c>
      <c r="G696" s="4">
        <v>0</v>
      </c>
      <c r="H696" s="8">
        <v>0</v>
      </c>
      <c r="I696" s="6">
        <f>+R1739+F696</f>
        <v>0</v>
      </c>
      <c r="J696" s="4">
        <f t="shared" si="543"/>
        <v>0</v>
      </c>
      <c r="K696" s="4">
        <f t="shared" si="544"/>
        <v>0</v>
      </c>
      <c r="L696" s="51" t="e">
        <f t="shared" si="540"/>
        <v>#DIV/0!</v>
      </c>
      <c r="M696" s="144">
        <v>4.4065000000000003</v>
      </c>
      <c r="N696" s="11">
        <f t="shared" si="541"/>
        <v>0</v>
      </c>
      <c r="O696" s="94">
        <f t="shared" si="542"/>
        <v>0</v>
      </c>
      <c r="P696" s="1022"/>
    </row>
    <row r="697" spans="2:16" ht="15.75" thickBot="1" x14ac:dyDescent="0.3">
      <c r="B697" s="1011"/>
      <c r="C697" s="41" t="s">
        <v>31</v>
      </c>
      <c r="D697" s="18" t="str">
        <f>+C697</f>
        <v>TOTAL 4/4</v>
      </c>
      <c r="E697" s="42">
        <f t="shared" ref="E697:K697" si="546">SUM(E693:E696)</f>
        <v>0</v>
      </c>
      <c r="F697" s="43">
        <f t="shared" si="546"/>
        <v>0</v>
      </c>
      <c r="G697" s="43">
        <f t="shared" si="546"/>
        <v>0</v>
      </c>
      <c r="H697" s="44">
        <f t="shared" si="546"/>
        <v>0</v>
      </c>
      <c r="I697" s="45">
        <f t="shared" si="546"/>
        <v>109220</v>
      </c>
      <c r="J697" s="43">
        <f t="shared" si="546"/>
        <v>225750</v>
      </c>
      <c r="K697" s="43">
        <f t="shared" si="546"/>
        <v>6700</v>
      </c>
      <c r="L697" s="46" t="e">
        <f t="shared" si="540"/>
        <v>#DIV/0!</v>
      </c>
      <c r="M697" s="47"/>
      <c r="N697" s="48">
        <f>SUM(N693:N696)</f>
        <v>0</v>
      </c>
      <c r="O697" s="92">
        <f>SUM(O693:O696)</f>
        <v>1020546.975</v>
      </c>
      <c r="P697" s="1023"/>
    </row>
    <row r="698" spans="2:16" ht="15.75" thickBot="1" x14ac:dyDescent="0.3">
      <c r="B698" s="1020"/>
      <c r="C698" s="41" t="s">
        <v>68</v>
      </c>
      <c r="D698" s="27" t="s">
        <v>64</v>
      </c>
      <c r="E698" s="25">
        <v>0</v>
      </c>
      <c r="F698" s="20">
        <f>G698+H698</f>
        <v>0</v>
      </c>
      <c r="G698" s="20">
        <v>0</v>
      </c>
      <c r="H698" s="24">
        <v>0</v>
      </c>
      <c r="I698" s="19">
        <f>J698+K698</f>
        <v>0</v>
      </c>
      <c r="J698" s="4">
        <f>G698+J633</f>
        <v>0</v>
      </c>
      <c r="K698" s="4">
        <f>H698+K633</f>
        <v>0</v>
      </c>
      <c r="L698" s="52" t="e">
        <f t="shared" si="540"/>
        <v>#DIV/0!</v>
      </c>
      <c r="M698" s="149">
        <v>1.4086000000000001</v>
      </c>
      <c r="N698" s="26">
        <f t="shared" ref="N698" si="547">+M698*G698</f>
        <v>0</v>
      </c>
      <c r="O698" s="95">
        <f t="shared" ref="O698" si="548">+M698*J698</f>
        <v>0</v>
      </c>
      <c r="P698" s="53"/>
    </row>
    <row r="699" spans="2:16" ht="15.75" thickBot="1" x14ac:dyDescent="0.3">
      <c r="B699" s="995" t="s">
        <v>95</v>
      </c>
      <c r="C699" s="996"/>
      <c r="D699" s="996"/>
      <c r="E699" s="996"/>
      <c r="F699" s="996"/>
      <c r="G699" s="996"/>
      <c r="H699" s="996"/>
      <c r="I699" s="110">
        <f>J699+K699</f>
        <v>757012</v>
      </c>
      <c r="J699" s="110">
        <f>J692+J697+J698</f>
        <v>737500</v>
      </c>
      <c r="K699" s="110">
        <f>K692+K697+K698</f>
        <v>19512</v>
      </c>
      <c r="L699" s="111"/>
      <c r="M699" s="112"/>
      <c r="N699" s="109"/>
      <c r="O699" s="77">
        <f>+O698+O697+O692</f>
        <v>2153612.65</v>
      </c>
      <c r="P699" s="84"/>
    </row>
    <row r="700" spans="2:16" x14ac:dyDescent="0.25">
      <c r="B700" s="997" t="s">
        <v>69</v>
      </c>
      <c r="C700" s="1000" t="s">
        <v>70</v>
      </c>
      <c r="D700" s="54" t="s">
        <v>71</v>
      </c>
      <c r="E700" s="55">
        <v>0</v>
      </c>
      <c r="F700" s="56">
        <f>G700+H700</f>
        <v>5000</v>
      </c>
      <c r="G700" s="56">
        <v>5000</v>
      </c>
      <c r="H700" s="57">
        <v>0</v>
      </c>
      <c r="I700" s="78">
        <f>J700+K700</f>
        <v>10070</v>
      </c>
      <c r="J700" s="4">
        <f>G700+J635</f>
        <v>10000</v>
      </c>
      <c r="K700" s="4">
        <f>H700+K635</f>
        <v>70</v>
      </c>
      <c r="L700" s="58" t="e">
        <f t="shared" ref="L700" si="549">+J700/E700</f>
        <v>#DIV/0!</v>
      </c>
      <c r="M700" s="59">
        <v>32.946300000000001</v>
      </c>
      <c r="N700" s="60">
        <f>+M700*G700</f>
        <v>164731.5</v>
      </c>
      <c r="O700" s="60">
        <f>M700*J700</f>
        <v>329463</v>
      </c>
      <c r="P700" s="1002"/>
    </row>
    <row r="701" spans="2:16" x14ac:dyDescent="0.25">
      <c r="B701" s="998"/>
      <c r="C701" s="1001"/>
      <c r="D701" s="61" t="s">
        <v>72</v>
      </c>
      <c r="E701" s="62">
        <v>0</v>
      </c>
      <c r="F701" s="63">
        <f>G701+H701</f>
        <v>0</v>
      </c>
      <c r="G701" s="63">
        <v>0</v>
      </c>
      <c r="H701" s="64">
        <v>0</v>
      </c>
      <c r="I701" s="79">
        <f>J701+K701</f>
        <v>31833</v>
      </c>
      <c r="J701" s="4">
        <f>G701+J636</f>
        <v>31420</v>
      </c>
      <c r="K701" s="4">
        <f>H701+K636</f>
        <v>413</v>
      </c>
      <c r="L701" s="65" t="e">
        <f>+J701/E701</f>
        <v>#DIV/0!</v>
      </c>
      <c r="M701" s="66">
        <v>35.398400000000002</v>
      </c>
      <c r="N701" s="67">
        <f>+M701*G701</f>
        <v>0</v>
      </c>
      <c r="O701" s="67">
        <f>M701*J701</f>
        <v>1112217.7280000001</v>
      </c>
      <c r="P701" s="1003"/>
    </row>
    <row r="702" spans="2:16" x14ac:dyDescent="0.25">
      <c r="B702" s="998"/>
      <c r="C702" s="1001"/>
      <c r="D702" s="61" t="s">
        <v>73</v>
      </c>
      <c r="E702" s="62">
        <v>0</v>
      </c>
      <c r="F702" s="63">
        <f t="shared" ref="F702:F705" si="550">G702+H702</f>
        <v>0</v>
      </c>
      <c r="G702" s="63">
        <v>0</v>
      </c>
      <c r="H702" s="64">
        <v>0</v>
      </c>
      <c r="I702" s="79">
        <f t="shared" ref="I702:I711" si="551">J702+K702</f>
        <v>0</v>
      </c>
      <c r="J702" s="4">
        <f t="shared" ref="J702:J727" si="552">G702+J637</f>
        <v>0</v>
      </c>
      <c r="K702" s="4">
        <f t="shared" ref="K702:K706" si="553">H702+K637</f>
        <v>0</v>
      </c>
      <c r="L702" s="65" t="e">
        <f t="shared" ref="L702:L715" si="554">+J702/E702</f>
        <v>#DIV/0!</v>
      </c>
      <c r="M702" s="66">
        <v>32.946300000000001</v>
      </c>
      <c r="N702" s="67">
        <f t="shared" ref="N702:N722" si="555">+M702*G702</f>
        <v>0</v>
      </c>
      <c r="O702" s="67">
        <f t="shared" ref="O702:O710" si="556">M702*J702</f>
        <v>0</v>
      </c>
      <c r="P702" s="1003"/>
    </row>
    <row r="703" spans="2:16" x14ac:dyDescent="0.25">
      <c r="B703" s="998"/>
      <c r="C703" s="1001" t="s">
        <v>74</v>
      </c>
      <c r="D703" s="61" t="s">
        <v>75</v>
      </c>
      <c r="E703" s="62">
        <v>0</v>
      </c>
      <c r="F703" s="63">
        <f t="shared" si="550"/>
        <v>0</v>
      </c>
      <c r="G703" s="63">
        <v>0</v>
      </c>
      <c r="H703" s="64">
        <v>0</v>
      </c>
      <c r="I703" s="79">
        <f t="shared" si="551"/>
        <v>12279</v>
      </c>
      <c r="J703" s="4">
        <f t="shared" si="552"/>
        <v>12000</v>
      </c>
      <c r="K703" s="4">
        <f t="shared" si="553"/>
        <v>279</v>
      </c>
      <c r="L703" s="65" t="e">
        <f t="shared" si="554"/>
        <v>#DIV/0!</v>
      </c>
      <c r="M703" s="66">
        <v>55.4758</v>
      </c>
      <c r="N703" s="67">
        <f t="shared" si="555"/>
        <v>0</v>
      </c>
      <c r="O703" s="67">
        <f t="shared" si="556"/>
        <v>665709.6</v>
      </c>
      <c r="P703" s="1003"/>
    </row>
    <row r="704" spans="2:16" x14ac:dyDescent="0.25">
      <c r="B704" s="998"/>
      <c r="C704" s="1001"/>
      <c r="D704" s="61" t="s">
        <v>134</v>
      </c>
      <c r="E704" s="62">
        <v>0</v>
      </c>
      <c r="F704" s="63">
        <f t="shared" si="550"/>
        <v>0</v>
      </c>
      <c r="G704" s="63">
        <v>0</v>
      </c>
      <c r="H704" s="64">
        <v>0</v>
      </c>
      <c r="I704" s="79">
        <f t="shared" si="551"/>
        <v>0</v>
      </c>
      <c r="J704" s="4">
        <f t="shared" si="552"/>
        <v>0</v>
      </c>
      <c r="K704" s="4">
        <f t="shared" si="553"/>
        <v>0</v>
      </c>
      <c r="L704" s="65" t="e">
        <f t="shared" si="554"/>
        <v>#DIV/0!</v>
      </c>
      <c r="M704" s="66">
        <v>53.515999999999998</v>
      </c>
      <c r="N704" s="67">
        <f t="shared" si="555"/>
        <v>0</v>
      </c>
      <c r="O704" s="67">
        <f t="shared" si="556"/>
        <v>0</v>
      </c>
      <c r="P704" s="1003"/>
    </row>
    <row r="705" spans="2:16" x14ac:dyDescent="0.25">
      <c r="B705" s="998"/>
      <c r="C705" s="1001"/>
      <c r="D705" s="61" t="s">
        <v>72</v>
      </c>
      <c r="E705" s="62">
        <v>0</v>
      </c>
      <c r="F705" s="63">
        <f t="shared" si="550"/>
        <v>0</v>
      </c>
      <c r="G705" s="63">
        <v>0</v>
      </c>
      <c r="H705" s="64">
        <v>0</v>
      </c>
      <c r="I705" s="79">
        <f t="shared" si="551"/>
        <v>9804</v>
      </c>
      <c r="J705" s="4">
        <f t="shared" si="552"/>
        <v>9600</v>
      </c>
      <c r="K705" s="4">
        <f t="shared" si="553"/>
        <v>204</v>
      </c>
      <c r="L705" s="65" t="e">
        <f t="shared" si="554"/>
        <v>#DIV/0!</v>
      </c>
      <c r="M705" s="66">
        <v>58.836300000000001</v>
      </c>
      <c r="N705" s="67">
        <f t="shared" si="555"/>
        <v>0</v>
      </c>
      <c r="O705" s="67">
        <f t="shared" si="556"/>
        <v>564828.48</v>
      </c>
      <c r="P705" s="1003"/>
    </row>
    <row r="706" spans="2:16" x14ac:dyDescent="0.25">
      <c r="B706" s="998"/>
      <c r="C706" s="1005" t="s">
        <v>76</v>
      </c>
      <c r="D706" s="61" t="s">
        <v>77</v>
      </c>
      <c r="E706" s="62">
        <v>0</v>
      </c>
      <c r="F706" s="63">
        <f>G706+H706</f>
        <v>3015</v>
      </c>
      <c r="G706" s="63">
        <v>3000</v>
      </c>
      <c r="H706" s="64">
        <v>15</v>
      </c>
      <c r="I706" s="79">
        <f t="shared" si="551"/>
        <v>6690</v>
      </c>
      <c r="J706" s="4">
        <f t="shared" si="552"/>
        <v>6575</v>
      </c>
      <c r="K706" s="4">
        <f t="shared" si="553"/>
        <v>115</v>
      </c>
      <c r="L706" s="65" t="e">
        <f t="shared" si="554"/>
        <v>#DIV/0!</v>
      </c>
      <c r="M706" s="66">
        <v>25.687200000000001</v>
      </c>
      <c r="N706" s="67">
        <f t="shared" si="555"/>
        <v>77061.600000000006</v>
      </c>
      <c r="O706" s="67">
        <f t="shared" si="556"/>
        <v>168893.34</v>
      </c>
      <c r="P706" s="1003"/>
    </row>
    <row r="707" spans="2:16" x14ac:dyDescent="0.25">
      <c r="B707" s="998"/>
      <c r="C707" s="1006"/>
      <c r="D707" s="61" t="s">
        <v>117</v>
      </c>
      <c r="E707" s="62">
        <v>0</v>
      </c>
      <c r="F707" s="63">
        <f>G707+H707</f>
        <v>0</v>
      </c>
      <c r="G707" s="63">
        <v>0</v>
      </c>
      <c r="H707" s="64">
        <v>0</v>
      </c>
      <c r="I707" s="79">
        <f t="shared" si="551"/>
        <v>0</v>
      </c>
      <c r="J707" s="4">
        <f t="shared" si="552"/>
        <v>0</v>
      </c>
      <c r="K707" s="4">
        <f>H707+K642</f>
        <v>0</v>
      </c>
      <c r="L707" s="65" t="e">
        <f t="shared" si="554"/>
        <v>#DIV/0!</v>
      </c>
      <c r="M707" s="66">
        <v>25.033899999999999</v>
      </c>
      <c r="N707" s="67">
        <f t="shared" si="555"/>
        <v>0</v>
      </c>
      <c r="O707" s="67">
        <f t="shared" si="556"/>
        <v>0</v>
      </c>
      <c r="P707" s="1003"/>
    </row>
    <row r="708" spans="2:16" x14ac:dyDescent="0.25">
      <c r="B708" s="998"/>
      <c r="C708" s="1005" t="s">
        <v>78</v>
      </c>
      <c r="D708" s="61" t="s">
        <v>79</v>
      </c>
      <c r="E708" s="62">
        <v>0</v>
      </c>
      <c r="F708" s="63">
        <f t="shared" ref="F708:F727" si="557">G708+H708</f>
        <v>2085</v>
      </c>
      <c r="G708" s="63">
        <v>2000</v>
      </c>
      <c r="H708" s="64">
        <v>85</v>
      </c>
      <c r="I708" s="79">
        <f t="shared" si="551"/>
        <v>14273</v>
      </c>
      <c r="J708" s="4">
        <f t="shared" si="552"/>
        <v>14000</v>
      </c>
      <c r="K708" s="4">
        <f t="shared" ref="K708:K727" si="558">H708+K643</f>
        <v>273</v>
      </c>
      <c r="L708" s="65" t="e">
        <f t="shared" si="554"/>
        <v>#DIV/0!</v>
      </c>
      <c r="M708" s="66">
        <v>41.992699999999999</v>
      </c>
      <c r="N708" s="67">
        <f t="shared" si="555"/>
        <v>83985.4</v>
      </c>
      <c r="O708" s="67">
        <f t="shared" si="556"/>
        <v>587897.80000000005</v>
      </c>
      <c r="P708" s="1003"/>
    </row>
    <row r="709" spans="2:16" x14ac:dyDescent="0.25">
      <c r="B709" s="998"/>
      <c r="C709" s="1006"/>
      <c r="D709" s="61" t="s">
        <v>72</v>
      </c>
      <c r="E709" s="62">
        <v>0</v>
      </c>
      <c r="F709" s="63">
        <f t="shared" si="557"/>
        <v>0</v>
      </c>
      <c r="G709" s="63">
        <v>0</v>
      </c>
      <c r="H709" s="64">
        <v>0</v>
      </c>
      <c r="I709" s="79">
        <f t="shared" si="551"/>
        <v>0</v>
      </c>
      <c r="J709" s="4">
        <f t="shared" si="552"/>
        <v>0</v>
      </c>
      <c r="K709" s="4">
        <f t="shared" si="558"/>
        <v>0</v>
      </c>
      <c r="L709" s="65" t="e">
        <f t="shared" si="554"/>
        <v>#DIV/0!</v>
      </c>
      <c r="M709" s="66">
        <v>42.283799999999999</v>
      </c>
      <c r="N709" s="67">
        <f t="shared" si="555"/>
        <v>0</v>
      </c>
      <c r="O709" s="67">
        <f t="shared" si="556"/>
        <v>0</v>
      </c>
      <c r="P709" s="1003"/>
    </row>
    <row r="710" spans="2:16" x14ac:dyDescent="0.25">
      <c r="B710" s="998"/>
      <c r="C710" s="196" t="s">
        <v>80</v>
      </c>
      <c r="D710" s="61" t="s">
        <v>81</v>
      </c>
      <c r="E710" s="62">
        <v>0</v>
      </c>
      <c r="F710" s="63">
        <f t="shared" si="557"/>
        <v>0</v>
      </c>
      <c r="G710" s="63">
        <v>0</v>
      </c>
      <c r="H710" s="64">
        <v>0</v>
      </c>
      <c r="I710" s="79">
        <f t="shared" si="551"/>
        <v>24803</v>
      </c>
      <c r="J710" s="4">
        <f t="shared" si="552"/>
        <v>24000</v>
      </c>
      <c r="K710" s="4">
        <f t="shared" si="558"/>
        <v>803</v>
      </c>
      <c r="L710" s="65" t="e">
        <f t="shared" si="554"/>
        <v>#DIV/0!</v>
      </c>
      <c r="M710" s="66">
        <v>4.3535000000000004</v>
      </c>
      <c r="N710" s="67">
        <f t="shared" si="555"/>
        <v>0</v>
      </c>
      <c r="O710" s="67">
        <f t="shared" si="556"/>
        <v>104484.00000000001</v>
      </c>
      <c r="P710" s="1003"/>
    </row>
    <row r="711" spans="2:16" x14ac:dyDescent="0.25">
      <c r="B711" s="998"/>
      <c r="C711" s="1001" t="s">
        <v>82</v>
      </c>
      <c r="D711" s="61" t="s">
        <v>77</v>
      </c>
      <c r="E711" s="62">
        <v>0</v>
      </c>
      <c r="F711" s="63">
        <f t="shared" si="557"/>
        <v>0</v>
      </c>
      <c r="G711" s="63">
        <v>0</v>
      </c>
      <c r="H711" s="64">
        <v>0</v>
      </c>
      <c r="I711" s="79">
        <f t="shared" si="551"/>
        <v>0</v>
      </c>
      <c r="J711" s="4">
        <f t="shared" si="552"/>
        <v>0</v>
      </c>
      <c r="K711" s="4">
        <f t="shared" si="558"/>
        <v>0</v>
      </c>
      <c r="L711" s="65" t="e">
        <f t="shared" si="554"/>
        <v>#DIV/0!</v>
      </c>
      <c r="M711" s="66">
        <v>4.6184000000000003</v>
      </c>
      <c r="N711" s="67">
        <f t="shared" si="555"/>
        <v>0</v>
      </c>
      <c r="O711" s="67">
        <f>M711*J711</f>
        <v>0</v>
      </c>
      <c r="P711" s="1003"/>
    </row>
    <row r="712" spans="2:16" x14ac:dyDescent="0.25">
      <c r="B712" s="998"/>
      <c r="C712" s="1001"/>
      <c r="D712" s="61" t="s">
        <v>119</v>
      </c>
      <c r="E712" s="62">
        <v>0</v>
      </c>
      <c r="F712" s="63">
        <f t="shared" si="557"/>
        <v>0</v>
      </c>
      <c r="G712" s="63">
        <v>0</v>
      </c>
      <c r="H712" s="64">
        <v>0</v>
      </c>
      <c r="I712" s="79">
        <f>J712+K712</f>
        <v>0</v>
      </c>
      <c r="J712" s="4">
        <f t="shared" si="552"/>
        <v>0</v>
      </c>
      <c r="K712" s="4">
        <f t="shared" si="558"/>
        <v>0</v>
      </c>
      <c r="L712" s="65" t="e">
        <f t="shared" si="554"/>
        <v>#DIV/0!</v>
      </c>
      <c r="M712" s="153">
        <v>4.6184000000000003</v>
      </c>
      <c r="N712" s="67">
        <f t="shared" si="555"/>
        <v>0</v>
      </c>
      <c r="O712" s="67">
        <f>M712*J712</f>
        <v>0</v>
      </c>
      <c r="P712" s="1003"/>
    </row>
    <row r="713" spans="2:16" x14ac:dyDescent="0.25">
      <c r="B713" s="998"/>
      <c r="C713" s="1001"/>
      <c r="D713" s="61" t="s">
        <v>123</v>
      </c>
      <c r="E713" s="62">
        <v>0</v>
      </c>
      <c r="F713" s="63">
        <f t="shared" si="557"/>
        <v>0</v>
      </c>
      <c r="G713" s="63">
        <v>0</v>
      </c>
      <c r="H713" s="64">
        <v>0</v>
      </c>
      <c r="I713" s="79">
        <f t="shared" ref="I713:I727" si="559">J713+K713</f>
        <v>0</v>
      </c>
      <c r="J713" s="4">
        <f t="shared" si="552"/>
        <v>0</v>
      </c>
      <c r="K713" s="4">
        <f t="shared" si="558"/>
        <v>0</v>
      </c>
      <c r="L713" s="65" t="e">
        <f t="shared" si="554"/>
        <v>#DIV/0!</v>
      </c>
      <c r="M713" s="153">
        <v>4.6184000000000003</v>
      </c>
      <c r="N713" s="67">
        <f t="shared" si="555"/>
        <v>0</v>
      </c>
      <c r="O713" s="67">
        <f t="shared" ref="O713:O718" si="560">M713*J713</f>
        <v>0</v>
      </c>
      <c r="P713" s="1003"/>
    </row>
    <row r="714" spans="2:16" x14ac:dyDescent="0.25">
      <c r="B714" s="998"/>
      <c r="C714" s="1001"/>
      <c r="D714" s="61" t="s">
        <v>124</v>
      </c>
      <c r="E714" s="62">
        <v>0</v>
      </c>
      <c r="F714" s="63">
        <f t="shared" si="557"/>
        <v>22742</v>
      </c>
      <c r="G714" s="63">
        <v>22000</v>
      </c>
      <c r="H714" s="64">
        <v>742</v>
      </c>
      <c r="I714" s="79">
        <f t="shared" si="559"/>
        <v>216801</v>
      </c>
      <c r="J714" s="4">
        <f t="shared" si="552"/>
        <v>210235</v>
      </c>
      <c r="K714" s="4">
        <f t="shared" si="558"/>
        <v>6566</v>
      </c>
      <c r="L714" s="65" t="e">
        <f t="shared" si="554"/>
        <v>#DIV/0!</v>
      </c>
      <c r="M714" s="153">
        <v>4.7636000000000003</v>
      </c>
      <c r="N714" s="67">
        <f t="shared" si="555"/>
        <v>104799.20000000001</v>
      </c>
      <c r="O714" s="67">
        <f t="shared" si="560"/>
        <v>1001475.4460000001</v>
      </c>
      <c r="P714" s="1003"/>
    </row>
    <row r="715" spans="2:16" x14ac:dyDescent="0.25">
      <c r="B715" s="998"/>
      <c r="C715" s="1001"/>
      <c r="D715" s="61" t="s">
        <v>83</v>
      </c>
      <c r="E715" s="62">
        <v>0</v>
      </c>
      <c r="F715" s="63">
        <f t="shared" si="557"/>
        <v>0</v>
      </c>
      <c r="G715" s="63">
        <v>0</v>
      </c>
      <c r="H715" s="64">
        <v>0</v>
      </c>
      <c r="I715" s="79">
        <f t="shared" si="559"/>
        <v>0</v>
      </c>
      <c r="J715" s="4">
        <f t="shared" si="552"/>
        <v>0</v>
      </c>
      <c r="K715" s="4">
        <f t="shared" si="558"/>
        <v>0</v>
      </c>
      <c r="L715" s="65" t="e">
        <f t="shared" si="554"/>
        <v>#DIV/0!</v>
      </c>
      <c r="M715" s="66">
        <v>4.8738000000000001</v>
      </c>
      <c r="N715" s="67">
        <f t="shared" si="555"/>
        <v>0</v>
      </c>
      <c r="O715" s="67">
        <f t="shared" si="560"/>
        <v>0</v>
      </c>
      <c r="P715" s="1003"/>
    </row>
    <row r="716" spans="2:16" x14ac:dyDescent="0.25">
      <c r="B716" s="998"/>
      <c r="C716" s="196" t="s">
        <v>128</v>
      </c>
      <c r="D716" s="61" t="s">
        <v>124</v>
      </c>
      <c r="E716" s="62"/>
      <c r="F716" s="63">
        <f t="shared" si="557"/>
        <v>0</v>
      </c>
      <c r="G716" s="63">
        <v>0</v>
      </c>
      <c r="H716" s="64">
        <v>0</v>
      </c>
      <c r="I716" s="79">
        <f t="shared" si="559"/>
        <v>0</v>
      </c>
      <c r="J716" s="4">
        <f t="shared" si="552"/>
        <v>0</v>
      </c>
      <c r="K716" s="4">
        <f t="shared" si="558"/>
        <v>0</v>
      </c>
      <c r="L716" s="65"/>
      <c r="M716" s="66">
        <v>4.8738000000000001</v>
      </c>
      <c r="N716" s="67">
        <f t="shared" si="555"/>
        <v>0</v>
      </c>
      <c r="O716" s="67">
        <f t="shared" si="560"/>
        <v>0</v>
      </c>
      <c r="P716" s="1003"/>
    </row>
    <row r="717" spans="2:16" x14ac:dyDescent="0.25">
      <c r="B717" s="998"/>
      <c r="C717" s="1001" t="s">
        <v>84</v>
      </c>
      <c r="D717" s="61" t="s">
        <v>77</v>
      </c>
      <c r="E717" s="62">
        <v>0</v>
      </c>
      <c r="F717" s="63">
        <f t="shared" si="557"/>
        <v>18042</v>
      </c>
      <c r="G717" s="63">
        <v>18000</v>
      </c>
      <c r="H717" s="64">
        <v>42</v>
      </c>
      <c r="I717" s="79">
        <f t="shared" si="559"/>
        <v>190900</v>
      </c>
      <c r="J717" s="4">
        <f t="shared" si="552"/>
        <v>188900</v>
      </c>
      <c r="K717" s="4">
        <f t="shared" si="558"/>
        <v>2000</v>
      </c>
      <c r="L717" s="65" t="e">
        <f t="shared" ref="L717:L727" si="561">+J717/E717</f>
        <v>#DIV/0!</v>
      </c>
      <c r="M717" s="66">
        <v>4.9344999999999999</v>
      </c>
      <c r="N717" s="67">
        <f t="shared" si="555"/>
        <v>88821</v>
      </c>
      <c r="O717" s="67">
        <f t="shared" si="560"/>
        <v>932127.04999999993</v>
      </c>
      <c r="P717" s="1003"/>
    </row>
    <row r="718" spans="2:16" x14ac:dyDescent="0.25">
      <c r="B718" s="998"/>
      <c r="C718" s="1001"/>
      <c r="D718" s="61" t="s">
        <v>135</v>
      </c>
      <c r="E718" s="62"/>
      <c r="F718" s="63">
        <f t="shared" si="557"/>
        <v>4028</v>
      </c>
      <c r="G718" s="63">
        <v>3050</v>
      </c>
      <c r="H718" s="64">
        <v>978</v>
      </c>
      <c r="I718" s="79">
        <f t="shared" si="559"/>
        <v>4028</v>
      </c>
      <c r="J718" s="4">
        <f t="shared" si="552"/>
        <v>3050</v>
      </c>
      <c r="K718" s="4">
        <f t="shared" si="558"/>
        <v>978</v>
      </c>
      <c r="L718" s="65" t="e">
        <f t="shared" si="561"/>
        <v>#DIV/0!</v>
      </c>
      <c r="M718" s="66">
        <v>4.9344999999999999</v>
      </c>
      <c r="N718" s="67">
        <f t="shared" si="555"/>
        <v>15050.225</v>
      </c>
      <c r="O718" s="67">
        <f t="shared" si="560"/>
        <v>15050.225</v>
      </c>
      <c r="P718" s="1003"/>
    </row>
    <row r="719" spans="2:16" x14ac:dyDescent="0.25">
      <c r="B719" s="998"/>
      <c r="C719" s="1001"/>
      <c r="D719" s="61" t="s">
        <v>129</v>
      </c>
      <c r="E719" s="62">
        <v>0</v>
      </c>
      <c r="F719" s="63">
        <f t="shared" si="557"/>
        <v>0</v>
      </c>
      <c r="G719" s="155">
        <v>0</v>
      </c>
      <c r="H719" s="156">
        <v>0</v>
      </c>
      <c r="I719" s="157">
        <f t="shared" si="559"/>
        <v>0</v>
      </c>
      <c r="J719" s="4">
        <f t="shared" si="552"/>
        <v>0</v>
      </c>
      <c r="K719" s="4">
        <f t="shared" si="558"/>
        <v>0</v>
      </c>
      <c r="L719" s="158" t="e">
        <f t="shared" si="561"/>
        <v>#DIV/0!</v>
      </c>
      <c r="M719" s="66">
        <v>4.9344999999999999</v>
      </c>
      <c r="N719" s="159">
        <f t="shared" si="555"/>
        <v>0</v>
      </c>
      <c r="O719" s="67">
        <f>M719*J719</f>
        <v>0</v>
      </c>
      <c r="P719" s="1003"/>
    </row>
    <row r="720" spans="2:16" x14ac:dyDescent="0.25">
      <c r="B720" s="998"/>
      <c r="C720" s="1001" t="s">
        <v>85</v>
      </c>
      <c r="D720" s="61" t="s">
        <v>77</v>
      </c>
      <c r="E720" s="62">
        <v>0</v>
      </c>
      <c r="F720" s="63">
        <f t="shared" si="557"/>
        <v>0</v>
      </c>
      <c r="G720" s="63">
        <v>0</v>
      </c>
      <c r="H720" s="64">
        <v>0</v>
      </c>
      <c r="I720" s="79">
        <f t="shared" si="559"/>
        <v>138276</v>
      </c>
      <c r="J720" s="4">
        <f t="shared" si="552"/>
        <v>130950</v>
      </c>
      <c r="K720" s="4">
        <f t="shared" si="558"/>
        <v>7326</v>
      </c>
      <c r="L720" s="65" t="e">
        <f t="shared" si="561"/>
        <v>#DIV/0!</v>
      </c>
      <c r="M720" s="148">
        <v>5.5069999999999997</v>
      </c>
      <c r="N720" s="67">
        <f t="shared" si="555"/>
        <v>0</v>
      </c>
      <c r="O720" s="67">
        <f>M720*J720</f>
        <v>721141.64999999991</v>
      </c>
      <c r="P720" s="1003"/>
    </row>
    <row r="721" spans="2:16" x14ac:dyDescent="0.25">
      <c r="B721" s="998"/>
      <c r="C721" s="1001"/>
      <c r="D721" s="61" t="s">
        <v>112</v>
      </c>
      <c r="E721" s="62">
        <v>0</v>
      </c>
      <c r="F721" s="63">
        <f t="shared" si="557"/>
        <v>18198</v>
      </c>
      <c r="G721" s="63">
        <v>17550</v>
      </c>
      <c r="H721" s="64">
        <v>648</v>
      </c>
      <c r="I721" s="79">
        <f t="shared" si="559"/>
        <v>49376</v>
      </c>
      <c r="J721" s="4">
        <f t="shared" si="552"/>
        <v>47700</v>
      </c>
      <c r="K721" s="4">
        <f t="shared" si="558"/>
        <v>1676</v>
      </c>
      <c r="L721" s="65" t="e">
        <f t="shared" si="561"/>
        <v>#DIV/0!</v>
      </c>
      <c r="M721" s="147">
        <v>5.6550000000000002</v>
      </c>
      <c r="N721" s="67">
        <f t="shared" si="555"/>
        <v>99245.25</v>
      </c>
      <c r="O721" s="67">
        <f>M721*J721</f>
        <v>269743.5</v>
      </c>
      <c r="P721" s="1003"/>
    </row>
    <row r="722" spans="2:16" x14ac:dyDescent="0.25">
      <c r="B722" s="998"/>
      <c r="C722" s="1001"/>
      <c r="D722" s="61" t="s">
        <v>118</v>
      </c>
      <c r="E722" s="62">
        <v>0</v>
      </c>
      <c r="F722" s="63">
        <f t="shared" si="557"/>
        <v>0</v>
      </c>
      <c r="G722" s="63">
        <v>0</v>
      </c>
      <c r="H722" s="64">
        <v>0</v>
      </c>
      <c r="I722" s="79">
        <f t="shared" si="559"/>
        <v>0</v>
      </c>
      <c r="J722" s="4">
        <f t="shared" si="552"/>
        <v>0</v>
      </c>
      <c r="K722" s="4">
        <f t="shared" si="558"/>
        <v>0</v>
      </c>
      <c r="L722" s="65" t="e">
        <f t="shared" si="561"/>
        <v>#DIV/0!</v>
      </c>
      <c r="M722" s="152">
        <v>5.6550000000000002</v>
      </c>
      <c r="N722" s="67">
        <f t="shared" si="555"/>
        <v>0</v>
      </c>
      <c r="O722" s="67">
        <f>M722*J722</f>
        <v>0</v>
      </c>
      <c r="P722" s="1003"/>
    </row>
    <row r="723" spans="2:16" x14ac:dyDescent="0.25">
      <c r="B723" s="998"/>
      <c r="C723" s="1001"/>
      <c r="D723" s="61" t="s">
        <v>121</v>
      </c>
      <c r="E723" s="62">
        <v>0</v>
      </c>
      <c r="F723" s="63">
        <f t="shared" si="557"/>
        <v>0</v>
      </c>
      <c r="G723" s="63">
        <v>0</v>
      </c>
      <c r="H723" s="64">
        <v>0</v>
      </c>
      <c r="I723" s="79">
        <f t="shared" si="559"/>
        <v>28324</v>
      </c>
      <c r="J723" s="4">
        <f t="shared" si="552"/>
        <v>26710</v>
      </c>
      <c r="K723" s="4">
        <f t="shared" si="558"/>
        <v>1614</v>
      </c>
      <c r="L723" s="65" t="e">
        <f t="shared" si="561"/>
        <v>#DIV/0!</v>
      </c>
      <c r="M723" s="66">
        <v>5.7885299999999997</v>
      </c>
      <c r="N723" s="67">
        <f>+M723*G723</f>
        <v>0</v>
      </c>
      <c r="O723" s="67">
        <f>M723*J723</f>
        <v>154611.63629999998</v>
      </c>
      <c r="P723" s="1003"/>
    </row>
    <row r="724" spans="2:16" x14ac:dyDescent="0.25">
      <c r="B724" s="998"/>
      <c r="C724" s="1001"/>
      <c r="D724" s="61" t="s">
        <v>136</v>
      </c>
      <c r="E724" s="62">
        <v>0</v>
      </c>
      <c r="F724" s="63">
        <f t="shared" si="557"/>
        <v>0</v>
      </c>
      <c r="G724" s="63">
        <v>0</v>
      </c>
      <c r="H724" s="64">
        <v>0</v>
      </c>
      <c r="I724" s="79">
        <f t="shared" si="559"/>
        <v>0</v>
      </c>
      <c r="J724" s="4">
        <f t="shared" si="552"/>
        <v>0</v>
      </c>
      <c r="K724" s="4">
        <f t="shared" si="558"/>
        <v>0</v>
      </c>
      <c r="L724" s="65" t="e">
        <f t="shared" si="561"/>
        <v>#DIV/0!</v>
      </c>
      <c r="M724" s="152">
        <v>5.6550000000000002</v>
      </c>
      <c r="N724" s="67">
        <f t="shared" ref="N724:N726" si="562">+M724*G724</f>
        <v>0</v>
      </c>
      <c r="O724" s="67">
        <f t="shared" ref="O724:O727" si="563">M724*J724</f>
        <v>0</v>
      </c>
      <c r="P724" s="1003"/>
    </row>
    <row r="725" spans="2:16" x14ac:dyDescent="0.25">
      <c r="B725" s="998"/>
      <c r="C725" s="196" t="s">
        <v>86</v>
      </c>
      <c r="D725" s="61" t="s">
        <v>77</v>
      </c>
      <c r="E725" s="62">
        <v>0</v>
      </c>
      <c r="F725" s="63">
        <f t="shared" si="557"/>
        <v>0</v>
      </c>
      <c r="G725" s="63">
        <v>0</v>
      </c>
      <c r="H725" s="64">
        <v>0</v>
      </c>
      <c r="I725" s="79">
        <f t="shared" si="559"/>
        <v>0</v>
      </c>
      <c r="J725" s="4">
        <f t="shared" si="552"/>
        <v>0</v>
      </c>
      <c r="K725" s="4">
        <f t="shared" si="558"/>
        <v>0</v>
      </c>
      <c r="L725" s="65" t="e">
        <f t="shared" si="561"/>
        <v>#DIV/0!</v>
      </c>
      <c r="M725" s="66">
        <v>3.2963</v>
      </c>
      <c r="N725" s="67">
        <f t="shared" si="562"/>
        <v>0</v>
      </c>
      <c r="O725" s="67">
        <f t="shared" si="563"/>
        <v>0</v>
      </c>
      <c r="P725" s="1003"/>
    </row>
    <row r="726" spans="2:16" x14ac:dyDescent="0.25">
      <c r="B726" s="998"/>
      <c r="C726" s="196" t="s">
        <v>87</v>
      </c>
      <c r="D726" s="61" t="s">
        <v>77</v>
      </c>
      <c r="E726" s="62">
        <v>0</v>
      </c>
      <c r="F726" s="63">
        <f t="shared" si="557"/>
        <v>0</v>
      </c>
      <c r="G726" s="63">
        <v>0</v>
      </c>
      <c r="H726" s="64">
        <v>0</v>
      </c>
      <c r="I726" s="79">
        <f t="shared" si="559"/>
        <v>0</v>
      </c>
      <c r="J726" s="4">
        <f t="shared" si="552"/>
        <v>0</v>
      </c>
      <c r="K726" s="4">
        <f t="shared" si="558"/>
        <v>0</v>
      </c>
      <c r="L726" s="65" t="e">
        <f t="shared" si="561"/>
        <v>#DIV/0!</v>
      </c>
      <c r="M726" s="66">
        <v>3.2963</v>
      </c>
      <c r="N726" s="67">
        <f t="shared" si="562"/>
        <v>0</v>
      </c>
      <c r="O726" s="67">
        <f t="shared" si="563"/>
        <v>0</v>
      </c>
      <c r="P726" s="1003"/>
    </row>
    <row r="727" spans="2:16" ht="15.75" thickBot="1" x14ac:dyDescent="0.3">
      <c r="B727" s="998"/>
      <c r="C727" s="68" t="s">
        <v>88</v>
      </c>
      <c r="D727" s="69" t="s">
        <v>89</v>
      </c>
      <c r="E727" s="70">
        <v>0</v>
      </c>
      <c r="F727" s="71">
        <f t="shared" si="557"/>
        <v>0</v>
      </c>
      <c r="G727" s="71">
        <v>0</v>
      </c>
      <c r="H727" s="72">
        <v>0</v>
      </c>
      <c r="I727" s="80">
        <f t="shared" si="559"/>
        <v>65030</v>
      </c>
      <c r="J727" s="4">
        <f t="shared" si="552"/>
        <v>65000</v>
      </c>
      <c r="K727" s="4">
        <f t="shared" si="558"/>
        <v>30</v>
      </c>
      <c r="L727" s="65" t="e">
        <f t="shared" si="561"/>
        <v>#DIV/0!</v>
      </c>
      <c r="M727" s="73">
        <v>2.3201000000000001</v>
      </c>
      <c r="N727" s="74">
        <f t="shared" ref="N727" si="564">M727*G727</f>
        <v>0</v>
      </c>
      <c r="O727" s="74">
        <f t="shared" si="563"/>
        <v>150806.5</v>
      </c>
      <c r="P727" s="1004"/>
    </row>
    <row r="728" spans="2:16" ht="15.75" thickBot="1" x14ac:dyDescent="0.3">
      <c r="B728" s="999"/>
      <c r="C728" s="1007" t="s">
        <v>99</v>
      </c>
      <c r="D728" s="1008"/>
      <c r="E728" s="1008"/>
      <c r="F728" s="1008"/>
      <c r="G728" s="1008"/>
      <c r="H728" s="1009"/>
      <c r="I728" s="116">
        <f>J728+K728</f>
        <v>802487</v>
      </c>
      <c r="J728" s="115">
        <f>SUM(J700:J727)</f>
        <v>780140</v>
      </c>
      <c r="K728" s="115">
        <f>SUM(K700:K727)</f>
        <v>22347</v>
      </c>
      <c r="L728" s="114"/>
      <c r="M728" s="113"/>
      <c r="N728" s="114"/>
      <c r="O728" s="97">
        <f>SUM(O700:O727)</f>
        <v>6778449.9553000005</v>
      </c>
      <c r="P728" s="96"/>
    </row>
    <row r="729" spans="2:16" ht="15.75" thickBot="1" x14ac:dyDescent="0.3">
      <c r="B729" s="100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2"/>
    </row>
    <row r="730" spans="2:16" ht="15.75" thickBot="1" x14ac:dyDescent="0.3">
      <c r="B730" s="992" t="s">
        <v>100</v>
      </c>
      <c r="C730" s="993"/>
      <c r="D730" s="993"/>
      <c r="E730" s="993"/>
      <c r="F730" s="993"/>
      <c r="G730" s="993"/>
      <c r="H730" s="993"/>
      <c r="I730" s="993"/>
      <c r="J730" s="993"/>
      <c r="K730" s="993"/>
      <c r="L730" s="993"/>
      <c r="M730" s="993"/>
      <c r="N730" s="994"/>
      <c r="O730" s="103">
        <f>+O728+O699+O684</f>
        <v>14743500.3013</v>
      </c>
      <c r="P730" s="96"/>
    </row>
    <row r="731" spans="2:16" ht="15.75" thickBot="1" x14ac:dyDescent="0.3"/>
    <row r="732" spans="2:16" x14ac:dyDescent="0.25">
      <c r="B732" s="1026" t="s">
        <v>1</v>
      </c>
      <c r="C732" s="1028" t="s">
        <v>2</v>
      </c>
      <c r="D732" s="1031" t="s">
        <v>3</v>
      </c>
      <c r="E732" s="1034" t="s">
        <v>4</v>
      </c>
      <c r="F732" s="1035"/>
      <c r="G732" s="1035"/>
      <c r="H732" s="1035"/>
      <c r="I732" s="1035"/>
      <c r="J732" s="1035"/>
      <c r="K732" s="1035"/>
      <c r="L732" s="1036"/>
      <c r="M732" s="1037" t="s">
        <v>5</v>
      </c>
      <c r="N732" s="1038"/>
      <c r="O732" s="1039"/>
      <c r="P732" s="1031" t="s">
        <v>6</v>
      </c>
    </row>
    <row r="733" spans="2:16" x14ac:dyDescent="0.25">
      <c r="B733" s="1027"/>
      <c r="C733" s="1029"/>
      <c r="D733" s="1032"/>
      <c r="E733" s="1040" t="s">
        <v>7</v>
      </c>
      <c r="F733" s="1042" t="s">
        <v>151</v>
      </c>
      <c r="G733" s="1042"/>
      <c r="H733" s="1043"/>
      <c r="I733" s="1044" t="s">
        <v>8</v>
      </c>
      <c r="J733" s="1042"/>
      <c r="K733" s="1042"/>
      <c r="L733" s="1043" t="s">
        <v>9</v>
      </c>
      <c r="M733" s="1046" t="s">
        <v>10</v>
      </c>
      <c r="N733" s="1048" t="s">
        <v>11</v>
      </c>
      <c r="O733" s="1050" t="s">
        <v>12</v>
      </c>
      <c r="P733" s="1032"/>
    </row>
    <row r="734" spans="2:16" ht="15.75" thickBot="1" x14ac:dyDescent="0.3">
      <c r="B734" s="1027"/>
      <c r="C734" s="1030"/>
      <c r="D734" s="1033"/>
      <c r="E734" s="1041"/>
      <c r="F734" s="2" t="s">
        <v>13</v>
      </c>
      <c r="G734" s="2" t="s">
        <v>14</v>
      </c>
      <c r="H734" s="203" t="s">
        <v>15</v>
      </c>
      <c r="I734" s="142" t="s">
        <v>13</v>
      </c>
      <c r="J734" s="2" t="s">
        <v>14</v>
      </c>
      <c r="K734" s="2" t="s">
        <v>15</v>
      </c>
      <c r="L734" s="1045"/>
      <c r="M734" s="1047"/>
      <c r="N734" s="1049"/>
      <c r="O734" s="1051"/>
      <c r="P734" s="1033"/>
    </row>
    <row r="735" spans="2:16" x14ac:dyDescent="0.25">
      <c r="B735" s="1010" t="s">
        <v>53</v>
      </c>
      <c r="C735" s="29"/>
      <c r="D735" s="117" t="s">
        <v>143</v>
      </c>
      <c r="E735" s="98">
        <v>0</v>
      </c>
      <c r="F735" s="4">
        <f>+G735+H735</f>
        <v>0</v>
      </c>
      <c r="G735" s="4">
        <v>0</v>
      </c>
      <c r="H735" s="8">
        <v>0</v>
      </c>
      <c r="I735" s="6">
        <f>J735+K735</f>
        <v>285266</v>
      </c>
      <c r="J735" s="4">
        <f>G735+J670</f>
        <v>280000</v>
      </c>
      <c r="K735" s="4">
        <f>H735+K670</f>
        <v>5266</v>
      </c>
      <c r="L735" s="33" t="e">
        <f>+J735/E735</f>
        <v>#DIV/0!</v>
      </c>
      <c r="M735" s="104">
        <v>1.3652</v>
      </c>
      <c r="N735" s="31">
        <f>G735*M735</f>
        <v>0</v>
      </c>
      <c r="O735" s="86">
        <f>M735*J735</f>
        <v>382256</v>
      </c>
      <c r="P735" s="1012"/>
    </row>
    <row r="736" spans="2:16" x14ac:dyDescent="0.25">
      <c r="B736" s="1011"/>
      <c r="C736" s="32"/>
      <c r="D736" s="118" t="s">
        <v>109</v>
      </c>
      <c r="E736" s="99">
        <v>0</v>
      </c>
      <c r="F736" s="9">
        <f>+G736+H736</f>
        <v>0</v>
      </c>
      <c r="G736" s="9">
        <v>0</v>
      </c>
      <c r="H736" s="10">
        <v>0</v>
      </c>
      <c r="I736" s="6">
        <f>J736+K736</f>
        <v>0</v>
      </c>
      <c r="J736" s="4">
        <f>+G736+J671</f>
        <v>0</v>
      </c>
      <c r="K736" s="4">
        <f>+H736+K671</f>
        <v>0</v>
      </c>
      <c r="L736" s="33"/>
      <c r="M736" s="105">
        <v>5.9917999999999996</v>
      </c>
      <c r="N736" s="34">
        <f>M736*G736</f>
        <v>0</v>
      </c>
      <c r="O736" s="87">
        <f>M736*J736</f>
        <v>0</v>
      </c>
      <c r="P736" s="1013"/>
    </row>
    <row r="737" spans="2:16" x14ac:dyDescent="0.25">
      <c r="B737" s="1011"/>
      <c r="C737" s="35"/>
      <c r="D737" s="119" t="s">
        <v>55</v>
      </c>
      <c r="E737" s="99">
        <v>0</v>
      </c>
      <c r="F737" s="9">
        <f t="shared" ref="F737:F741" si="565">+G737+H737</f>
        <v>231586</v>
      </c>
      <c r="G737" s="9">
        <v>230000</v>
      </c>
      <c r="H737" s="10">
        <v>1586</v>
      </c>
      <c r="I737" s="6">
        <f t="shared" ref="I737:I741" si="566">J737+K737</f>
        <v>2263092</v>
      </c>
      <c r="J737" s="4">
        <f t="shared" ref="J737:J741" si="567">+G737+J672</f>
        <v>2245750</v>
      </c>
      <c r="K737" s="4">
        <f t="shared" ref="K737:K741" si="568">+H737+K672</f>
        <v>17342</v>
      </c>
      <c r="L737" s="33" t="e">
        <f t="shared" ref="L737" si="569">+J737/E737</f>
        <v>#DIV/0!</v>
      </c>
      <c r="M737" s="106">
        <v>2.3807999999999998</v>
      </c>
      <c r="N737" s="36">
        <f>G737*M737</f>
        <v>547584</v>
      </c>
      <c r="O737" s="88">
        <f>M737*J737</f>
        <v>5346681.5999999996</v>
      </c>
      <c r="P737" s="1013"/>
    </row>
    <row r="738" spans="2:16" x14ac:dyDescent="0.25">
      <c r="B738" s="1011"/>
      <c r="C738" s="35"/>
      <c r="D738" s="119" t="s">
        <v>56</v>
      </c>
      <c r="E738" s="99">
        <v>0</v>
      </c>
      <c r="F738" s="9">
        <f t="shared" si="565"/>
        <v>0</v>
      </c>
      <c r="G738" s="9">
        <v>0</v>
      </c>
      <c r="H738" s="10">
        <v>0</v>
      </c>
      <c r="I738" s="6">
        <f t="shared" si="566"/>
        <v>0</v>
      </c>
      <c r="J738" s="4">
        <f t="shared" si="567"/>
        <v>0</v>
      </c>
      <c r="K738" s="4">
        <f t="shared" si="568"/>
        <v>0</v>
      </c>
      <c r="L738" s="33"/>
      <c r="M738" s="106">
        <v>2.1457999999999999</v>
      </c>
      <c r="N738" s="36">
        <f t="shared" ref="N738:N741" si="570">G738*M738</f>
        <v>0</v>
      </c>
      <c r="O738" s="88">
        <f>M738*J738</f>
        <v>0</v>
      </c>
      <c r="P738" s="1013"/>
    </row>
    <row r="739" spans="2:16" x14ac:dyDescent="0.25">
      <c r="B739" s="1011"/>
      <c r="C739" s="35"/>
      <c r="D739" s="119" t="s">
        <v>106</v>
      </c>
      <c r="E739" s="99">
        <v>0</v>
      </c>
      <c r="F739" s="9">
        <f t="shared" si="565"/>
        <v>0</v>
      </c>
      <c r="G739" s="9">
        <v>0</v>
      </c>
      <c r="H739" s="10">
        <v>0</v>
      </c>
      <c r="I739" s="6">
        <f t="shared" si="566"/>
        <v>0</v>
      </c>
      <c r="J739" s="4">
        <f t="shared" si="567"/>
        <v>0</v>
      </c>
      <c r="K739" s="4">
        <f t="shared" si="568"/>
        <v>0</v>
      </c>
      <c r="L739" s="33" t="e">
        <f t="shared" ref="L739:L740" si="571">+J739/E739</f>
        <v>#DIV/0!</v>
      </c>
      <c r="M739" s="143">
        <v>4.0426000000000002</v>
      </c>
      <c r="N739" s="36">
        <f t="shared" si="570"/>
        <v>0</v>
      </c>
      <c r="O739" s="88">
        <f>M739*J739</f>
        <v>0</v>
      </c>
      <c r="P739" s="1013"/>
    </row>
    <row r="740" spans="2:16" x14ac:dyDescent="0.25">
      <c r="B740" s="1011"/>
      <c r="C740" s="35"/>
      <c r="D740" s="119" t="s">
        <v>110</v>
      </c>
      <c r="E740" s="99">
        <v>0</v>
      </c>
      <c r="F740" s="9">
        <f t="shared" si="565"/>
        <v>0</v>
      </c>
      <c r="G740" s="9">
        <v>0</v>
      </c>
      <c r="H740" s="10">
        <v>0</v>
      </c>
      <c r="I740" s="6">
        <f t="shared" si="566"/>
        <v>0</v>
      </c>
      <c r="J740" s="4">
        <f t="shared" si="567"/>
        <v>0</v>
      </c>
      <c r="K740" s="4">
        <f t="shared" si="568"/>
        <v>0</v>
      </c>
      <c r="L740" s="33" t="e">
        <f t="shared" si="571"/>
        <v>#DIV/0!</v>
      </c>
      <c r="M740" s="143">
        <v>3.8715000000000002</v>
      </c>
      <c r="N740" s="36">
        <f t="shared" si="570"/>
        <v>0</v>
      </c>
      <c r="O740" s="88">
        <f t="shared" ref="O740:O741" si="572">M740*J740</f>
        <v>0</v>
      </c>
      <c r="P740" s="1013"/>
    </row>
    <row r="741" spans="2:16" ht="15.75" thickBot="1" x14ac:dyDescent="0.3">
      <c r="B741" s="1011"/>
      <c r="C741" s="82"/>
      <c r="D741" s="120" t="s">
        <v>57</v>
      </c>
      <c r="E741" s="108">
        <v>0</v>
      </c>
      <c r="F741" s="12">
        <f t="shared" si="565"/>
        <v>0</v>
      </c>
      <c r="G741" s="12">
        <v>0</v>
      </c>
      <c r="H741" s="13">
        <v>0</v>
      </c>
      <c r="I741" s="21">
        <f t="shared" si="566"/>
        <v>0</v>
      </c>
      <c r="J741" s="4">
        <f t="shared" si="567"/>
        <v>0</v>
      </c>
      <c r="K741" s="4">
        <f t="shared" si="568"/>
        <v>0</v>
      </c>
      <c r="L741" s="81"/>
      <c r="M741" s="127">
        <v>12.284700000000001</v>
      </c>
      <c r="N741" s="36">
        <f t="shared" si="570"/>
        <v>0</v>
      </c>
      <c r="O741" s="128">
        <f t="shared" si="572"/>
        <v>0</v>
      </c>
      <c r="P741" s="1013"/>
    </row>
    <row r="742" spans="2:16" ht="15.75" thickBot="1" x14ac:dyDescent="0.3">
      <c r="B742" s="1011"/>
      <c r="C742" s="1016" t="s">
        <v>104</v>
      </c>
      <c r="D742" s="1017"/>
      <c r="E742" s="129"/>
      <c r="F742" s="130">
        <f>SUM(F735:F741)</f>
        <v>231586</v>
      </c>
      <c r="G742" s="130">
        <f>SUM(G735:G741)</f>
        <v>230000</v>
      </c>
      <c r="H742" s="131">
        <f>SUM(H735:H741)</f>
        <v>1586</v>
      </c>
      <c r="I742" s="132">
        <f>+J742+K742</f>
        <v>2548358</v>
      </c>
      <c r="J742" s="133">
        <f>SUM(J735:J741)</f>
        <v>2525750</v>
      </c>
      <c r="K742" s="133">
        <f>SUM(K735:K741)</f>
        <v>22608</v>
      </c>
      <c r="L742" s="134"/>
      <c r="M742" s="135"/>
      <c r="N742" s="136"/>
      <c r="O742" s="137">
        <f>SUM(O735:O741)</f>
        <v>5728937.5999999996</v>
      </c>
      <c r="P742" s="1014"/>
    </row>
    <row r="743" spans="2:16" x14ac:dyDescent="0.25">
      <c r="B743" s="1011"/>
      <c r="C743" s="32"/>
      <c r="D743" s="118" t="s">
        <v>58</v>
      </c>
      <c r="E743" s="98">
        <v>0</v>
      </c>
      <c r="F743" s="4">
        <f t="shared" ref="F743:F746" si="573">+G743+H743</f>
        <v>0</v>
      </c>
      <c r="G743" s="4">
        <v>0</v>
      </c>
      <c r="H743" s="8">
        <v>0</v>
      </c>
      <c r="I743" s="6">
        <f t="shared" ref="I743:I747" si="574">J743+K743</f>
        <v>0</v>
      </c>
      <c r="J743" s="4">
        <f>G743+J678</f>
        <v>0</v>
      </c>
      <c r="K743" s="4">
        <f>H743+K678</f>
        <v>0</v>
      </c>
      <c r="L743" s="33" t="e">
        <f t="shared" ref="L743" si="575">+J743/E743</f>
        <v>#DIV/0!</v>
      </c>
      <c r="M743" s="105">
        <v>12.029500000000001</v>
      </c>
      <c r="N743" s="34">
        <f>M743*G743</f>
        <v>0</v>
      </c>
      <c r="O743" s="87">
        <f t="shared" ref="O743:O745" si="576">M743*J743</f>
        <v>0</v>
      </c>
      <c r="P743" s="1013"/>
    </row>
    <row r="744" spans="2:16" x14ac:dyDescent="0.25">
      <c r="B744" s="1011"/>
      <c r="C744" s="35"/>
      <c r="D744" s="119" t="s">
        <v>59</v>
      </c>
      <c r="E744" s="99">
        <v>0</v>
      </c>
      <c r="F744" s="9">
        <f t="shared" si="573"/>
        <v>0</v>
      </c>
      <c r="G744" s="9">
        <v>0</v>
      </c>
      <c r="H744" s="10">
        <v>0</v>
      </c>
      <c r="I744" s="6">
        <f t="shared" si="574"/>
        <v>0</v>
      </c>
      <c r="J744" s="4">
        <f>G744+J679</f>
        <v>0</v>
      </c>
      <c r="K744" s="4">
        <f>H744+K679</f>
        <v>0</v>
      </c>
      <c r="L744" s="33"/>
      <c r="M744" s="106">
        <v>0</v>
      </c>
      <c r="N744" s="36"/>
      <c r="O744" s="88">
        <f t="shared" si="576"/>
        <v>0</v>
      </c>
      <c r="P744" s="1013"/>
    </row>
    <row r="745" spans="2:16" x14ac:dyDescent="0.25">
      <c r="B745" s="1011"/>
      <c r="C745" s="35"/>
      <c r="D745" s="119" t="s">
        <v>97</v>
      </c>
      <c r="E745" s="99">
        <v>0</v>
      </c>
      <c r="F745" s="9">
        <f t="shared" si="573"/>
        <v>0</v>
      </c>
      <c r="G745" s="9">
        <v>0</v>
      </c>
      <c r="H745" s="10">
        <v>0</v>
      </c>
      <c r="I745" s="6">
        <f t="shared" si="574"/>
        <v>0</v>
      </c>
      <c r="J745" s="4">
        <f t="shared" ref="J745:J747" si="577">G745+J680</f>
        <v>0</v>
      </c>
      <c r="K745" s="4">
        <f t="shared" ref="K745:K747" si="578">H745+K680</f>
        <v>0</v>
      </c>
      <c r="L745" s="33" t="e">
        <f t="shared" ref="L745:L747" si="579">+J745/E745</f>
        <v>#DIV/0!</v>
      </c>
      <c r="M745" s="106">
        <v>19.688600000000001</v>
      </c>
      <c r="N745" s="36">
        <f>M745*G745</f>
        <v>0</v>
      </c>
      <c r="O745" s="88">
        <f t="shared" si="576"/>
        <v>0</v>
      </c>
      <c r="P745" s="1013"/>
    </row>
    <row r="746" spans="2:16" x14ac:dyDescent="0.25">
      <c r="B746" s="1011"/>
      <c r="C746" s="35"/>
      <c r="D746" s="119" t="s">
        <v>61</v>
      </c>
      <c r="E746" s="99">
        <v>0</v>
      </c>
      <c r="F746" s="9">
        <f t="shared" si="573"/>
        <v>0</v>
      </c>
      <c r="G746" s="9">
        <v>0</v>
      </c>
      <c r="H746" s="10">
        <v>0</v>
      </c>
      <c r="I746" s="6">
        <f t="shared" si="574"/>
        <v>0</v>
      </c>
      <c r="J746" s="4">
        <f t="shared" si="577"/>
        <v>0</v>
      </c>
      <c r="K746" s="4">
        <f t="shared" si="578"/>
        <v>0</v>
      </c>
      <c r="L746" s="33" t="e">
        <f t="shared" si="579"/>
        <v>#DIV/0!</v>
      </c>
      <c r="M746" s="106">
        <v>1.2824</v>
      </c>
      <c r="N746" s="151">
        <f>M746*G746</f>
        <v>0</v>
      </c>
      <c r="O746" s="88">
        <f>M746*J746</f>
        <v>0</v>
      </c>
      <c r="P746" s="1013"/>
    </row>
    <row r="747" spans="2:16" ht="15.75" thickBot="1" x14ac:dyDescent="0.3">
      <c r="B747" s="1011"/>
      <c r="C747" s="82"/>
      <c r="D747" s="120" t="s">
        <v>60</v>
      </c>
      <c r="E747" s="108">
        <v>0</v>
      </c>
      <c r="F747" s="12">
        <v>0</v>
      </c>
      <c r="G747" s="12">
        <v>12960</v>
      </c>
      <c r="H747" s="13">
        <v>184</v>
      </c>
      <c r="I747" s="21">
        <f t="shared" si="574"/>
        <v>48090</v>
      </c>
      <c r="J747" s="4">
        <f t="shared" si="577"/>
        <v>47520</v>
      </c>
      <c r="K747" s="4">
        <f t="shared" si="578"/>
        <v>570</v>
      </c>
      <c r="L747" s="81" t="e">
        <f t="shared" si="579"/>
        <v>#DIV/0!</v>
      </c>
      <c r="M747" s="107">
        <v>18.2316</v>
      </c>
      <c r="N747" s="75"/>
      <c r="O747" s="89">
        <f t="shared" ref="O747" si="580">M747*J747</f>
        <v>866365.63199999998</v>
      </c>
      <c r="P747" s="1015"/>
    </row>
    <row r="748" spans="2:16" ht="15.75" thickBot="1" x14ac:dyDescent="0.3">
      <c r="B748" s="995" t="s">
        <v>105</v>
      </c>
      <c r="C748" s="996"/>
      <c r="D748" s="996"/>
      <c r="E748" s="124"/>
      <c r="F748" s="125">
        <f>+G748+H748</f>
        <v>13144</v>
      </c>
      <c r="G748" s="125">
        <f>SUM(G743:G747)</f>
        <v>12960</v>
      </c>
      <c r="H748" s="126">
        <f>SUM(H743:H747)</f>
        <v>184</v>
      </c>
      <c r="I748" s="121">
        <f>J748+K748</f>
        <v>48090</v>
      </c>
      <c r="J748" s="122">
        <f>SUM(J743:J747)</f>
        <v>47520</v>
      </c>
      <c r="K748" s="123">
        <f>SUM(K743:K747)</f>
        <v>570</v>
      </c>
      <c r="L748" s="138"/>
      <c r="M748" s="139"/>
      <c r="N748" s="140"/>
      <c r="O748" s="141">
        <f>SUM(O743:O747)</f>
        <v>866365.63199999998</v>
      </c>
      <c r="P748" s="201"/>
    </row>
    <row r="749" spans="2:16" ht="15.75" thickBot="1" x14ac:dyDescent="0.3">
      <c r="B749" s="995" t="s">
        <v>98</v>
      </c>
      <c r="C749" s="996"/>
      <c r="D749" s="996"/>
      <c r="E749" s="1018"/>
      <c r="F749" s="1018"/>
      <c r="G749" s="1018"/>
      <c r="H749" s="1018"/>
      <c r="I749" s="996"/>
      <c r="J749" s="996"/>
      <c r="K749" s="996"/>
      <c r="L749" s="996"/>
      <c r="M749" s="996"/>
      <c r="N749" s="1019"/>
      <c r="O749" s="83">
        <f>O742+O748</f>
        <v>6595303.2319999998</v>
      </c>
      <c r="P749" s="201"/>
    </row>
    <row r="750" spans="2:16" x14ac:dyDescent="0.25">
      <c r="B750" s="1010" t="s">
        <v>62</v>
      </c>
      <c r="C750" s="37" t="s">
        <v>63</v>
      </c>
      <c r="D750" s="28" t="s">
        <v>64</v>
      </c>
      <c r="E750" s="38">
        <v>0</v>
      </c>
      <c r="F750" s="14">
        <f>+G750+H750</f>
        <v>0</v>
      </c>
      <c r="G750" s="14">
        <v>0</v>
      </c>
      <c r="H750" s="5">
        <v>0</v>
      </c>
      <c r="I750" s="17">
        <f t="shared" ref="I750:I756" si="581">J750+K750</f>
        <v>0</v>
      </c>
      <c r="J750" s="4">
        <f>G750+J685</f>
        <v>0</v>
      </c>
      <c r="K750" s="4">
        <f>H750+K685</f>
        <v>0</v>
      </c>
      <c r="L750" s="30" t="e">
        <f>+J750/E750</f>
        <v>#DIV/0!</v>
      </c>
      <c r="M750" s="146">
        <v>2.2141000000000002</v>
      </c>
      <c r="N750" s="15">
        <f>+M750*G750</f>
        <v>0</v>
      </c>
      <c r="O750" s="90">
        <f>+M750*J750</f>
        <v>0</v>
      </c>
      <c r="P750" s="1021"/>
    </row>
    <row r="751" spans="2:16" x14ac:dyDescent="0.25">
      <c r="B751" s="1011"/>
      <c r="C751" s="39"/>
      <c r="D751" s="22" t="s">
        <v>65</v>
      </c>
      <c r="E751" s="3">
        <v>0</v>
      </c>
      <c r="F751" s="9">
        <f t="shared" ref="F751:F756" si="582">+G751+H751</f>
        <v>0</v>
      </c>
      <c r="G751" s="4">
        <v>0</v>
      </c>
      <c r="H751" s="8">
        <v>0</v>
      </c>
      <c r="I751" s="6">
        <f t="shared" si="581"/>
        <v>0</v>
      </c>
      <c r="J751" s="4">
        <f>+G751+J686</f>
        <v>0</v>
      </c>
      <c r="K751" s="4">
        <f>+H751+K686</f>
        <v>0</v>
      </c>
      <c r="L751" s="40" t="e">
        <f t="shared" ref="L751:L752" si="583">+J751/E751</f>
        <v>#DIV/0!</v>
      </c>
      <c r="M751" s="145">
        <v>2.4565999999999999</v>
      </c>
      <c r="N751" s="11">
        <f t="shared" ref="N751:N753" si="584">+M751*G751</f>
        <v>0</v>
      </c>
      <c r="O751" s="91">
        <f t="shared" ref="O751:O753" si="585">+M751*J751</f>
        <v>0</v>
      </c>
      <c r="P751" s="1022"/>
    </row>
    <row r="752" spans="2:16" x14ac:dyDescent="0.25">
      <c r="B752" s="1011"/>
      <c r="C752" s="39"/>
      <c r="D752" s="23" t="s">
        <v>126</v>
      </c>
      <c r="E752" s="3">
        <v>0</v>
      </c>
      <c r="F752" s="9">
        <f t="shared" si="582"/>
        <v>0</v>
      </c>
      <c r="G752" s="4">
        <v>0</v>
      </c>
      <c r="H752" s="8">
        <v>0</v>
      </c>
      <c r="I752" s="6">
        <f t="shared" si="581"/>
        <v>0</v>
      </c>
      <c r="J752" s="4">
        <f t="shared" ref="J752:J753" si="586">+G752+J687</f>
        <v>0</v>
      </c>
      <c r="K752" s="4">
        <f t="shared" ref="K752:K756" si="587">+H752+K687</f>
        <v>0</v>
      </c>
      <c r="L752" s="40" t="e">
        <f t="shared" si="583"/>
        <v>#DIV/0!</v>
      </c>
      <c r="M752" s="145">
        <v>2.2907000000000002</v>
      </c>
      <c r="N752" s="11">
        <f t="shared" si="584"/>
        <v>0</v>
      </c>
      <c r="O752" s="91">
        <f t="shared" si="585"/>
        <v>0</v>
      </c>
      <c r="P752" s="1022"/>
    </row>
    <row r="753" spans="2:16" x14ac:dyDescent="0.25">
      <c r="B753" s="1011"/>
      <c r="C753" s="39"/>
      <c r="D753" s="22" t="s">
        <v>131</v>
      </c>
      <c r="E753" s="3"/>
      <c r="F753" s="9">
        <f t="shared" si="582"/>
        <v>0</v>
      </c>
      <c r="G753" s="4">
        <v>0</v>
      </c>
      <c r="H753" s="8">
        <v>0</v>
      </c>
      <c r="I753" s="6">
        <f t="shared" si="581"/>
        <v>0</v>
      </c>
      <c r="J753" s="4">
        <f t="shared" si="586"/>
        <v>0</v>
      </c>
      <c r="K753" s="4">
        <f t="shared" si="587"/>
        <v>0</v>
      </c>
      <c r="L753" s="33"/>
      <c r="M753" s="150">
        <v>2.544</v>
      </c>
      <c r="N753" s="11">
        <f t="shared" si="584"/>
        <v>0</v>
      </c>
      <c r="O753" s="91">
        <f t="shared" si="585"/>
        <v>0</v>
      </c>
      <c r="P753" s="1022"/>
    </row>
    <row r="754" spans="2:16" x14ac:dyDescent="0.25">
      <c r="B754" s="1011"/>
      <c r="C754" s="39" t="s">
        <v>66</v>
      </c>
      <c r="D754" s="22" t="s">
        <v>133</v>
      </c>
      <c r="E754" s="3">
        <v>0</v>
      </c>
      <c r="F754" s="9">
        <f t="shared" si="582"/>
        <v>20100</v>
      </c>
      <c r="G754" s="4">
        <v>18750</v>
      </c>
      <c r="H754" s="8">
        <v>1350</v>
      </c>
      <c r="I754" s="6">
        <f t="shared" si="581"/>
        <v>544662</v>
      </c>
      <c r="J754" s="4">
        <f>+G754+J689</f>
        <v>530500</v>
      </c>
      <c r="K754" s="4">
        <f t="shared" si="587"/>
        <v>14162</v>
      </c>
      <c r="L754" s="33" t="e">
        <f>+J754/E754</f>
        <v>#DIV/0!</v>
      </c>
      <c r="M754" s="144">
        <v>2.2141000000000002</v>
      </c>
      <c r="N754" s="7">
        <f>+M754*G754</f>
        <v>41514.375</v>
      </c>
      <c r="O754" s="85">
        <f>+M754*J754</f>
        <v>1174580.05</v>
      </c>
      <c r="P754" s="1022"/>
    </row>
    <row r="755" spans="2:16" x14ac:dyDescent="0.25">
      <c r="B755" s="1011"/>
      <c r="C755" s="39"/>
      <c r="D755" s="22" t="s">
        <v>65</v>
      </c>
      <c r="E755" s="3">
        <v>0</v>
      </c>
      <c r="F755" s="9">
        <f t="shared" si="582"/>
        <v>0</v>
      </c>
      <c r="G755" s="4">
        <v>0</v>
      </c>
      <c r="H755" s="8">
        <v>0</v>
      </c>
      <c r="I755" s="6">
        <f t="shared" si="581"/>
        <v>0</v>
      </c>
      <c r="J755" s="4">
        <f t="shared" ref="J755:J756" si="588">+G755+J690</f>
        <v>0</v>
      </c>
      <c r="K755" s="4">
        <f t="shared" si="587"/>
        <v>0</v>
      </c>
      <c r="L755" s="40" t="e">
        <f t="shared" ref="L755:L756" si="589">+J755/E755</f>
        <v>#DIV/0!</v>
      </c>
      <c r="M755" s="145">
        <v>2.4565999999999999</v>
      </c>
      <c r="N755" s="11">
        <f t="shared" ref="N755:N756" si="590">+M755*G755</f>
        <v>0</v>
      </c>
      <c r="O755" s="91">
        <f t="shared" ref="O755" si="591">+M755*J755</f>
        <v>0</v>
      </c>
      <c r="P755" s="1022"/>
    </row>
    <row r="756" spans="2:16" ht="15.75" thickBot="1" x14ac:dyDescent="0.3">
      <c r="B756" s="1011"/>
      <c r="C756" s="39"/>
      <c r="D756" s="22" t="s">
        <v>126</v>
      </c>
      <c r="E756" s="3">
        <v>0</v>
      </c>
      <c r="F756" s="9">
        <f t="shared" si="582"/>
        <v>0</v>
      </c>
      <c r="G756" s="4">
        <v>0</v>
      </c>
      <c r="H756" s="8">
        <v>0</v>
      </c>
      <c r="I756" s="6">
        <f t="shared" si="581"/>
        <v>0</v>
      </c>
      <c r="J756" s="4">
        <f t="shared" si="588"/>
        <v>0</v>
      </c>
      <c r="K756" s="4">
        <f t="shared" si="587"/>
        <v>0</v>
      </c>
      <c r="L756" s="40" t="e">
        <f t="shared" si="589"/>
        <v>#DIV/0!</v>
      </c>
      <c r="M756" s="145">
        <v>2.2907000000000002</v>
      </c>
      <c r="N756" s="11">
        <f t="shared" si="590"/>
        <v>0</v>
      </c>
      <c r="O756" s="154">
        <f>+M756*J756</f>
        <v>0</v>
      </c>
      <c r="P756" s="1023"/>
    </row>
    <row r="757" spans="2:16" ht="15.75" thickBot="1" x14ac:dyDescent="0.3">
      <c r="B757" s="1011"/>
      <c r="C757" s="41" t="s">
        <v>29</v>
      </c>
      <c r="D757" s="27" t="str">
        <f>+C757</f>
        <v>TOTAL 1/2</v>
      </c>
      <c r="E757" s="42">
        <f>SUM(E750:E756)</f>
        <v>0</v>
      </c>
      <c r="F757" s="43">
        <f>SUM(F750:F756)</f>
        <v>20100</v>
      </c>
      <c r="G757" s="43">
        <f>SUM(G750:G756)</f>
        <v>18750</v>
      </c>
      <c r="H757" s="44">
        <f>SUM(H750:H756)</f>
        <v>1350</v>
      </c>
      <c r="I757" s="45">
        <f>SUM(I754:I756)</f>
        <v>544662</v>
      </c>
      <c r="J757" s="43">
        <f>SUM(J750:J756)</f>
        <v>530500</v>
      </c>
      <c r="K757" s="43">
        <f>SUM(K750:K756)</f>
        <v>14162</v>
      </c>
      <c r="L757" s="46" t="e">
        <f>+J757/E757</f>
        <v>#DIV/0!</v>
      </c>
      <c r="M757" s="47"/>
      <c r="N757" s="48">
        <f>SUM(N754:N756)</f>
        <v>41514.375</v>
      </c>
      <c r="O757" s="49">
        <f>SUM(O750:O756)</f>
        <v>1174580.05</v>
      </c>
      <c r="P757" s="202"/>
    </row>
    <row r="758" spans="2:16" x14ac:dyDescent="0.25">
      <c r="B758" s="1011"/>
      <c r="C758" s="1024" t="s">
        <v>67</v>
      </c>
      <c r="D758" s="22" t="s">
        <v>64</v>
      </c>
      <c r="E758" s="3">
        <v>0</v>
      </c>
      <c r="F758" s="4">
        <f>G758+H758</f>
        <v>0</v>
      </c>
      <c r="G758" s="4">
        <v>0</v>
      </c>
      <c r="H758" s="8">
        <v>0</v>
      </c>
      <c r="I758" s="16">
        <f>J758+K758</f>
        <v>109220</v>
      </c>
      <c r="J758" s="4">
        <f>G758+J693</f>
        <v>105750</v>
      </c>
      <c r="K758" s="4">
        <f>H758+K693</f>
        <v>3470</v>
      </c>
      <c r="L758" s="50" t="e">
        <f>+J758/E758</f>
        <v>#DIV/0!</v>
      </c>
      <c r="M758" s="144">
        <v>4.1712999999999996</v>
      </c>
      <c r="N758" s="7">
        <f>+M758*G758</f>
        <v>0</v>
      </c>
      <c r="O758" s="93">
        <f>+M758*J758</f>
        <v>441114.97499999998</v>
      </c>
      <c r="P758" s="1021"/>
    </row>
    <row r="759" spans="2:16" x14ac:dyDescent="0.25">
      <c r="B759" s="1011"/>
      <c r="C759" s="1025"/>
      <c r="D759" s="22" t="s">
        <v>65</v>
      </c>
      <c r="E759" s="3">
        <v>0</v>
      </c>
      <c r="F759" s="4">
        <f>G759+H759</f>
        <v>0</v>
      </c>
      <c r="G759" s="4">
        <v>0</v>
      </c>
      <c r="H759" s="8">
        <v>0</v>
      </c>
      <c r="I759" s="6">
        <f>+R1803+F759</f>
        <v>0</v>
      </c>
      <c r="J759" s="4">
        <f>G759+J694</f>
        <v>120000</v>
      </c>
      <c r="K759" s="4">
        <f>H759+K694</f>
        <v>3230</v>
      </c>
      <c r="L759" s="51" t="e">
        <f t="shared" ref="L759:L763" si="592">+J759/E759</f>
        <v>#DIV/0!</v>
      </c>
      <c r="M759" s="145">
        <v>4.8285999999999998</v>
      </c>
      <c r="N759" s="11">
        <f t="shared" ref="N759:N761" si="593">+M759*G759</f>
        <v>0</v>
      </c>
      <c r="O759" s="94">
        <f t="shared" ref="O759:O761" si="594">+M759*J759</f>
        <v>579432</v>
      </c>
      <c r="P759" s="1022"/>
    </row>
    <row r="760" spans="2:16" x14ac:dyDescent="0.25">
      <c r="B760" s="1011"/>
      <c r="C760" s="1025"/>
      <c r="D760" s="22" t="s">
        <v>127</v>
      </c>
      <c r="E760" s="3"/>
      <c r="F760" s="4">
        <f>G760+H760</f>
        <v>0</v>
      </c>
      <c r="G760" s="4">
        <v>0</v>
      </c>
      <c r="H760" s="8">
        <v>0</v>
      </c>
      <c r="I760" s="6">
        <f>+R1804+F760</f>
        <v>0</v>
      </c>
      <c r="J760" s="4">
        <f t="shared" ref="J760:J761" si="595">G760+J695</f>
        <v>0</v>
      </c>
      <c r="K760" s="4">
        <f t="shared" ref="K760:K761" si="596">H760+K695</f>
        <v>0</v>
      </c>
      <c r="L760" s="51" t="e">
        <f t="shared" si="592"/>
        <v>#DIV/0!</v>
      </c>
      <c r="M760" s="144">
        <v>4.5023</v>
      </c>
      <c r="N760" s="11">
        <f t="shared" si="593"/>
        <v>0</v>
      </c>
      <c r="O760" s="94">
        <f t="shared" si="594"/>
        <v>0</v>
      </c>
      <c r="P760" s="1022"/>
    </row>
    <row r="761" spans="2:16" ht="15.75" thickBot="1" x14ac:dyDescent="0.3">
      <c r="B761" s="1011"/>
      <c r="C761" s="1025"/>
      <c r="D761" s="22" t="s">
        <v>111</v>
      </c>
      <c r="E761" s="3">
        <v>0</v>
      </c>
      <c r="F761" s="4">
        <f t="shared" ref="F761" si="597">G761+H761</f>
        <v>0</v>
      </c>
      <c r="G761" s="4">
        <v>0</v>
      </c>
      <c r="H761" s="8">
        <v>0</v>
      </c>
      <c r="I761" s="6">
        <f>+R1804+F761</f>
        <v>0</v>
      </c>
      <c r="J761" s="4">
        <f t="shared" si="595"/>
        <v>0</v>
      </c>
      <c r="K761" s="4">
        <f t="shared" si="596"/>
        <v>0</v>
      </c>
      <c r="L761" s="51" t="e">
        <f t="shared" si="592"/>
        <v>#DIV/0!</v>
      </c>
      <c r="M761" s="144">
        <v>4.4065000000000003</v>
      </c>
      <c r="N761" s="11">
        <f t="shared" si="593"/>
        <v>0</v>
      </c>
      <c r="O761" s="94">
        <f t="shared" si="594"/>
        <v>0</v>
      </c>
      <c r="P761" s="1022"/>
    </row>
    <row r="762" spans="2:16" ht="15.75" thickBot="1" x14ac:dyDescent="0.3">
      <c r="B762" s="1011"/>
      <c r="C762" s="41" t="s">
        <v>31</v>
      </c>
      <c r="D762" s="18" t="str">
        <f>+C762</f>
        <v>TOTAL 4/4</v>
      </c>
      <c r="E762" s="42">
        <f t="shared" ref="E762:K762" si="598">SUM(E758:E761)</f>
        <v>0</v>
      </c>
      <c r="F762" s="43">
        <f t="shared" si="598"/>
        <v>0</v>
      </c>
      <c r="G762" s="43">
        <f t="shared" si="598"/>
        <v>0</v>
      </c>
      <c r="H762" s="44">
        <f t="shared" si="598"/>
        <v>0</v>
      </c>
      <c r="I762" s="45">
        <f t="shared" si="598"/>
        <v>109220</v>
      </c>
      <c r="J762" s="43">
        <f t="shared" si="598"/>
        <v>225750</v>
      </c>
      <c r="K762" s="43">
        <f t="shared" si="598"/>
        <v>6700</v>
      </c>
      <c r="L762" s="46" t="e">
        <f t="shared" si="592"/>
        <v>#DIV/0!</v>
      </c>
      <c r="M762" s="47"/>
      <c r="N762" s="48">
        <f>SUM(N758:N761)</f>
        <v>0</v>
      </c>
      <c r="O762" s="92">
        <f>SUM(O758:O761)</f>
        <v>1020546.975</v>
      </c>
      <c r="P762" s="1023"/>
    </row>
    <row r="763" spans="2:16" ht="15.75" thickBot="1" x14ac:dyDescent="0.3">
      <c r="B763" s="1020"/>
      <c r="C763" s="41" t="s">
        <v>68</v>
      </c>
      <c r="D763" s="27" t="s">
        <v>64</v>
      </c>
      <c r="E763" s="25">
        <v>0</v>
      </c>
      <c r="F763" s="20">
        <f>G763+H763</f>
        <v>0</v>
      </c>
      <c r="G763" s="20">
        <v>0</v>
      </c>
      <c r="H763" s="24">
        <v>0</v>
      </c>
      <c r="I763" s="19">
        <f>J763+K763</f>
        <v>0</v>
      </c>
      <c r="J763" s="4">
        <f>G763+J698</f>
        <v>0</v>
      </c>
      <c r="K763" s="4">
        <f>H763+K698</f>
        <v>0</v>
      </c>
      <c r="L763" s="52" t="e">
        <f t="shared" si="592"/>
        <v>#DIV/0!</v>
      </c>
      <c r="M763" s="149">
        <v>1.4086000000000001</v>
      </c>
      <c r="N763" s="26">
        <f t="shared" ref="N763" si="599">+M763*G763</f>
        <v>0</v>
      </c>
      <c r="O763" s="95">
        <f t="shared" ref="O763" si="600">+M763*J763</f>
        <v>0</v>
      </c>
      <c r="P763" s="53"/>
    </row>
    <row r="764" spans="2:16" ht="15.75" thickBot="1" x14ac:dyDescent="0.3">
      <c r="B764" s="995" t="s">
        <v>95</v>
      </c>
      <c r="C764" s="996"/>
      <c r="D764" s="996"/>
      <c r="E764" s="996"/>
      <c r="F764" s="996"/>
      <c r="G764" s="996"/>
      <c r="H764" s="996"/>
      <c r="I764" s="110">
        <f>J764+K764</f>
        <v>777112</v>
      </c>
      <c r="J764" s="110">
        <f>J757+J762+J763</f>
        <v>756250</v>
      </c>
      <c r="K764" s="110">
        <f>K757+K762+K763</f>
        <v>20862</v>
      </c>
      <c r="L764" s="111"/>
      <c r="M764" s="112"/>
      <c r="N764" s="109"/>
      <c r="O764" s="77">
        <f>+O763+O762+O757</f>
        <v>2195127.0249999999</v>
      </c>
      <c r="P764" s="84"/>
    </row>
    <row r="765" spans="2:16" x14ac:dyDescent="0.25">
      <c r="B765" s="997" t="s">
        <v>69</v>
      </c>
      <c r="C765" s="1000" t="s">
        <v>70</v>
      </c>
      <c r="D765" s="54" t="s">
        <v>71</v>
      </c>
      <c r="E765" s="55">
        <v>0</v>
      </c>
      <c r="F765" s="56">
        <f>G765+H765</f>
        <v>5063</v>
      </c>
      <c r="G765" s="56">
        <v>5000</v>
      </c>
      <c r="H765" s="57">
        <v>63</v>
      </c>
      <c r="I765" s="78">
        <f>J765+K765</f>
        <v>15133</v>
      </c>
      <c r="J765" s="4">
        <f>G765+J700</f>
        <v>15000</v>
      </c>
      <c r="K765" s="4">
        <f>H765+K700</f>
        <v>133</v>
      </c>
      <c r="L765" s="58" t="e">
        <f t="shared" ref="L765" si="601">+J765/E765</f>
        <v>#DIV/0!</v>
      </c>
      <c r="M765" s="59">
        <v>32.946300000000001</v>
      </c>
      <c r="N765" s="60">
        <f>+M765*G765</f>
        <v>164731.5</v>
      </c>
      <c r="O765" s="60">
        <f>M765*J765</f>
        <v>494194.5</v>
      </c>
      <c r="P765" s="1002"/>
    </row>
    <row r="766" spans="2:16" x14ac:dyDescent="0.25">
      <c r="B766" s="998"/>
      <c r="C766" s="1001"/>
      <c r="D766" s="61" t="s">
        <v>72</v>
      </c>
      <c r="E766" s="62">
        <v>0</v>
      </c>
      <c r="F766" s="63">
        <f>G766+H766</f>
        <v>0</v>
      </c>
      <c r="G766" s="63">
        <v>0</v>
      </c>
      <c r="H766" s="64">
        <v>0</v>
      </c>
      <c r="I766" s="79">
        <f>J766+K766</f>
        <v>31833</v>
      </c>
      <c r="J766" s="4">
        <f>G766+J701</f>
        <v>31420</v>
      </c>
      <c r="K766" s="4">
        <f>H766+K701</f>
        <v>413</v>
      </c>
      <c r="L766" s="65" t="e">
        <f>+J766/E766</f>
        <v>#DIV/0!</v>
      </c>
      <c r="M766" s="66">
        <v>35.398400000000002</v>
      </c>
      <c r="N766" s="67">
        <f>+M766*G766</f>
        <v>0</v>
      </c>
      <c r="O766" s="67">
        <f>M766*J766</f>
        <v>1112217.7280000001</v>
      </c>
      <c r="P766" s="1003"/>
    </row>
    <row r="767" spans="2:16" x14ac:dyDescent="0.25">
      <c r="B767" s="998"/>
      <c r="C767" s="1001"/>
      <c r="D767" s="61" t="s">
        <v>73</v>
      </c>
      <c r="E767" s="62">
        <v>0</v>
      </c>
      <c r="F767" s="63">
        <f t="shared" ref="F767:F770" si="602">G767+H767</f>
        <v>0</v>
      </c>
      <c r="G767" s="63">
        <v>0</v>
      </c>
      <c r="H767" s="64">
        <v>0</v>
      </c>
      <c r="I767" s="79">
        <f t="shared" ref="I767:I776" si="603">J767+K767</f>
        <v>0</v>
      </c>
      <c r="J767" s="4">
        <f t="shared" ref="J767:J792" si="604">G767+J702</f>
        <v>0</v>
      </c>
      <c r="K767" s="4">
        <f t="shared" ref="K767:K771" si="605">H767+K702</f>
        <v>0</v>
      </c>
      <c r="L767" s="65" t="e">
        <f t="shared" ref="L767:L780" si="606">+J767/E767</f>
        <v>#DIV/0!</v>
      </c>
      <c r="M767" s="66">
        <v>32.946300000000001</v>
      </c>
      <c r="N767" s="67">
        <f t="shared" ref="N767:N787" si="607">+M767*G767</f>
        <v>0</v>
      </c>
      <c r="O767" s="67">
        <f t="shared" ref="O767:O775" si="608">M767*J767</f>
        <v>0</v>
      </c>
      <c r="P767" s="1003"/>
    </row>
    <row r="768" spans="2:16" x14ac:dyDescent="0.25">
      <c r="B768" s="998"/>
      <c r="C768" s="1001" t="s">
        <v>74</v>
      </c>
      <c r="D768" s="61" t="s">
        <v>75</v>
      </c>
      <c r="E768" s="62">
        <v>0</v>
      </c>
      <c r="F768" s="63">
        <f t="shared" si="602"/>
        <v>2479</v>
      </c>
      <c r="G768" s="63">
        <v>2400</v>
      </c>
      <c r="H768" s="64">
        <v>79</v>
      </c>
      <c r="I768" s="79">
        <f t="shared" si="603"/>
        <v>14758</v>
      </c>
      <c r="J768" s="4">
        <f t="shared" si="604"/>
        <v>14400</v>
      </c>
      <c r="K768" s="4">
        <f t="shared" si="605"/>
        <v>358</v>
      </c>
      <c r="L768" s="65" t="e">
        <f t="shared" si="606"/>
        <v>#DIV/0!</v>
      </c>
      <c r="M768" s="66">
        <v>55.4758</v>
      </c>
      <c r="N768" s="67">
        <f t="shared" si="607"/>
        <v>133141.92000000001</v>
      </c>
      <c r="O768" s="67">
        <f t="shared" si="608"/>
        <v>798851.52</v>
      </c>
      <c r="P768" s="1003"/>
    </row>
    <row r="769" spans="2:16" x14ac:dyDescent="0.25">
      <c r="B769" s="998"/>
      <c r="C769" s="1001"/>
      <c r="D769" s="61" t="s">
        <v>134</v>
      </c>
      <c r="E769" s="62">
        <v>0</v>
      </c>
      <c r="F769" s="63">
        <f t="shared" si="602"/>
        <v>0</v>
      </c>
      <c r="G769" s="63">
        <v>0</v>
      </c>
      <c r="H769" s="64">
        <v>0</v>
      </c>
      <c r="I769" s="79">
        <f t="shared" si="603"/>
        <v>0</v>
      </c>
      <c r="J769" s="4">
        <f t="shared" si="604"/>
        <v>0</v>
      </c>
      <c r="K769" s="4">
        <f t="shared" si="605"/>
        <v>0</v>
      </c>
      <c r="L769" s="65" t="e">
        <f t="shared" si="606"/>
        <v>#DIV/0!</v>
      </c>
      <c r="M769" s="66">
        <v>53.515999999999998</v>
      </c>
      <c r="N769" s="67">
        <f t="shared" si="607"/>
        <v>0</v>
      </c>
      <c r="O769" s="67">
        <f t="shared" si="608"/>
        <v>0</v>
      </c>
      <c r="P769" s="1003"/>
    </row>
    <row r="770" spans="2:16" x14ac:dyDescent="0.25">
      <c r="B770" s="998"/>
      <c r="C770" s="1001"/>
      <c r="D770" s="61" t="s">
        <v>72</v>
      </c>
      <c r="E770" s="62">
        <v>0</v>
      </c>
      <c r="F770" s="63">
        <f t="shared" si="602"/>
        <v>0</v>
      </c>
      <c r="G770" s="63">
        <v>0</v>
      </c>
      <c r="H770" s="64">
        <v>0</v>
      </c>
      <c r="I770" s="79">
        <f t="shared" si="603"/>
        <v>9804</v>
      </c>
      <c r="J770" s="4">
        <f t="shared" si="604"/>
        <v>9600</v>
      </c>
      <c r="K770" s="4">
        <f t="shared" si="605"/>
        <v>204</v>
      </c>
      <c r="L770" s="65" t="e">
        <f t="shared" si="606"/>
        <v>#DIV/0!</v>
      </c>
      <c r="M770" s="66">
        <v>58.836300000000001</v>
      </c>
      <c r="N770" s="67">
        <f t="shared" si="607"/>
        <v>0</v>
      </c>
      <c r="O770" s="67">
        <f t="shared" si="608"/>
        <v>564828.48</v>
      </c>
      <c r="P770" s="1003"/>
    </row>
    <row r="771" spans="2:16" x14ac:dyDescent="0.25">
      <c r="B771" s="998"/>
      <c r="C771" s="1005" t="s">
        <v>76</v>
      </c>
      <c r="D771" s="61" t="s">
        <v>77</v>
      </c>
      <c r="E771" s="62">
        <v>0</v>
      </c>
      <c r="F771" s="63">
        <f>G771+H771</f>
        <v>0</v>
      </c>
      <c r="G771" s="63">
        <v>0</v>
      </c>
      <c r="H771" s="64">
        <v>0</v>
      </c>
      <c r="I771" s="79">
        <f t="shared" si="603"/>
        <v>6690</v>
      </c>
      <c r="J771" s="4">
        <f t="shared" si="604"/>
        <v>6575</v>
      </c>
      <c r="K771" s="4">
        <f t="shared" si="605"/>
        <v>115</v>
      </c>
      <c r="L771" s="65" t="e">
        <f t="shared" si="606"/>
        <v>#DIV/0!</v>
      </c>
      <c r="M771" s="66">
        <v>25.687200000000001</v>
      </c>
      <c r="N771" s="67">
        <f t="shared" si="607"/>
        <v>0</v>
      </c>
      <c r="O771" s="67">
        <f t="shared" si="608"/>
        <v>168893.34</v>
      </c>
      <c r="P771" s="1003"/>
    </row>
    <row r="772" spans="2:16" x14ac:dyDescent="0.25">
      <c r="B772" s="998"/>
      <c r="C772" s="1006"/>
      <c r="D772" s="61" t="s">
        <v>117</v>
      </c>
      <c r="E772" s="62">
        <v>0</v>
      </c>
      <c r="F772" s="63">
        <f>G772+H772</f>
        <v>0</v>
      </c>
      <c r="G772" s="63">
        <v>0</v>
      </c>
      <c r="H772" s="64">
        <v>0</v>
      </c>
      <c r="I772" s="79">
        <f t="shared" si="603"/>
        <v>0</v>
      </c>
      <c r="J772" s="4">
        <f t="shared" si="604"/>
        <v>0</v>
      </c>
      <c r="K772" s="4">
        <f>H772+K707</f>
        <v>0</v>
      </c>
      <c r="L772" s="65" t="e">
        <f t="shared" si="606"/>
        <v>#DIV/0!</v>
      </c>
      <c r="M772" s="66">
        <v>25.033899999999999</v>
      </c>
      <c r="N772" s="67">
        <f t="shared" si="607"/>
        <v>0</v>
      </c>
      <c r="O772" s="67">
        <f t="shared" si="608"/>
        <v>0</v>
      </c>
      <c r="P772" s="1003"/>
    </row>
    <row r="773" spans="2:16" x14ac:dyDescent="0.25">
      <c r="B773" s="998"/>
      <c r="C773" s="1005" t="s">
        <v>78</v>
      </c>
      <c r="D773" s="61" t="s">
        <v>79</v>
      </c>
      <c r="E773" s="62">
        <v>0</v>
      </c>
      <c r="F773" s="63">
        <f t="shared" ref="F773:F792" si="609">G773+H773</f>
        <v>0</v>
      </c>
      <c r="G773" s="63">
        <v>0</v>
      </c>
      <c r="H773" s="64">
        <v>0</v>
      </c>
      <c r="I773" s="79">
        <f t="shared" si="603"/>
        <v>14273</v>
      </c>
      <c r="J773" s="4">
        <f t="shared" si="604"/>
        <v>14000</v>
      </c>
      <c r="K773" s="4">
        <f t="shared" ref="K773:K792" si="610">H773+K708</f>
        <v>273</v>
      </c>
      <c r="L773" s="65" t="e">
        <f t="shared" si="606"/>
        <v>#DIV/0!</v>
      </c>
      <c r="M773" s="66">
        <v>41.992699999999999</v>
      </c>
      <c r="N773" s="67">
        <f t="shared" si="607"/>
        <v>0</v>
      </c>
      <c r="O773" s="67">
        <f t="shared" si="608"/>
        <v>587897.80000000005</v>
      </c>
      <c r="P773" s="1003"/>
    </row>
    <row r="774" spans="2:16" x14ac:dyDescent="0.25">
      <c r="B774" s="998"/>
      <c r="C774" s="1006"/>
      <c r="D774" s="61" t="s">
        <v>72</v>
      </c>
      <c r="E774" s="62">
        <v>0</v>
      </c>
      <c r="F774" s="63">
        <f t="shared" si="609"/>
        <v>0</v>
      </c>
      <c r="G774" s="63">
        <v>0</v>
      </c>
      <c r="H774" s="64">
        <v>0</v>
      </c>
      <c r="I774" s="79">
        <f t="shared" si="603"/>
        <v>0</v>
      </c>
      <c r="J774" s="4">
        <f t="shared" si="604"/>
        <v>0</v>
      </c>
      <c r="K774" s="4">
        <f t="shared" si="610"/>
        <v>0</v>
      </c>
      <c r="L774" s="65" t="e">
        <f t="shared" si="606"/>
        <v>#DIV/0!</v>
      </c>
      <c r="M774" s="66">
        <v>42.283799999999999</v>
      </c>
      <c r="N774" s="67">
        <f t="shared" si="607"/>
        <v>0</v>
      </c>
      <c r="O774" s="67">
        <f t="shared" si="608"/>
        <v>0</v>
      </c>
      <c r="P774" s="1003"/>
    </row>
    <row r="775" spans="2:16" x14ac:dyDescent="0.25">
      <c r="B775" s="998"/>
      <c r="C775" s="200" t="s">
        <v>80</v>
      </c>
      <c r="D775" s="61" t="s">
        <v>81</v>
      </c>
      <c r="E775" s="62">
        <v>0</v>
      </c>
      <c r="F775" s="63">
        <f t="shared" si="609"/>
        <v>0</v>
      </c>
      <c r="G775" s="63">
        <v>0</v>
      </c>
      <c r="H775" s="64">
        <v>0</v>
      </c>
      <c r="I775" s="79">
        <f t="shared" si="603"/>
        <v>24803</v>
      </c>
      <c r="J775" s="4">
        <f t="shared" si="604"/>
        <v>24000</v>
      </c>
      <c r="K775" s="4">
        <f t="shared" si="610"/>
        <v>803</v>
      </c>
      <c r="L775" s="65" t="e">
        <f t="shared" si="606"/>
        <v>#DIV/0!</v>
      </c>
      <c r="M775" s="66">
        <v>4.3535000000000004</v>
      </c>
      <c r="N775" s="67">
        <f t="shared" si="607"/>
        <v>0</v>
      </c>
      <c r="O775" s="67">
        <f t="shared" si="608"/>
        <v>104484.00000000001</v>
      </c>
      <c r="P775" s="1003"/>
    </row>
    <row r="776" spans="2:16" x14ac:dyDescent="0.25">
      <c r="B776" s="998"/>
      <c r="C776" s="1001" t="s">
        <v>82</v>
      </c>
      <c r="D776" s="61" t="s">
        <v>77</v>
      </c>
      <c r="E776" s="62">
        <v>0</v>
      </c>
      <c r="F776" s="63">
        <f t="shared" si="609"/>
        <v>0</v>
      </c>
      <c r="G776" s="63">
        <v>0</v>
      </c>
      <c r="H776" s="64">
        <v>0</v>
      </c>
      <c r="I776" s="79">
        <f t="shared" si="603"/>
        <v>0</v>
      </c>
      <c r="J776" s="4">
        <f t="shared" si="604"/>
        <v>0</v>
      </c>
      <c r="K776" s="4">
        <f t="shared" si="610"/>
        <v>0</v>
      </c>
      <c r="L776" s="65" t="e">
        <f t="shared" si="606"/>
        <v>#DIV/0!</v>
      </c>
      <c r="M776" s="66">
        <v>4.6184000000000003</v>
      </c>
      <c r="N776" s="67">
        <f t="shared" si="607"/>
        <v>0</v>
      </c>
      <c r="O776" s="67">
        <f>M776*J776</f>
        <v>0</v>
      </c>
      <c r="P776" s="1003"/>
    </row>
    <row r="777" spans="2:16" x14ac:dyDescent="0.25">
      <c r="B777" s="998"/>
      <c r="C777" s="1001"/>
      <c r="D777" s="61" t="s">
        <v>119</v>
      </c>
      <c r="E777" s="62">
        <v>0</v>
      </c>
      <c r="F777" s="63">
        <f t="shared" si="609"/>
        <v>0</v>
      </c>
      <c r="G777" s="63">
        <v>0</v>
      </c>
      <c r="H777" s="64">
        <v>0</v>
      </c>
      <c r="I777" s="79">
        <f>J777+K777</f>
        <v>0</v>
      </c>
      <c r="J777" s="4">
        <f t="shared" si="604"/>
        <v>0</v>
      </c>
      <c r="K777" s="4">
        <f t="shared" si="610"/>
        <v>0</v>
      </c>
      <c r="L777" s="65" t="e">
        <f t="shared" si="606"/>
        <v>#DIV/0!</v>
      </c>
      <c r="M777" s="153">
        <v>4.6184000000000003</v>
      </c>
      <c r="N777" s="67">
        <f t="shared" si="607"/>
        <v>0</v>
      </c>
      <c r="O777" s="67">
        <f>M777*J777</f>
        <v>0</v>
      </c>
      <c r="P777" s="1003"/>
    </row>
    <row r="778" spans="2:16" x14ac:dyDescent="0.25">
      <c r="B778" s="998"/>
      <c r="C778" s="1001"/>
      <c r="D778" s="61" t="s">
        <v>123</v>
      </c>
      <c r="E778" s="62">
        <v>0</v>
      </c>
      <c r="F778" s="63">
        <f t="shared" si="609"/>
        <v>0</v>
      </c>
      <c r="G778" s="63">
        <v>0</v>
      </c>
      <c r="H778" s="64">
        <v>0</v>
      </c>
      <c r="I778" s="79">
        <f t="shared" ref="I778:I792" si="611">J778+K778</f>
        <v>0</v>
      </c>
      <c r="J778" s="4">
        <f t="shared" si="604"/>
        <v>0</v>
      </c>
      <c r="K778" s="4">
        <f t="shared" si="610"/>
        <v>0</v>
      </c>
      <c r="L778" s="65" t="e">
        <f t="shared" si="606"/>
        <v>#DIV/0!</v>
      </c>
      <c r="M778" s="153">
        <v>4.6184000000000003</v>
      </c>
      <c r="N778" s="67">
        <f t="shared" si="607"/>
        <v>0</v>
      </c>
      <c r="O778" s="67">
        <f t="shared" ref="O778:O783" si="612">M778*J778</f>
        <v>0</v>
      </c>
      <c r="P778" s="1003"/>
    </row>
    <row r="779" spans="2:16" x14ac:dyDescent="0.25">
      <c r="B779" s="998"/>
      <c r="C779" s="1001"/>
      <c r="D779" s="61" t="s">
        <v>124</v>
      </c>
      <c r="E779" s="62">
        <v>0</v>
      </c>
      <c r="F779" s="63">
        <f t="shared" si="609"/>
        <v>20397</v>
      </c>
      <c r="G779" s="63">
        <v>20100</v>
      </c>
      <c r="H779" s="64">
        <v>297</v>
      </c>
      <c r="I779" s="79">
        <f t="shared" si="611"/>
        <v>237198</v>
      </c>
      <c r="J779" s="4">
        <f t="shared" si="604"/>
        <v>230335</v>
      </c>
      <c r="K779" s="4">
        <f t="shared" si="610"/>
        <v>6863</v>
      </c>
      <c r="L779" s="65" t="e">
        <f t="shared" si="606"/>
        <v>#DIV/0!</v>
      </c>
      <c r="M779" s="153">
        <v>4.7636000000000003</v>
      </c>
      <c r="N779" s="67">
        <f t="shared" si="607"/>
        <v>95748.36</v>
      </c>
      <c r="O779" s="67">
        <f t="shared" si="612"/>
        <v>1097223.8060000001</v>
      </c>
      <c r="P779" s="1003"/>
    </row>
    <row r="780" spans="2:16" x14ac:dyDescent="0.25">
      <c r="B780" s="998"/>
      <c r="C780" s="1001"/>
      <c r="D780" s="61" t="s">
        <v>83</v>
      </c>
      <c r="E780" s="62">
        <v>0</v>
      </c>
      <c r="F780" s="63">
        <f t="shared" si="609"/>
        <v>0</v>
      </c>
      <c r="G780" s="63">
        <v>0</v>
      </c>
      <c r="H780" s="64">
        <v>0</v>
      </c>
      <c r="I780" s="79">
        <f t="shared" si="611"/>
        <v>0</v>
      </c>
      <c r="J780" s="4">
        <f t="shared" si="604"/>
        <v>0</v>
      </c>
      <c r="K780" s="4">
        <f t="shared" si="610"/>
        <v>0</v>
      </c>
      <c r="L780" s="65" t="e">
        <f t="shared" si="606"/>
        <v>#DIV/0!</v>
      </c>
      <c r="M780" s="66">
        <v>4.8738000000000001</v>
      </c>
      <c r="N780" s="67">
        <f t="shared" si="607"/>
        <v>0</v>
      </c>
      <c r="O780" s="67">
        <f t="shared" si="612"/>
        <v>0</v>
      </c>
      <c r="P780" s="1003"/>
    </row>
    <row r="781" spans="2:16" x14ac:dyDescent="0.25">
      <c r="B781" s="998"/>
      <c r="C781" s="200" t="s">
        <v>128</v>
      </c>
      <c r="D781" s="61" t="s">
        <v>124</v>
      </c>
      <c r="E781" s="62"/>
      <c r="F781" s="63">
        <f t="shared" si="609"/>
        <v>0</v>
      </c>
      <c r="G781" s="63">
        <v>0</v>
      </c>
      <c r="H781" s="64">
        <v>0</v>
      </c>
      <c r="I781" s="79">
        <f t="shared" si="611"/>
        <v>0</v>
      </c>
      <c r="J781" s="4">
        <f t="shared" si="604"/>
        <v>0</v>
      </c>
      <c r="K781" s="4">
        <f t="shared" si="610"/>
        <v>0</v>
      </c>
      <c r="L781" s="65"/>
      <c r="M781" s="66">
        <v>4.8738000000000001</v>
      </c>
      <c r="N781" s="67">
        <f t="shared" si="607"/>
        <v>0</v>
      </c>
      <c r="O781" s="67">
        <f t="shared" si="612"/>
        <v>0</v>
      </c>
      <c r="P781" s="1003"/>
    </row>
    <row r="782" spans="2:16" x14ac:dyDescent="0.25">
      <c r="B782" s="998"/>
      <c r="C782" s="1001" t="s">
        <v>84</v>
      </c>
      <c r="D782" s="61" t="s">
        <v>77</v>
      </c>
      <c r="E782" s="62">
        <v>0</v>
      </c>
      <c r="F782" s="63">
        <f t="shared" si="609"/>
        <v>0</v>
      </c>
      <c r="G782" s="63">
        <v>0</v>
      </c>
      <c r="H782" s="64">
        <v>0</v>
      </c>
      <c r="I782" s="79">
        <f t="shared" si="611"/>
        <v>190900</v>
      </c>
      <c r="J782" s="4">
        <f t="shared" si="604"/>
        <v>188900</v>
      </c>
      <c r="K782" s="4">
        <f t="shared" si="610"/>
        <v>2000</v>
      </c>
      <c r="L782" s="65" t="e">
        <f t="shared" ref="L782:L792" si="613">+J782/E782</f>
        <v>#DIV/0!</v>
      </c>
      <c r="M782" s="66">
        <v>4.9344999999999999</v>
      </c>
      <c r="N782" s="67">
        <f t="shared" si="607"/>
        <v>0</v>
      </c>
      <c r="O782" s="67">
        <f t="shared" si="612"/>
        <v>932127.04999999993</v>
      </c>
      <c r="P782" s="1003"/>
    </row>
    <row r="783" spans="2:16" x14ac:dyDescent="0.25">
      <c r="B783" s="998"/>
      <c r="C783" s="1001"/>
      <c r="D783" s="61" t="s">
        <v>135</v>
      </c>
      <c r="E783" s="62"/>
      <c r="F783" s="63">
        <f t="shared" si="609"/>
        <v>20789</v>
      </c>
      <c r="G783" s="63">
        <v>19800</v>
      </c>
      <c r="H783" s="64">
        <v>989</v>
      </c>
      <c r="I783" s="79">
        <f t="shared" si="611"/>
        <v>24817</v>
      </c>
      <c r="J783" s="4">
        <f t="shared" si="604"/>
        <v>22850</v>
      </c>
      <c r="K783" s="4">
        <f t="shared" si="610"/>
        <v>1967</v>
      </c>
      <c r="L783" s="65" t="e">
        <f t="shared" si="613"/>
        <v>#DIV/0!</v>
      </c>
      <c r="M783" s="66">
        <v>4.9344999999999999</v>
      </c>
      <c r="N783" s="67">
        <f t="shared" si="607"/>
        <v>97703.099999999991</v>
      </c>
      <c r="O783" s="67">
        <f t="shared" si="612"/>
        <v>112753.325</v>
      </c>
      <c r="P783" s="1003"/>
    </row>
    <row r="784" spans="2:16" x14ac:dyDescent="0.25">
      <c r="B784" s="998"/>
      <c r="C784" s="1001"/>
      <c r="D784" s="61" t="s">
        <v>129</v>
      </c>
      <c r="E784" s="62">
        <v>0</v>
      </c>
      <c r="F784" s="63">
        <f t="shared" si="609"/>
        <v>0</v>
      </c>
      <c r="G784" s="155">
        <v>0</v>
      </c>
      <c r="H784" s="156">
        <v>0</v>
      </c>
      <c r="I784" s="157">
        <f t="shared" si="611"/>
        <v>0</v>
      </c>
      <c r="J784" s="4">
        <f t="shared" si="604"/>
        <v>0</v>
      </c>
      <c r="K784" s="4">
        <f t="shared" si="610"/>
        <v>0</v>
      </c>
      <c r="L784" s="158" t="e">
        <f t="shared" si="613"/>
        <v>#DIV/0!</v>
      </c>
      <c r="M784" s="66">
        <v>4.9344999999999999</v>
      </c>
      <c r="N784" s="159">
        <f t="shared" si="607"/>
        <v>0</v>
      </c>
      <c r="O784" s="67">
        <f>M784*J784</f>
        <v>0</v>
      </c>
      <c r="P784" s="1003"/>
    </row>
    <row r="785" spans="2:16" x14ac:dyDescent="0.25">
      <c r="B785" s="998"/>
      <c r="C785" s="1001" t="s">
        <v>85</v>
      </c>
      <c r="D785" s="61" t="s">
        <v>77</v>
      </c>
      <c r="E785" s="62">
        <v>0</v>
      </c>
      <c r="F785" s="63">
        <f t="shared" si="609"/>
        <v>0</v>
      </c>
      <c r="G785" s="63">
        <v>0</v>
      </c>
      <c r="H785" s="64">
        <v>0</v>
      </c>
      <c r="I785" s="79">
        <f t="shared" si="611"/>
        <v>138276</v>
      </c>
      <c r="J785" s="4">
        <f t="shared" si="604"/>
        <v>130950</v>
      </c>
      <c r="K785" s="4">
        <f t="shared" si="610"/>
        <v>7326</v>
      </c>
      <c r="L785" s="65" t="e">
        <f t="shared" si="613"/>
        <v>#DIV/0!</v>
      </c>
      <c r="M785" s="148">
        <v>5.5069999999999997</v>
      </c>
      <c r="N785" s="67">
        <f t="shared" si="607"/>
        <v>0</v>
      </c>
      <c r="O785" s="67">
        <f>M785*J785</f>
        <v>721141.64999999991</v>
      </c>
      <c r="P785" s="1003"/>
    </row>
    <row r="786" spans="2:16" x14ac:dyDescent="0.25">
      <c r="B786" s="998"/>
      <c r="C786" s="1001"/>
      <c r="D786" s="61" t="s">
        <v>112</v>
      </c>
      <c r="E786" s="62">
        <v>0</v>
      </c>
      <c r="F786" s="63">
        <f t="shared" si="609"/>
        <v>19389</v>
      </c>
      <c r="G786" s="63">
        <v>18900</v>
      </c>
      <c r="H786" s="64">
        <v>489</v>
      </c>
      <c r="I786" s="79">
        <f t="shared" si="611"/>
        <v>68765</v>
      </c>
      <c r="J786" s="4">
        <f t="shared" si="604"/>
        <v>66600</v>
      </c>
      <c r="K786" s="4">
        <f t="shared" si="610"/>
        <v>2165</v>
      </c>
      <c r="L786" s="65" t="e">
        <f t="shared" si="613"/>
        <v>#DIV/0!</v>
      </c>
      <c r="M786" s="147">
        <v>5.6550000000000002</v>
      </c>
      <c r="N786" s="67">
        <f t="shared" si="607"/>
        <v>106879.5</v>
      </c>
      <c r="O786" s="67">
        <f>M786*J786</f>
        <v>376623</v>
      </c>
      <c r="P786" s="1003"/>
    </row>
    <row r="787" spans="2:16" x14ac:dyDescent="0.25">
      <c r="B787" s="998"/>
      <c r="C787" s="1001"/>
      <c r="D787" s="61" t="s">
        <v>118</v>
      </c>
      <c r="E787" s="62">
        <v>0</v>
      </c>
      <c r="F787" s="63">
        <f t="shared" si="609"/>
        <v>0</v>
      </c>
      <c r="G787" s="63">
        <v>0</v>
      </c>
      <c r="H787" s="64">
        <v>0</v>
      </c>
      <c r="I787" s="79">
        <f t="shared" si="611"/>
        <v>0</v>
      </c>
      <c r="J787" s="4">
        <f t="shared" si="604"/>
        <v>0</v>
      </c>
      <c r="K787" s="4">
        <f t="shared" si="610"/>
        <v>0</v>
      </c>
      <c r="L787" s="65" t="e">
        <f t="shared" si="613"/>
        <v>#DIV/0!</v>
      </c>
      <c r="M787" s="152">
        <v>5.6550000000000002</v>
      </c>
      <c r="N787" s="67">
        <f t="shared" si="607"/>
        <v>0</v>
      </c>
      <c r="O787" s="67">
        <f>M787*J787</f>
        <v>0</v>
      </c>
      <c r="P787" s="1003"/>
    </row>
    <row r="788" spans="2:16" x14ac:dyDescent="0.25">
      <c r="B788" s="998"/>
      <c r="C788" s="1001"/>
      <c r="D788" s="61" t="s">
        <v>121</v>
      </c>
      <c r="E788" s="62">
        <v>0</v>
      </c>
      <c r="F788" s="63">
        <f t="shared" si="609"/>
        <v>0</v>
      </c>
      <c r="G788" s="63">
        <v>0</v>
      </c>
      <c r="H788" s="64">
        <v>0</v>
      </c>
      <c r="I788" s="79">
        <f t="shared" si="611"/>
        <v>28324</v>
      </c>
      <c r="J788" s="4">
        <f t="shared" si="604"/>
        <v>26710</v>
      </c>
      <c r="K788" s="4">
        <f t="shared" si="610"/>
        <v>1614</v>
      </c>
      <c r="L788" s="65" t="e">
        <f t="shared" si="613"/>
        <v>#DIV/0!</v>
      </c>
      <c r="M788" s="66">
        <v>5.7885299999999997</v>
      </c>
      <c r="N788" s="67">
        <f>+M788*G788</f>
        <v>0</v>
      </c>
      <c r="O788" s="67">
        <f>M788*J788</f>
        <v>154611.63629999998</v>
      </c>
      <c r="P788" s="1003"/>
    </row>
    <row r="789" spans="2:16" x14ac:dyDescent="0.25">
      <c r="B789" s="998"/>
      <c r="C789" s="1001"/>
      <c r="D789" s="61" t="s">
        <v>136</v>
      </c>
      <c r="E789" s="62">
        <v>0</v>
      </c>
      <c r="F789" s="63">
        <f t="shared" si="609"/>
        <v>0</v>
      </c>
      <c r="G789" s="63">
        <v>0</v>
      </c>
      <c r="H789" s="64">
        <v>0</v>
      </c>
      <c r="I789" s="79">
        <f t="shared" si="611"/>
        <v>0</v>
      </c>
      <c r="J789" s="4">
        <f t="shared" si="604"/>
        <v>0</v>
      </c>
      <c r="K789" s="4">
        <f t="shared" si="610"/>
        <v>0</v>
      </c>
      <c r="L789" s="65" t="e">
        <f t="shared" si="613"/>
        <v>#DIV/0!</v>
      </c>
      <c r="M789" s="152">
        <v>5.6550000000000002</v>
      </c>
      <c r="N789" s="67">
        <f t="shared" ref="N789:N791" si="614">+M789*G789</f>
        <v>0</v>
      </c>
      <c r="O789" s="67">
        <f t="shared" ref="O789:O792" si="615">M789*J789</f>
        <v>0</v>
      </c>
      <c r="P789" s="1003"/>
    </row>
    <row r="790" spans="2:16" x14ac:dyDescent="0.25">
      <c r="B790" s="998"/>
      <c r="C790" s="200" t="s">
        <v>86</v>
      </c>
      <c r="D790" s="61" t="s">
        <v>77</v>
      </c>
      <c r="E790" s="62">
        <v>0</v>
      </c>
      <c r="F790" s="63">
        <f t="shared" si="609"/>
        <v>0</v>
      </c>
      <c r="G790" s="63">
        <v>0</v>
      </c>
      <c r="H790" s="64">
        <v>0</v>
      </c>
      <c r="I790" s="79">
        <f t="shared" si="611"/>
        <v>0</v>
      </c>
      <c r="J790" s="4">
        <f t="shared" si="604"/>
        <v>0</v>
      </c>
      <c r="K790" s="4">
        <f t="shared" si="610"/>
        <v>0</v>
      </c>
      <c r="L790" s="65" t="e">
        <f t="shared" si="613"/>
        <v>#DIV/0!</v>
      </c>
      <c r="M790" s="66">
        <v>3.2963</v>
      </c>
      <c r="N790" s="67">
        <f t="shared" si="614"/>
        <v>0</v>
      </c>
      <c r="O790" s="67">
        <f t="shared" si="615"/>
        <v>0</v>
      </c>
      <c r="P790" s="1003"/>
    </row>
    <row r="791" spans="2:16" x14ac:dyDescent="0.25">
      <c r="B791" s="998"/>
      <c r="C791" s="200" t="s">
        <v>87</v>
      </c>
      <c r="D791" s="61" t="s">
        <v>77</v>
      </c>
      <c r="E791" s="62">
        <v>0</v>
      </c>
      <c r="F791" s="63">
        <f t="shared" si="609"/>
        <v>0</v>
      </c>
      <c r="G791" s="63">
        <v>0</v>
      </c>
      <c r="H791" s="64">
        <v>0</v>
      </c>
      <c r="I791" s="79">
        <f t="shared" si="611"/>
        <v>0</v>
      </c>
      <c r="J791" s="4">
        <f t="shared" si="604"/>
        <v>0</v>
      </c>
      <c r="K791" s="4">
        <f t="shared" si="610"/>
        <v>0</v>
      </c>
      <c r="L791" s="65" t="e">
        <f t="shared" si="613"/>
        <v>#DIV/0!</v>
      </c>
      <c r="M791" s="66">
        <v>3.2963</v>
      </c>
      <c r="N791" s="67">
        <f t="shared" si="614"/>
        <v>0</v>
      </c>
      <c r="O791" s="67">
        <f t="shared" si="615"/>
        <v>0</v>
      </c>
      <c r="P791" s="1003"/>
    </row>
    <row r="792" spans="2:16" ht="15.75" thickBot="1" x14ac:dyDescent="0.3">
      <c r="B792" s="998"/>
      <c r="C792" s="68" t="s">
        <v>88</v>
      </c>
      <c r="D792" s="69" t="s">
        <v>89</v>
      </c>
      <c r="E792" s="70">
        <v>0</v>
      </c>
      <c r="F792" s="71">
        <f t="shared" si="609"/>
        <v>0</v>
      </c>
      <c r="G792" s="71">
        <v>0</v>
      </c>
      <c r="H792" s="72">
        <v>0</v>
      </c>
      <c r="I792" s="80">
        <f t="shared" si="611"/>
        <v>65030</v>
      </c>
      <c r="J792" s="4">
        <f t="shared" si="604"/>
        <v>65000</v>
      </c>
      <c r="K792" s="4">
        <f t="shared" si="610"/>
        <v>30</v>
      </c>
      <c r="L792" s="65" t="e">
        <f t="shared" si="613"/>
        <v>#DIV/0!</v>
      </c>
      <c r="M792" s="73">
        <v>2.3201000000000001</v>
      </c>
      <c r="N792" s="74">
        <f t="shared" ref="N792" si="616">M792*G792</f>
        <v>0</v>
      </c>
      <c r="O792" s="74">
        <f t="shared" si="615"/>
        <v>150806.5</v>
      </c>
      <c r="P792" s="1004"/>
    </row>
    <row r="793" spans="2:16" ht="15.75" thickBot="1" x14ac:dyDescent="0.3">
      <c r="B793" s="999"/>
      <c r="C793" s="1007" t="s">
        <v>99</v>
      </c>
      <c r="D793" s="1008"/>
      <c r="E793" s="1008"/>
      <c r="F793" s="1008"/>
      <c r="G793" s="1008"/>
      <c r="H793" s="1009"/>
      <c r="I793" s="116">
        <f>J793+K793</f>
        <v>870604</v>
      </c>
      <c r="J793" s="115">
        <f>SUM(J765:J792)</f>
        <v>846340</v>
      </c>
      <c r="K793" s="115">
        <f>SUM(K765:K792)</f>
        <v>24264</v>
      </c>
      <c r="L793" s="114"/>
      <c r="M793" s="113"/>
      <c r="N793" s="114"/>
      <c r="O793" s="97">
        <f>SUM(O765:O792)</f>
        <v>7376654.3352999995</v>
      </c>
      <c r="P793" s="96"/>
    </row>
    <row r="794" spans="2:16" ht="15.75" thickBot="1" x14ac:dyDescent="0.3">
      <c r="B794" s="100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2"/>
    </row>
    <row r="795" spans="2:16" ht="15.75" thickBot="1" x14ac:dyDescent="0.3">
      <c r="B795" s="992" t="s">
        <v>100</v>
      </c>
      <c r="C795" s="993"/>
      <c r="D795" s="993"/>
      <c r="E795" s="993"/>
      <c r="F795" s="993"/>
      <c r="G795" s="993"/>
      <c r="H795" s="993"/>
      <c r="I795" s="993"/>
      <c r="J795" s="993"/>
      <c r="K795" s="993"/>
      <c r="L795" s="993"/>
      <c r="M795" s="993"/>
      <c r="N795" s="994"/>
      <c r="O795" s="103">
        <f>+O793+O764+O749</f>
        <v>16167084.592299998</v>
      </c>
      <c r="P795" s="96"/>
    </row>
    <row r="796" spans="2:16" ht="15.75" thickBot="1" x14ac:dyDescent="0.3"/>
    <row r="797" spans="2:16" x14ac:dyDescent="0.25">
      <c r="B797" s="1026" t="s">
        <v>1</v>
      </c>
      <c r="C797" s="1028" t="s">
        <v>2</v>
      </c>
      <c r="D797" s="1031" t="s">
        <v>3</v>
      </c>
      <c r="E797" s="1034" t="s">
        <v>4</v>
      </c>
      <c r="F797" s="1035"/>
      <c r="G797" s="1035"/>
      <c r="H797" s="1035"/>
      <c r="I797" s="1035"/>
      <c r="J797" s="1035"/>
      <c r="K797" s="1035"/>
      <c r="L797" s="1036"/>
      <c r="M797" s="1037" t="s">
        <v>5</v>
      </c>
      <c r="N797" s="1038"/>
      <c r="O797" s="1039"/>
      <c r="P797" s="1031" t="s">
        <v>6</v>
      </c>
    </row>
    <row r="798" spans="2:16" x14ac:dyDescent="0.25">
      <c r="B798" s="1027"/>
      <c r="C798" s="1029"/>
      <c r="D798" s="1032"/>
      <c r="E798" s="1040" t="s">
        <v>7</v>
      </c>
      <c r="F798" s="1042" t="s">
        <v>152</v>
      </c>
      <c r="G798" s="1042"/>
      <c r="H798" s="1043"/>
      <c r="I798" s="1044" t="s">
        <v>8</v>
      </c>
      <c r="J798" s="1042"/>
      <c r="K798" s="1042"/>
      <c r="L798" s="1043" t="s">
        <v>9</v>
      </c>
      <c r="M798" s="1046" t="s">
        <v>10</v>
      </c>
      <c r="N798" s="1048" t="s">
        <v>11</v>
      </c>
      <c r="O798" s="1050" t="s">
        <v>12</v>
      </c>
      <c r="P798" s="1032"/>
    </row>
    <row r="799" spans="2:16" ht="15.75" thickBot="1" x14ac:dyDescent="0.3">
      <c r="B799" s="1027"/>
      <c r="C799" s="1030"/>
      <c r="D799" s="1033"/>
      <c r="E799" s="1041"/>
      <c r="F799" s="2" t="s">
        <v>13</v>
      </c>
      <c r="G799" s="2" t="s">
        <v>14</v>
      </c>
      <c r="H799" s="207" t="s">
        <v>15</v>
      </c>
      <c r="I799" s="142" t="s">
        <v>13</v>
      </c>
      <c r="J799" s="2" t="s">
        <v>14</v>
      </c>
      <c r="K799" s="2" t="s">
        <v>15</v>
      </c>
      <c r="L799" s="1045"/>
      <c r="M799" s="1047"/>
      <c r="N799" s="1049"/>
      <c r="O799" s="1051"/>
      <c r="P799" s="1033"/>
    </row>
    <row r="800" spans="2:16" x14ac:dyDescent="0.25">
      <c r="B800" s="1010" t="s">
        <v>53</v>
      </c>
      <c r="C800" s="29"/>
      <c r="D800" s="117" t="s">
        <v>143</v>
      </c>
      <c r="E800" s="98">
        <v>0</v>
      </c>
      <c r="F800" s="4">
        <f>+G800+H800</f>
        <v>0</v>
      </c>
      <c r="G800" s="4">
        <v>0</v>
      </c>
      <c r="H800" s="8">
        <v>0</v>
      </c>
      <c r="I800" s="6">
        <f>J800+K800</f>
        <v>285266</v>
      </c>
      <c r="J800" s="4">
        <f>G800+J735</f>
        <v>280000</v>
      </c>
      <c r="K800" s="4">
        <f>H800+K735</f>
        <v>5266</v>
      </c>
      <c r="L800" s="33" t="e">
        <f>+J800/E800</f>
        <v>#DIV/0!</v>
      </c>
      <c r="M800" s="104">
        <v>1.3652</v>
      </c>
      <c r="N800" s="31">
        <f>G800*M800</f>
        <v>0</v>
      </c>
      <c r="O800" s="86">
        <f>M800*J800</f>
        <v>382256</v>
      </c>
      <c r="P800" s="1012"/>
    </row>
    <row r="801" spans="2:16" x14ac:dyDescent="0.25">
      <c r="B801" s="1011"/>
      <c r="C801" s="32"/>
      <c r="D801" s="118" t="s">
        <v>109</v>
      </c>
      <c r="E801" s="99">
        <v>0</v>
      </c>
      <c r="F801" s="9">
        <f>+G801+H801</f>
        <v>0</v>
      </c>
      <c r="G801" s="9">
        <v>0</v>
      </c>
      <c r="H801" s="10">
        <v>0</v>
      </c>
      <c r="I801" s="6">
        <f>J801+K801</f>
        <v>0</v>
      </c>
      <c r="J801" s="4">
        <f>+G801+J736</f>
        <v>0</v>
      </c>
      <c r="K801" s="4">
        <f>+H801+K736</f>
        <v>0</v>
      </c>
      <c r="L801" s="33"/>
      <c r="M801" s="105">
        <v>5.9917999999999996</v>
      </c>
      <c r="N801" s="34">
        <f>M801*G801</f>
        <v>0</v>
      </c>
      <c r="O801" s="87">
        <f>M801*J801</f>
        <v>0</v>
      </c>
      <c r="P801" s="1013"/>
    </row>
    <row r="802" spans="2:16" x14ac:dyDescent="0.25">
      <c r="B802" s="1011"/>
      <c r="C802" s="35"/>
      <c r="D802" s="119" t="s">
        <v>55</v>
      </c>
      <c r="E802" s="99">
        <v>0</v>
      </c>
      <c r="F802" s="9">
        <f t="shared" ref="F802:F806" si="617">+G802+H802</f>
        <v>173596</v>
      </c>
      <c r="G802" s="9">
        <v>172500</v>
      </c>
      <c r="H802" s="10">
        <v>1096</v>
      </c>
      <c r="I802" s="6">
        <f t="shared" ref="I802:I806" si="618">J802+K802</f>
        <v>2436688</v>
      </c>
      <c r="J802" s="4">
        <f t="shared" ref="J802:J806" si="619">+G802+J737</f>
        <v>2418250</v>
      </c>
      <c r="K802" s="4">
        <f t="shared" ref="K802:K806" si="620">+H802+K737</f>
        <v>18438</v>
      </c>
      <c r="L802" s="33" t="e">
        <f t="shared" ref="L802" si="621">+J802/E802</f>
        <v>#DIV/0!</v>
      </c>
      <c r="M802" s="106">
        <v>2.3807999999999998</v>
      </c>
      <c r="N802" s="36">
        <f>G802*M802</f>
        <v>410687.99999999994</v>
      </c>
      <c r="O802" s="88">
        <f>M802*J802</f>
        <v>5757369.5999999996</v>
      </c>
      <c r="P802" s="1013"/>
    </row>
    <row r="803" spans="2:16" x14ac:dyDescent="0.25">
      <c r="B803" s="1011"/>
      <c r="C803" s="35"/>
      <c r="D803" s="119" t="s">
        <v>56</v>
      </c>
      <c r="E803" s="99">
        <v>0</v>
      </c>
      <c r="F803" s="9">
        <f t="shared" si="617"/>
        <v>0</v>
      </c>
      <c r="G803" s="9">
        <v>0</v>
      </c>
      <c r="H803" s="10">
        <v>0</v>
      </c>
      <c r="I803" s="6">
        <f t="shared" si="618"/>
        <v>0</v>
      </c>
      <c r="J803" s="4">
        <f t="shared" si="619"/>
        <v>0</v>
      </c>
      <c r="K803" s="4">
        <f t="shared" si="620"/>
        <v>0</v>
      </c>
      <c r="L803" s="33"/>
      <c r="M803" s="106">
        <v>2.1457999999999999</v>
      </c>
      <c r="N803" s="36">
        <f t="shared" ref="N803:N806" si="622">G803*M803</f>
        <v>0</v>
      </c>
      <c r="O803" s="88">
        <f>M803*J803</f>
        <v>0</v>
      </c>
      <c r="P803" s="1013"/>
    </row>
    <row r="804" spans="2:16" x14ac:dyDescent="0.25">
      <c r="B804" s="1011"/>
      <c r="C804" s="35"/>
      <c r="D804" s="119" t="s">
        <v>106</v>
      </c>
      <c r="E804" s="99">
        <v>0</v>
      </c>
      <c r="F804" s="9">
        <f t="shared" si="617"/>
        <v>53280</v>
      </c>
      <c r="G804" s="9">
        <v>42000</v>
      </c>
      <c r="H804" s="10">
        <v>11280</v>
      </c>
      <c r="I804" s="6">
        <f t="shared" si="618"/>
        <v>53280</v>
      </c>
      <c r="J804" s="4">
        <f t="shared" si="619"/>
        <v>42000</v>
      </c>
      <c r="K804" s="4">
        <f t="shared" si="620"/>
        <v>11280</v>
      </c>
      <c r="L804" s="33" t="e">
        <f t="shared" ref="L804:L805" si="623">+J804/E804</f>
        <v>#DIV/0!</v>
      </c>
      <c r="M804" s="143">
        <v>4.0426000000000002</v>
      </c>
      <c r="N804" s="36">
        <f t="shared" si="622"/>
        <v>169789.2</v>
      </c>
      <c r="O804" s="88">
        <f>M804*J804</f>
        <v>169789.2</v>
      </c>
      <c r="P804" s="1013"/>
    </row>
    <row r="805" spans="2:16" x14ac:dyDescent="0.25">
      <c r="B805" s="1011"/>
      <c r="C805" s="35"/>
      <c r="D805" s="119" t="s">
        <v>110</v>
      </c>
      <c r="E805" s="99">
        <v>0</v>
      </c>
      <c r="F805" s="9">
        <f t="shared" si="617"/>
        <v>0</v>
      </c>
      <c r="G805" s="9">
        <v>0</v>
      </c>
      <c r="H805" s="10">
        <v>0</v>
      </c>
      <c r="I805" s="6">
        <f t="shared" si="618"/>
        <v>0</v>
      </c>
      <c r="J805" s="4">
        <f t="shared" si="619"/>
        <v>0</v>
      </c>
      <c r="K805" s="4">
        <f t="shared" si="620"/>
        <v>0</v>
      </c>
      <c r="L805" s="33" t="e">
        <f t="shared" si="623"/>
        <v>#DIV/0!</v>
      </c>
      <c r="M805" s="143">
        <v>3.8715000000000002</v>
      </c>
      <c r="N805" s="36">
        <f t="shared" si="622"/>
        <v>0</v>
      </c>
      <c r="O805" s="88">
        <f t="shared" ref="O805:O806" si="624">M805*J805</f>
        <v>0</v>
      </c>
      <c r="P805" s="1013"/>
    </row>
    <row r="806" spans="2:16" ht="15.75" thickBot="1" x14ac:dyDescent="0.3">
      <c r="B806" s="1011"/>
      <c r="C806" s="82"/>
      <c r="D806" s="120" t="s">
        <v>57</v>
      </c>
      <c r="E806" s="108">
        <v>0</v>
      </c>
      <c r="F806" s="12">
        <f t="shared" si="617"/>
        <v>0</v>
      </c>
      <c r="G806" s="12">
        <v>0</v>
      </c>
      <c r="H806" s="13">
        <v>0</v>
      </c>
      <c r="I806" s="21">
        <f t="shared" si="618"/>
        <v>0</v>
      </c>
      <c r="J806" s="4">
        <f t="shared" si="619"/>
        <v>0</v>
      </c>
      <c r="K806" s="4">
        <f t="shared" si="620"/>
        <v>0</v>
      </c>
      <c r="L806" s="81"/>
      <c r="M806" s="127">
        <v>12.284700000000001</v>
      </c>
      <c r="N806" s="36">
        <f t="shared" si="622"/>
        <v>0</v>
      </c>
      <c r="O806" s="128">
        <f t="shared" si="624"/>
        <v>0</v>
      </c>
      <c r="P806" s="1013"/>
    </row>
    <row r="807" spans="2:16" ht="15.75" thickBot="1" x14ac:dyDescent="0.3">
      <c r="B807" s="1011"/>
      <c r="C807" s="1016" t="s">
        <v>104</v>
      </c>
      <c r="D807" s="1017"/>
      <c r="E807" s="129"/>
      <c r="F807" s="130">
        <f>SUM(F800:F806)</f>
        <v>226876</v>
      </c>
      <c r="G807" s="130">
        <f>SUM(G800:G806)</f>
        <v>214500</v>
      </c>
      <c r="H807" s="131">
        <f>SUM(H800:H806)</f>
        <v>12376</v>
      </c>
      <c r="I807" s="132">
        <f>+J807+K807</f>
        <v>2775234</v>
      </c>
      <c r="J807" s="133">
        <f>SUM(J800:J806)</f>
        <v>2740250</v>
      </c>
      <c r="K807" s="133">
        <f>SUM(K800:K806)</f>
        <v>34984</v>
      </c>
      <c r="L807" s="134"/>
      <c r="M807" s="135"/>
      <c r="N807" s="136"/>
      <c r="O807" s="137">
        <f>SUM(O800:O806)</f>
        <v>6309414.7999999998</v>
      </c>
      <c r="P807" s="1014"/>
    </row>
    <row r="808" spans="2:16" x14ac:dyDescent="0.25">
      <c r="B808" s="1011"/>
      <c r="C808" s="32"/>
      <c r="D808" s="118" t="s">
        <v>58</v>
      </c>
      <c r="E808" s="98">
        <v>0</v>
      </c>
      <c r="F808" s="4">
        <f t="shared" ref="F808:F811" si="625">+G808+H808</f>
        <v>0</v>
      </c>
      <c r="G808" s="4">
        <v>0</v>
      </c>
      <c r="H808" s="8">
        <v>0</v>
      </c>
      <c r="I808" s="6">
        <f t="shared" ref="I808:I812" si="626">J808+K808</f>
        <v>0</v>
      </c>
      <c r="J808" s="4">
        <f>G808+J743</f>
        <v>0</v>
      </c>
      <c r="K808" s="4">
        <f>H808+K743</f>
        <v>0</v>
      </c>
      <c r="L808" s="33" t="e">
        <f t="shared" ref="L808" si="627">+J808/E808</f>
        <v>#DIV/0!</v>
      </c>
      <c r="M808" s="105">
        <v>12.029500000000001</v>
      </c>
      <c r="N808" s="34">
        <f>M808*G808</f>
        <v>0</v>
      </c>
      <c r="O808" s="87">
        <f t="shared" ref="O808:O810" si="628">M808*J808</f>
        <v>0</v>
      </c>
      <c r="P808" s="1013"/>
    </row>
    <row r="809" spans="2:16" x14ac:dyDescent="0.25">
      <c r="B809" s="1011"/>
      <c r="C809" s="35"/>
      <c r="D809" s="119" t="s">
        <v>59</v>
      </c>
      <c r="E809" s="99">
        <v>0</v>
      </c>
      <c r="F809" s="9">
        <f t="shared" si="625"/>
        <v>0</v>
      </c>
      <c r="G809" s="9">
        <v>0</v>
      </c>
      <c r="H809" s="10">
        <v>0</v>
      </c>
      <c r="I809" s="6">
        <f t="shared" si="626"/>
        <v>0</v>
      </c>
      <c r="J809" s="4">
        <f>G809+J744</f>
        <v>0</v>
      </c>
      <c r="K809" s="4">
        <f>H809+K744</f>
        <v>0</v>
      </c>
      <c r="L809" s="33"/>
      <c r="M809" s="106">
        <v>0</v>
      </c>
      <c r="N809" s="36"/>
      <c r="O809" s="88">
        <f t="shared" si="628"/>
        <v>0</v>
      </c>
      <c r="P809" s="1013"/>
    </row>
    <row r="810" spans="2:16" x14ac:dyDescent="0.25">
      <c r="B810" s="1011"/>
      <c r="C810" s="35"/>
      <c r="D810" s="119" t="s">
        <v>97</v>
      </c>
      <c r="E810" s="99">
        <v>0</v>
      </c>
      <c r="F810" s="9">
        <f t="shared" si="625"/>
        <v>0</v>
      </c>
      <c r="G810" s="9">
        <v>0</v>
      </c>
      <c r="H810" s="10">
        <v>0</v>
      </c>
      <c r="I810" s="6">
        <f t="shared" si="626"/>
        <v>0</v>
      </c>
      <c r="J810" s="4">
        <f t="shared" ref="J810:J812" si="629">G810+J745</f>
        <v>0</v>
      </c>
      <c r="K810" s="4">
        <f t="shared" ref="K810:K812" si="630">H810+K745</f>
        <v>0</v>
      </c>
      <c r="L810" s="33" t="e">
        <f t="shared" ref="L810:L812" si="631">+J810/E810</f>
        <v>#DIV/0!</v>
      </c>
      <c r="M810" s="106">
        <v>19.688600000000001</v>
      </c>
      <c r="N810" s="36">
        <f>M810*G810</f>
        <v>0</v>
      </c>
      <c r="O810" s="88">
        <f t="shared" si="628"/>
        <v>0</v>
      </c>
      <c r="P810" s="1013"/>
    </row>
    <row r="811" spans="2:16" x14ac:dyDescent="0.25">
      <c r="B811" s="1011"/>
      <c r="C811" s="35"/>
      <c r="D811" s="119" t="s">
        <v>61</v>
      </c>
      <c r="E811" s="99">
        <v>0</v>
      </c>
      <c r="F811" s="9">
        <f t="shared" si="625"/>
        <v>0</v>
      </c>
      <c r="G811" s="9">
        <v>0</v>
      </c>
      <c r="H811" s="10">
        <v>0</v>
      </c>
      <c r="I811" s="6">
        <f t="shared" si="626"/>
        <v>0</v>
      </c>
      <c r="J811" s="4">
        <f t="shared" si="629"/>
        <v>0</v>
      </c>
      <c r="K811" s="4">
        <f t="shared" si="630"/>
        <v>0</v>
      </c>
      <c r="L811" s="33" t="e">
        <f t="shared" si="631"/>
        <v>#DIV/0!</v>
      </c>
      <c r="M811" s="106">
        <v>1.2824</v>
      </c>
      <c r="N811" s="151">
        <f>M811*G811</f>
        <v>0</v>
      </c>
      <c r="O811" s="88">
        <f>M811*J811</f>
        <v>0</v>
      </c>
      <c r="P811" s="1013"/>
    </row>
    <row r="812" spans="2:16" ht="15.75" thickBot="1" x14ac:dyDescent="0.3">
      <c r="B812" s="1011"/>
      <c r="C812" s="82"/>
      <c r="D812" s="120" t="s">
        <v>60</v>
      </c>
      <c r="E812" s="108">
        <v>0</v>
      </c>
      <c r="F812" s="12">
        <v>0</v>
      </c>
      <c r="G812" s="12">
        <v>8640</v>
      </c>
      <c r="H812" s="13">
        <v>104</v>
      </c>
      <c r="I812" s="21">
        <f t="shared" si="626"/>
        <v>56834</v>
      </c>
      <c r="J812" s="4">
        <f t="shared" si="629"/>
        <v>56160</v>
      </c>
      <c r="K812" s="4">
        <f t="shared" si="630"/>
        <v>674</v>
      </c>
      <c r="L812" s="81" t="e">
        <f t="shared" si="631"/>
        <v>#DIV/0!</v>
      </c>
      <c r="M812" s="107">
        <v>18.2316</v>
      </c>
      <c r="N812" s="75"/>
      <c r="O812" s="89">
        <f t="shared" ref="O812" si="632">M812*J812</f>
        <v>1023886.656</v>
      </c>
      <c r="P812" s="1015"/>
    </row>
    <row r="813" spans="2:16" ht="15.75" thickBot="1" x14ac:dyDescent="0.3">
      <c r="B813" s="995" t="s">
        <v>105</v>
      </c>
      <c r="C813" s="996"/>
      <c r="D813" s="996"/>
      <c r="E813" s="124"/>
      <c r="F813" s="125">
        <f>+G813+H813</f>
        <v>8744</v>
      </c>
      <c r="G813" s="125">
        <f>SUM(G808:G812)</f>
        <v>8640</v>
      </c>
      <c r="H813" s="126">
        <f>SUM(H808:H812)</f>
        <v>104</v>
      </c>
      <c r="I813" s="121">
        <f>J813+K813</f>
        <v>56834</v>
      </c>
      <c r="J813" s="122">
        <f>SUM(J808:J812)</f>
        <v>56160</v>
      </c>
      <c r="K813" s="123">
        <f>SUM(K808:K812)</f>
        <v>674</v>
      </c>
      <c r="L813" s="138"/>
      <c r="M813" s="139"/>
      <c r="N813" s="140"/>
      <c r="O813" s="141">
        <f>SUM(O808:O812)</f>
        <v>1023886.656</v>
      </c>
      <c r="P813" s="205"/>
    </row>
    <row r="814" spans="2:16" ht="15.75" thickBot="1" x14ac:dyDescent="0.3">
      <c r="B814" s="995" t="s">
        <v>98</v>
      </c>
      <c r="C814" s="996"/>
      <c r="D814" s="996"/>
      <c r="E814" s="1018"/>
      <c r="F814" s="1018"/>
      <c r="G814" s="1018"/>
      <c r="H814" s="1018"/>
      <c r="I814" s="996"/>
      <c r="J814" s="996"/>
      <c r="K814" s="996"/>
      <c r="L814" s="996"/>
      <c r="M814" s="996"/>
      <c r="N814" s="1019"/>
      <c r="O814" s="83">
        <f>O807+O813</f>
        <v>7333301.4560000002</v>
      </c>
      <c r="P814" s="205"/>
    </row>
    <row r="815" spans="2:16" x14ac:dyDescent="0.25">
      <c r="B815" s="1010" t="s">
        <v>62</v>
      </c>
      <c r="C815" s="37" t="s">
        <v>63</v>
      </c>
      <c r="D815" s="28" t="s">
        <v>64</v>
      </c>
      <c r="E815" s="38">
        <v>0</v>
      </c>
      <c r="F815" s="14">
        <f>+G815+H815</f>
        <v>0</v>
      </c>
      <c r="G815" s="14">
        <v>0</v>
      </c>
      <c r="H815" s="5">
        <v>0</v>
      </c>
      <c r="I815" s="17">
        <f t="shared" ref="I815:I821" si="633">J815+K815</f>
        <v>0</v>
      </c>
      <c r="J815" s="4">
        <f>G815+J750</f>
        <v>0</v>
      </c>
      <c r="K815" s="4">
        <f>H815+K750</f>
        <v>0</v>
      </c>
      <c r="L815" s="30" t="e">
        <f>+J815/E815</f>
        <v>#DIV/0!</v>
      </c>
      <c r="M815" s="146">
        <v>2.2141000000000002</v>
      </c>
      <c r="N815" s="15">
        <f>+M815*G815</f>
        <v>0</v>
      </c>
      <c r="O815" s="90">
        <f>+M815*J815</f>
        <v>0</v>
      </c>
      <c r="P815" s="1021"/>
    </row>
    <row r="816" spans="2:16" x14ac:dyDescent="0.25">
      <c r="B816" s="1011"/>
      <c r="C816" s="39"/>
      <c r="D816" s="22" t="s">
        <v>65</v>
      </c>
      <c r="E816" s="3">
        <v>0</v>
      </c>
      <c r="F816" s="9">
        <f t="shared" ref="F816:F821" si="634">+G816+H816</f>
        <v>0</v>
      </c>
      <c r="G816" s="4">
        <v>0</v>
      </c>
      <c r="H816" s="8">
        <v>0</v>
      </c>
      <c r="I816" s="6">
        <f t="shared" si="633"/>
        <v>0</v>
      </c>
      <c r="J816" s="4">
        <f>+G816+J751</f>
        <v>0</v>
      </c>
      <c r="K816" s="4">
        <f>+H816+K751</f>
        <v>0</v>
      </c>
      <c r="L816" s="40" t="e">
        <f t="shared" ref="L816:L817" si="635">+J816/E816</f>
        <v>#DIV/0!</v>
      </c>
      <c r="M816" s="145">
        <v>2.4565999999999999</v>
      </c>
      <c r="N816" s="11">
        <f t="shared" ref="N816:N818" si="636">+M816*G816</f>
        <v>0</v>
      </c>
      <c r="O816" s="91">
        <f t="shared" ref="O816:O818" si="637">+M816*J816</f>
        <v>0</v>
      </c>
      <c r="P816" s="1022"/>
    </row>
    <row r="817" spans="2:16" x14ac:dyDescent="0.25">
      <c r="B817" s="1011"/>
      <c r="C817" s="39"/>
      <c r="D817" s="23" t="s">
        <v>126</v>
      </c>
      <c r="E817" s="3">
        <v>0</v>
      </c>
      <c r="F817" s="9">
        <f t="shared" si="634"/>
        <v>0</v>
      </c>
      <c r="G817" s="4">
        <v>0</v>
      </c>
      <c r="H817" s="8">
        <v>0</v>
      </c>
      <c r="I817" s="6">
        <f t="shared" si="633"/>
        <v>0</v>
      </c>
      <c r="J817" s="4">
        <f t="shared" ref="J817:J818" si="638">+G817+J752</f>
        <v>0</v>
      </c>
      <c r="K817" s="4">
        <f t="shared" ref="K817:K821" si="639">+H817+K752</f>
        <v>0</v>
      </c>
      <c r="L817" s="40" t="e">
        <f t="shared" si="635"/>
        <v>#DIV/0!</v>
      </c>
      <c r="M817" s="145">
        <v>2.2907000000000002</v>
      </c>
      <c r="N817" s="11">
        <f t="shared" si="636"/>
        <v>0</v>
      </c>
      <c r="O817" s="91">
        <f t="shared" si="637"/>
        <v>0</v>
      </c>
      <c r="P817" s="1022"/>
    </row>
    <row r="818" spans="2:16" x14ac:dyDescent="0.25">
      <c r="B818" s="1011"/>
      <c r="C818" s="39"/>
      <c r="D818" s="22" t="s">
        <v>131</v>
      </c>
      <c r="E818" s="3"/>
      <c r="F818" s="9">
        <f t="shared" si="634"/>
        <v>0</v>
      </c>
      <c r="G818" s="4">
        <v>0</v>
      </c>
      <c r="H818" s="8">
        <v>0</v>
      </c>
      <c r="I818" s="6">
        <f t="shared" si="633"/>
        <v>0</v>
      </c>
      <c r="J818" s="4">
        <f t="shared" si="638"/>
        <v>0</v>
      </c>
      <c r="K818" s="4">
        <f t="shared" si="639"/>
        <v>0</v>
      </c>
      <c r="L818" s="33"/>
      <c r="M818" s="150">
        <v>2.544</v>
      </c>
      <c r="N818" s="11">
        <f t="shared" si="636"/>
        <v>0</v>
      </c>
      <c r="O818" s="91">
        <f t="shared" si="637"/>
        <v>0</v>
      </c>
      <c r="P818" s="1022"/>
    </row>
    <row r="819" spans="2:16" x14ac:dyDescent="0.25">
      <c r="B819" s="1011"/>
      <c r="C819" s="39" t="s">
        <v>66</v>
      </c>
      <c r="D819" s="22" t="s">
        <v>133</v>
      </c>
      <c r="E819" s="3">
        <v>0</v>
      </c>
      <c r="F819" s="9">
        <f t="shared" si="634"/>
        <v>23285</v>
      </c>
      <c r="G819" s="4">
        <v>22250</v>
      </c>
      <c r="H819" s="8">
        <v>1035</v>
      </c>
      <c r="I819" s="6">
        <f t="shared" si="633"/>
        <v>567947</v>
      </c>
      <c r="J819" s="4">
        <f>+G819+J754</f>
        <v>552750</v>
      </c>
      <c r="K819" s="4">
        <f t="shared" si="639"/>
        <v>15197</v>
      </c>
      <c r="L819" s="33" t="e">
        <f>+J819/E819</f>
        <v>#DIV/0!</v>
      </c>
      <c r="M819" s="144">
        <v>2.2141000000000002</v>
      </c>
      <c r="N819" s="7">
        <f>+M819*G819</f>
        <v>49263.725000000006</v>
      </c>
      <c r="O819" s="85">
        <f>+M819*J819</f>
        <v>1223843.7750000001</v>
      </c>
      <c r="P819" s="1022"/>
    </row>
    <row r="820" spans="2:16" x14ac:dyDescent="0.25">
      <c r="B820" s="1011"/>
      <c r="C820" s="39"/>
      <c r="D820" s="22" t="s">
        <v>65</v>
      </c>
      <c r="E820" s="3">
        <v>0</v>
      </c>
      <c r="F820" s="9">
        <f t="shared" si="634"/>
        <v>0</v>
      </c>
      <c r="G820" s="4">
        <v>0</v>
      </c>
      <c r="H820" s="8">
        <v>0</v>
      </c>
      <c r="I820" s="6">
        <f t="shared" si="633"/>
        <v>0</v>
      </c>
      <c r="J820" s="4">
        <f t="shared" ref="J820:J821" si="640">+G820+J755</f>
        <v>0</v>
      </c>
      <c r="K820" s="4">
        <f t="shared" si="639"/>
        <v>0</v>
      </c>
      <c r="L820" s="40" t="e">
        <f t="shared" ref="L820:L821" si="641">+J820/E820</f>
        <v>#DIV/0!</v>
      </c>
      <c r="M820" s="145">
        <v>2.4565999999999999</v>
      </c>
      <c r="N820" s="11">
        <f t="shared" ref="N820:N821" si="642">+M820*G820</f>
        <v>0</v>
      </c>
      <c r="O820" s="91">
        <f t="shared" ref="O820" si="643">+M820*J820</f>
        <v>0</v>
      </c>
      <c r="P820" s="1022"/>
    </row>
    <row r="821" spans="2:16" ht="15.75" thickBot="1" x14ac:dyDescent="0.3">
      <c r="B821" s="1011"/>
      <c r="C821" s="39"/>
      <c r="D821" s="22" t="s">
        <v>126</v>
      </c>
      <c r="E821" s="3">
        <v>0</v>
      </c>
      <c r="F821" s="9">
        <f t="shared" si="634"/>
        <v>0</v>
      </c>
      <c r="G821" s="4">
        <v>0</v>
      </c>
      <c r="H821" s="8">
        <v>0</v>
      </c>
      <c r="I821" s="6">
        <f t="shared" si="633"/>
        <v>0</v>
      </c>
      <c r="J821" s="4">
        <f t="shared" si="640"/>
        <v>0</v>
      </c>
      <c r="K821" s="4">
        <f t="shared" si="639"/>
        <v>0</v>
      </c>
      <c r="L821" s="40" t="e">
        <f t="shared" si="641"/>
        <v>#DIV/0!</v>
      </c>
      <c r="M821" s="145">
        <v>2.2907000000000002</v>
      </c>
      <c r="N821" s="11">
        <f t="shared" si="642"/>
        <v>0</v>
      </c>
      <c r="O821" s="154">
        <f>+M821*J821</f>
        <v>0</v>
      </c>
      <c r="P821" s="1023"/>
    </row>
    <row r="822" spans="2:16" ht="15.75" thickBot="1" x14ac:dyDescent="0.3">
      <c r="B822" s="1011"/>
      <c r="C822" s="41" t="s">
        <v>29</v>
      </c>
      <c r="D822" s="27" t="str">
        <f>+C822</f>
        <v>TOTAL 1/2</v>
      </c>
      <c r="E822" s="42">
        <f>SUM(E815:E821)</f>
        <v>0</v>
      </c>
      <c r="F822" s="43">
        <f>SUM(F815:F821)</f>
        <v>23285</v>
      </c>
      <c r="G822" s="43">
        <f>SUM(G815:G821)</f>
        <v>22250</v>
      </c>
      <c r="H822" s="44">
        <f>SUM(H815:H821)</f>
        <v>1035</v>
      </c>
      <c r="I822" s="45">
        <f>SUM(I819:I821)</f>
        <v>567947</v>
      </c>
      <c r="J822" s="43">
        <f>SUM(J815:J821)</f>
        <v>552750</v>
      </c>
      <c r="K822" s="43">
        <f>SUM(K815:K821)</f>
        <v>15197</v>
      </c>
      <c r="L822" s="46" t="e">
        <f>+J822/E822</f>
        <v>#DIV/0!</v>
      </c>
      <c r="M822" s="47"/>
      <c r="N822" s="48">
        <f>SUM(N819:N821)</f>
        <v>49263.725000000006</v>
      </c>
      <c r="O822" s="49">
        <f>SUM(O815:O821)</f>
        <v>1223843.7750000001</v>
      </c>
      <c r="P822" s="206"/>
    </row>
    <row r="823" spans="2:16" x14ac:dyDescent="0.25">
      <c r="B823" s="1011"/>
      <c r="C823" s="1024" t="s">
        <v>67</v>
      </c>
      <c r="D823" s="22" t="s">
        <v>64</v>
      </c>
      <c r="E823" s="3">
        <v>0</v>
      </c>
      <c r="F823" s="4">
        <f>G823+H823</f>
        <v>0</v>
      </c>
      <c r="G823" s="4">
        <v>0</v>
      </c>
      <c r="H823" s="8">
        <v>0</v>
      </c>
      <c r="I823" s="16">
        <f>J823+K823</f>
        <v>109220</v>
      </c>
      <c r="J823" s="4">
        <f>G823+J758</f>
        <v>105750</v>
      </c>
      <c r="K823" s="4">
        <f>H823+K758</f>
        <v>3470</v>
      </c>
      <c r="L823" s="50" t="e">
        <f>+J823/E823</f>
        <v>#DIV/0!</v>
      </c>
      <c r="M823" s="144">
        <v>4.1712999999999996</v>
      </c>
      <c r="N823" s="7">
        <f>+M823*G823</f>
        <v>0</v>
      </c>
      <c r="O823" s="93">
        <f>+M823*J823</f>
        <v>441114.97499999998</v>
      </c>
      <c r="P823" s="1021"/>
    </row>
    <row r="824" spans="2:16" x14ac:dyDescent="0.25">
      <c r="B824" s="1011"/>
      <c r="C824" s="1025"/>
      <c r="D824" s="22" t="s">
        <v>65</v>
      </c>
      <c r="E824" s="3">
        <v>0</v>
      </c>
      <c r="F824" s="4">
        <f>G824+H824</f>
        <v>0</v>
      </c>
      <c r="G824" s="4">
        <v>0</v>
      </c>
      <c r="H824" s="8">
        <v>0</v>
      </c>
      <c r="I824" s="6">
        <f>+R1868+F824</f>
        <v>0</v>
      </c>
      <c r="J824" s="4">
        <f>G824+J759</f>
        <v>120000</v>
      </c>
      <c r="K824" s="4">
        <f>H824+K759</f>
        <v>3230</v>
      </c>
      <c r="L824" s="51" t="e">
        <f t="shared" ref="L824:L828" si="644">+J824/E824</f>
        <v>#DIV/0!</v>
      </c>
      <c r="M824" s="145">
        <v>4.8285999999999998</v>
      </c>
      <c r="N824" s="11">
        <f t="shared" ref="N824:N826" si="645">+M824*G824</f>
        <v>0</v>
      </c>
      <c r="O824" s="94">
        <f t="shared" ref="O824:O826" si="646">+M824*J824</f>
        <v>579432</v>
      </c>
      <c r="P824" s="1022"/>
    </row>
    <row r="825" spans="2:16" x14ac:dyDescent="0.25">
      <c r="B825" s="1011"/>
      <c r="C825" s="1025"/>
      <c r="D825" s="22" t="s">
        <v>127</v>
      </c>
      <c r="E825" s="3"/>
      <c r="F825" s="4">
        <f>G825+H825</f>
        <v>0</v>
      </c>
      <c r="G825" s="4">
        <v>0</v>
      </c>
      <c r="H825" s="8">
        <v>0</v>
      </c>
      <c r="I825" s="6">
        <f>+R1869+F825</f>
        <v>0</v>
      </c>
      <c r="J825" s="4">
        <f t="shared" ref="J825:J826" si="647">G825+J760</f>
        <v>0</v>
      </c>
      <c r="K825" s="4">
        <f t="shared" ref="K825:K826" si="648">H825+K760</f>
        <v>0</v>
      </c>
      <c r="L825" s="51" t="e">
        <f t="shared" si="644"/>
        <v>#DIV/0!</v>
      </c>
      <c r="M825" s="144">
        <v>4.5023</v>
      </c>
      <c r="N825" s="11">
        <f t="shared" si="645"/>
        <v>0</v>
      </c>
      <c r="O825" s="94">
        <f t="shared" si="646"/>
        <v>0</v>
      </c>
      <c r="P825" s="1022"/>
    </row>
    <row r="826" spans="2:16" ht="15.75" thickBot="1" x14ac:dyDescent="0.3">
      <c r="B826" s="1011"/>
      <c r="C826" s="1025"/>
      <c r="D826" s="22" t="s">
        <v>111</v>
      </c>
      <c r="E826" s="3">
        <v>0</v>
      </c>
      <c r="F826" s="4">
        <f t="shared" ref="F826" si="649">G826+H826</f>
        <v>0</v>
      </c>
      <c r="G826" s="4">
        <v>0</v>
      </c>
      <c r="H826" s="8">
        <v>0</v>
      </c>
      <c r="I826" s="6">
        <f>+R1869+F826</f>
        <v>0</v>
      </c>
      <c r="J826" s="4">
        <f t="shared" si="647"/>
        <v>0</v>
      </c>
      <c r="K826" s="4">
        <f t="shared" si="648"/>
        <v>0</v>
      </c>
      <c r="L826" s="51" t="e">
        <f t="shared" si="644"/>
        <v>#DIV/0!</v>
      </c>
      <c r="M826" s="144">
        <v>4.4065000000000003</v>
      </c>
      <c r="N826" s="11">
        <f t="shared" si="645"/>
        <v>0</v>
      </c>
      <c r="O826" s="94">
        <f t="shared" si="646"/>
        <v>0</v>
      </c>
      <c r="P826" s="1022"/>
    </row>
    <row r="827" spans="2:16" ht="15.75" thickBot="1" x14ac:dyDescent="0.3">
      <c r="B827" s="1011"/>
      <c r="C827" s="41" t="s">
        <v>31</v>
      </c>
      <c r="D827" s="18" t="str">
        <f>+C827</f>
        <v>TOTAL 4/4</v>
      </c>
      <c r="E827" s="42">
        <f t="shared" ref="E827:K827" si="650">SUM(E823:E826)</f>
        <v>0</v>
      </c>
      <c r="F827" s="43">
        <f t="shared" si="650"/>
        <v>0</v>
      </c>
      <c r="G827" s="43">
        <f t="shared" si="650"/>
        <v>0</v>
      </c>
      <c r="H827" s="44">
        <f t="shared" si="650"/>
        <v>0</v>
      </c>
      <c r="I827" s="45">
        <f t="shared" si="650"/>
        <v>109220</v>
      </c>
      <c r="J827" s="43">
        <f t="shared" si="650"/>
        <v>225750</v>
      </c>
      <c r="K827" s="43">
        <f t="shared" si="650"/>
        <v>6700</v>
      </c>
      <c r="L827" s="46" t="e">
        <f t="shared" si="644"/>
        <v>#DIV/0!</v>
      </c>
      <c r="M827" s="47"/>
      <c r="N827" s="48">
        <f>SUM(N823:N826)</f>
        <v>0</v>
      </c>
      <c r="O827" s="92">
        <f>SUM(O823:O826)</f>
        <v>1020546.975</v>
      </c>
      <c r="P827" s="1023"/>
    </row>
    <row r="828" spans="2:16" ht="15.75" thickBot="1" x14ac:dyDescent="0.3">
      <c r="B828" s="1020"/>
      <c r="C828" s="41" t="s">
        <v>68</v>
      </c>
      <c r="D828" s="27" t="s">
        <v>64</v>
      </c>
      <c r="E828" s="25">
        <v>0</v>
      </c>
      <c r="F828" s="20">
        <f>G828+H828</f>
        <v>0</v>
      </c>
      <c r="G828" s="20">
        <v>0</v>
      </c>
      <c r="H828" s="24">
        <v>0</v>
      </c>
      <c r="I828" s="19">
        <f>J828+K828</f>
        <v>0</v>
      </c>
      <c r="J828" s="4">
        <f>G828+J763</f>
        <v>0</v>
      </c>
      <c r="K828" s="4">
        <f>H828+K763</f>
        <v>0</v>
      </c>
      <c r="L828" s="52" t="e">
        <f t="shared" si="644"/>
        <v>#DIV/0!</v>
      </c>
      <c r="M828" s="149">
        <v>1.4086000000000001</v>
      </c>
      <c r="N828" s="26">
        <f t="shared" ref="N828" si="651">+M828*G828</f>
        <v>0</v>
      </c>
      <c r="O828" s="95">
        <f t="shared" ref="O828" si="652">+M828*J828</f>
        <v>0</v>
      </c>
      <c r="P828" s="53"/>
    </row>
    <row r="829" spans="2:16" ht="15.75" thickBot="1" x14ac:dyDescent="0.3">
      <c r="B829" s="995" t="s">
        <v>95</v>
      </c>
      <c r="C829" s="996"/>
      <c r="D829" s="996"/>
      <c r="E829" s="996"/>
      <c r="F829" s="996"/>
      <c r="G829" s="996"/>
      <c r="H829" s="996"/>
      <c r="I829" s="110">
        <f>J829+K829</f>
        <v>800397</v>
      </c>
      <c r="J829" s="110">
        <f>J822+J827+J828</f>
        <v>778500</v>
      </c>
      <c r="K829" s="110">
        <f>K822+K827+K828</f>
        <v>21897</v>
      </c>
      <c r="L829" s="111"/>
      <c r="M829" s="112"/>
      <c r="N829" s="109"/>
      <c r="O829" s="77">
        <f>+O828+O827+O822</f>
        <v>2244390.75</v>
      </c>
      <c r="P829" s="84"/>
    </row>
    <row r="830" spans="2:16" x14ac:dyDescent="0.25">
      <c r="B830" s="997" t="s">
        <v>69</v>
      </c>
      <c r="C830" s="1000" t="s">
        <v>70</v>
      </c>
      <c r="D830" s="54" t="s">
        <v>71</v>
      </c>
      <c r="E830" s="55">
        <v>0</v>
      </c>
      <c r="F830" s="56">
        <f>G830+H830</f>
        <v>5075</v>
      </c>
      <c r="G830" s="56">
        <v>5000</v>
      </c>
      <c r="H830" s="57">
        <v>75</v>
      </c>
      <c r="I830" s="78">
        <f>J830+K830</f>
        <v>20208</v>
      </c>
      <c r="J830" s="4">
        <f>G830+J765</f>
        <v>20000</v>
      </c>
      <c r="K830" s="4">
        <f>H830+K765</f>
        <v>208</v>
      </c>
      <c r="L830" s="58" t="e">
        <f t="shared" ref="L830" si="653">+J830/E830</f>
        <v>#DIV/0!</v>
      </c>
      <c r="M830" s="59">
        <v>32.946300000000001</v>
      </c>
      <c r="N830" s="60">
        <f>+M830*G830</f>
        <v>164731.5</v>
      </c>
      <c r="O830" s="60">
        <f>M830*J830</f>
        <v>658926</v>
      </c>
      <c r="P830" s="1002"/>
    </row>
    <row r="831" spans="2:16" x14ac:dyDescent="0.25">
      <c r="B831" s="998"/>
      <c r="C831" s="1001"/>
      <c r="D831" s="61" t="s">
        <v>72</v>
      </c>
      <c r="E831" s="62">
        <v>0</v>
      </c>
      <c r="F831" s="63">
        <f>G831+H831</f>
        <v>0</v>
      </c>
      <c r="G831" s="63">
        <v>0</v>
      </c>
      <c r="H831" s="64">
        <v>0</v>
      </c>
      <c r="I831" s="79">
        <f>J831+K831</f>
        <v>31833</v>
      </c>
      <c r="J831" s="4">
        <f>G831+J766</f>
        <v>31420</v>
      </c>
      <c r="K831" s="4">
        <f>H831+K766</f>
        <v>413</v>
      </c>
      <c r="L831" s="65" t="e">
        <f>+J831/E831</f>
        <v>#DIV/0!</v>
      </c>
      <c r="M831" s="66">
        <v>35.398400000000002</v>
      </c>
      <c r="N831" s="67">
        <f>+M831*G831</f>
        <v>0</v>
      </c>
      <c r="O831" s="67">
        <f>M831*J831</f>
        <v>1112217.7280000001</v>
      </c>
      <c r="P831" s="1003"/>
    </row>
    <row r="832" spans="2:16" x14ac:dyDescent="0.25">
      <c r="B832" s="998"/>
      <c r="C832" s="1001"/>
      <c r="D832" s="61" t="s">
        <v>73</v>
      </c>
      <c r="E832" s="62">
        <v>0</v>
      </c>
      <c r="F832" s="63">
        <f t="shared" ref="F832:F835" si="654">G832+H832</f>
        <v>0</v>
      </c>
      <c r="G832" s="63">
        <v>0</v>
      </c>
      <c r="H832" s="64">
        <v>0</v>
      </c>
      <c r="I832" s="79">
        <f t="shared" ref="I832:I841" si="655">J832+K832</f>
        <v>0</v>
      </c>
      <c r="J832" s="4">
        <f t="shared" ref="J832:J857" si="656">G832+J767</f>
        <v>0</v>
      </c>
      <c r="K832" s="4">
        <f t="shared" ref="K832:K836" si="657">H832+K767</f>
        <v>0</v>
      </c>
      <c r="L832" s="65" t="e">
        <f t="shared" ref="L832:L845" si="658">+J832/E832</f>
        <v>#DIV/0!</v>
      </c>
      <c r="M832" s="66">
        <v>32.946300000000001</v>
      </c>
      <c r="N832" s="67">
        <f t="shared" ref="N832:N852" si="659">+M832*G832</f>
        <v>0</v>
      </c>
      <c r="O832" s="67">
        <f t="shared" ref="O832:O840" si="660">M832*J832</f>
        <v>0</v>
      </c>
      <c r="P832" s="1003"/>
    </row>
    <row r="833" spans="2:16" x14ac:dyDescent="0.25">
      <c r="B833" s="998"/>
      <c r="C833" s="1001" t="s">
        <v>74</v>
      </c>
      <c r="D833" s="61" t="s">
        <v>75</v>
      </c>
      <c r="E833" s="62">
        <v>0</v>
      </c>
      <c r="F833" s="63">
        <f t="shared" si="654"/>
        <v>2492</v>
      </c>
      <c r="G833" s="63">
        <v>2400</v>
      </c>
      <c r="H833" s="64">
        <v>92</v>
      </c>
      <c r="I833" s="79">
        <f t="shared" si="655"/>
        <v>17250</v>
      </c>
      <c r="J833" s="4">
        <f t="shared" si="656"/>
        <v>16800</v>
      </c>
      <c r="K833" s="4">
        <f t="shared" si="657"/>
        <v>450</v>
      </c>
      <c r="L833" s="65" t="e">
        <f t="shared" si="658"/>
        <v>#DIV/0!</v>
      </c>
      <c r="M833" s="66">
        <v>55.4758</v>
      </c>
      <c r="N833" s="67">
        <f t="shared" si="659"/>
        <v>133141.92000000001</v>
      </c>
      <c r="O833" s="67">
        <f t="shared" si="660"/>
        <v>931993.44</v>
      </c>
      <c r="P833" s="1003"/>
    </row>
    <row r="834" spans="2:16" x14ac:dyDescent="0.25">
      <c r="B834" s="998"/>
      <c r="C834" s="1001"/>
      <c r="D834" s="61" t="s">
        <v>134</v>
      </c>
      <c r="E834" s="62">
        <v>0</v>
      </c>
      <c r="F834" s="63">
        <f t="shared" si="654"/>
        <v>0</v>
      </c>
      <c r="G834" s="63">
        <v>0</v>
      </c>
      <c r="H834" s="64">
        <v>0</v>
      </c>
      <c r="I834" s="79">
        <f t="shared" si="655"/>
        <v>0</v>
      </c>
      <c r="J834" s="4">
        <f t="shared" si="656"/>
        <v>0</v>
      </c>
      <c r="K834" s="4">
        <f t="shared" si="657"/>
        <v>0</v>
      </c>
      <c r="L834" s="65" t="e">
        <f t="shared" si="658"/>
        <v>#DIV/0!</v>
      </c>
      <c r="M834" s="66">
        <v>53.515999999999998</v>
      </c>
      <c r="N834" s="67">
        <f t="shared" si="659"/>
        <v>0</v>
      </c>
      <c r="O834" s="67">
        <f t="shared" si="660"/>
        <v>0</v>
      </c>
      <c r="P834" s="1003"/>
    </row>
    <row r="835" spans="2:16" x14ac:dyDescent="0.25">
      <c r="B835" s="998"/>
      <c r="C835" s="1001"/>
      <c r="D835" s="61" t="s">
        <v>72</v>
      </c>
      <c r="E835" s="62">
        <v>0</v>
      </c>
      <c r="F835" s="63">
        <f t="shared" si="654"/>
        <v>0</v>
      </c>
      <c r="G835" s="63">
        <v>0</v>
      </c>
      <c r="H835" s="64">
        <v>0</v>
      </c>
      <c r="I835" s="79">
        <f t="shared" si="655"/>
        <v>9804</v>
      </c>
      <c r="J835" s="4">
        <f t="shared" si="656"/>
        <v>9600</v>
      </c>
      <c r="K835" s="4">
        <f t="shared" si="657"/>
        <v>204</v>
      </c>
      <c r="L835" s="65" t="e">
        <f t="shared" si="658"/>
        <v>#DIV/0!</v>
      </c>
      <c r="M835" s="66">
        <v>58.836300000000001</v>
      </c>
      <c r="N835" s="67">
        <f t="shared" si="659"/>
        <v>0</v>
      </c>
      <c r="O835" s="67">
        <f t="shared" si="660"/>
        <v>564828.48</v>
      </c>
      <c r="P835" s="1003"/>
    </row>
    <row r="836" spans="2:16" x14ac:dyDescent="0.25">
      <c r="B836" s="998"/>
      <c r="C836" s="1005" t="s">
        <v>76</v>
      </c>
      <c r="D836" s="61" t="s">
        <v>77</v>
      </c>
      <c r="E836" s="62">
        <v>0</v>
      </c>
      <c r="F836" s="63">
        <f>G836+H836</f>
        <v>6605</v>
      </c>
      <c r="G836" s="63">
        <v>6425</v>
      </c>
      <c r="H836" s="64">
        <v>180</v>
      </c>
      <c r="I836" s="79">
        <f t="shared" si="655"/>
        <v>13295</v>
      </c>
      <c r="J836" s="4">
        <f t="shared" si="656"/>
        <v>13000</v>
      </c>
      <c r="K836" s="4">
        <f t="shared" si="657"/>
        <v>295</v>
      </c>
      <c r="L836" s="65" t="e">
        <f t="shared" si="658"/>
        <v>#DIV/0!</v>
      </c>
      <c r="M836" s="66">
        <v>25.687200000000001</v>
      </c>
      <c r="N836" s="67">
        <f t="shared" si="659"/>
        <v>165040.26</v>
      </c>
      <c r="O836" s="67">
        <f t="shared" si="660"/>
        <v>333933.60000000003</v>
      </c>
      <c r="P836" s="1003"/>
    </row>
    <row r="837" spans="2:16" x14ac:dyDescent="0.25">
      <c r="B837" s="998"/>
      <c r="C837" s="1006"/>
      <c r="D837" s="61" t="s">
        <v>117</v>
      </c>
      <c r="E837" s="62">
        <v>0</v>
      </c>
      <c r="F837" s="63">
        <f>G837+H837</f>
        <v>0</v>
      </c>
      <c r="G837" s="63">
        <v>0</v>
      </c>
      <c r="H837" s="64">
        <v>0</v>
      </c>
      <c r="I837" s="79">
        <f t="shared" si="655"/>
        <v>0</v>
      </c>
      <c r="J837" s="4">
        <f t="shared" si="656"/>
        <v>0</v>
      </c>
      <c r="K837" s="4">
        <f>H837+K772</f>
        <v>0</v>
      </c>
      <c r="L837" s="65" t="e">
        <f t="shared" si="658"/>
        <v>#DIV/0!</v>
      </c>
      <c r="M837" s="66">
        <v>25.033899999999999</v>
      </c>
      <c r="N837" s="67">
        <f t="shared" si="659"/>
        <v>0</v>
      </c>
      <c r="O837" s="67">
        <f t="shared" si="660"/>
        <v>0</v>
      </c>
      <c r="P837" s="1003"/>
    </row>
    <row r="838" spans="2:16" x14ac:dyDescent="0.25">
      <c r="B838" s="998"/>
      <c r="C838" s="1005" t="s">
        <v>78</v>
      </c>
      <c r="D838" s="61" t="s">
        <v>79</v>
      </c>
      <c r="E838" s="62">
        <v>0</v>
      </c>
      <c r="F838" s="63">
        <f t="shared" ref="F838:F857" si="661">G838+H838</f>
        <v>2070</v>
      </c>
      <c r="G838" s="63">
        <v>2000</v>
      </c>
      <c r="H838" s="64">
        <v>70</v>
      </c>
      <c r="I838" s="79">
        <f t="shared" si="655"/>
        <v>16343</v>
      </c>
      <c r="J838" s="4">
        <f t="shared" si="656"/>
        <v>16000</v>
      </c>
      <c r="K838" s="4">
        <f t="shared" ref="K838:K857" si="662">H838+K773</f>
        <v>343</v>
      </c>
      <c r="L838" s="65" t="e">
        <f t="shared" si="658"/>
        <v>#DIV/0!</v>
      </c>
      <c r="M838" s="66">
        <v>41.992699999999999</v>
      </c>
      <c r="N838" s="67">
        <f t="shared" si="659"/>
        <v>83985.4</v>
      </c>
      <c r="O838" s="67">
        <f t="shared" si="660"/>
        <v>671883.2</v>
      </c>
      <c r="P838" s="1003"/>
    </row>
    <row r="839" spans="2:16" x14ac:dyDescent="0.25">
      <c r="B839" s="998"/>
      <c r="C839" s="1006"/>
      <c r="D839" s="61" t="s">
        <v>72</v>
      </c>
      <c r="E839" s="62">
        <v>0</v>
      </c>
      <c r="F839" s="63">
        <f t="shared" si="661"/>
        <v>0</v>
      </c>
      <c r="G839" s="63">
        <v>0</v>
      </c>
      <c r="H839" s="64">
        <v>0</v>
      </c>
      <c r="I839" s="79">
        <f t="shared" si="655"/>
        <v>0</v>
      </c>
      <c r="J839" s="4">
        <f t="shared" si="656"/>
        <v>0</v>
      </c>
      <c r="K839" s="4">
        <f t="shared" si="662"/>
        <v>0</v>
      </c>
      <c r="L839" s="65" t="e">
        <f t="shared" si="658"/>
        <v>#DIV/0!</v>
      </c>
      <c r="M839" s="66">
        <v>42.283799999999999</v>
      </c>
      <c r="N839" s="67">
        <f t="shared" si="659"/>
        <v>0</v>
      </c>
      <c r="O839" s="67">
        <f t="shared" si="660"/>
        <v>0</v>
      </c>
      <c r="P839" s="1003"/>
    </row>
    <row r="840" spans="2:16" x14ac:dyDescent="0.25">
      <c r="B840" s="998"/>
      <c r="C840" s="204" t="s">
        <v>80</v>
      </c>
      <c r="D840" s="61" t="s">
        <v>81</v>
      </c>
      <c r="E840" s="62">
        <v>0</v>
      </c>
      <c r="F840" s="63">
        <f t="shared" si="661"/>
        <v>0</v>
      </c>
      <c r="G840" s="63">
        <v>0</v>
      </c>
      <c r="H840" s="64">
        <v>0</v>
      </c>
      <c r="I840" s="79">
        <f t="shared" si="655"/>
        <v>24803</v>
      </c>
      <c r="J840" s="4">
        <f t="shared" si="656"/>
        <v>24000</v>
      </c>
      <c r="K840" s="4">
        <f t="shared" si="662"/>
        <v>803</v>
      </c>
      <c r="L840" s="65" t="e">
        <f t="shared" si="658"/>
        <v>#DIV/0!</v>
      </c>
      <c r="M840" s="66">
        <v>4.3535000000000004</v>
      </c>
      <c r="N840" s="67">
        <f t="shared" si="659"/>
        <v>0</v>
      </c>
      <c r="O840" s="67">
        <f t="shared" si="660"/>
        <v>104484.00000000001</v>
      </c>
      <c r="P840" s="1003"/>
    </row>
    <row r="841" spans="2:16" x14ac:dyDescent="0.25">
      <c r="B841" s="998"/>
      <c r="C841" s="1001" t="s">
        <v>82</v>
      </c>
      <c r="D841" s="61" t="s">
        <v>77</v>
      </c>
      <c r="E841" s="62">
        <v>0</v>
      </c>
      <c r="F841" s="63">
        <f t="shared" si="661"/>
        <v>0</v>
      </c>
      <c r="G841" s="63">
        <v>0</v>
      </c>
      <c r="H841" s="64">
        <v>0</v>
      </c>
      <c r="I841" s="79">
        <f t="shared" si="655"/>
        <v>0</v>
      </c>
      <c r="J841" s="4">
        <f t="shared" si="656"/>
        <v>0</v>
      </c>
      <c r="K841" s="4">
        <f t="shared" si="662"/>
        <v>0</v>
      </c>
      <c r="L841" s="65" t="e">
        <f t="shared" si="658"/>
        <v>#DIV/0!</v>
      </c>
      <c r="M841" s="66">
        <v>4.6184000000000003</v>
      </c>
      <c r="N841" s="67">
        <f t="shared" si="659"/>
        <v>0</v>
      </c>
      <c r="O841" s="67">
        <f>M841*J841</f>
        <v>0</v>
      </c>
      <c r="P841" s="1003"/>
    </row>
    <row r="842" spans="2:16" x14ac:dyDescent="0.25">
      <c r="B842" s="998"/>
      <c r="C842" s="1001"/>
      <c r="D842" s="61" t="s">
        <v>119</v>
      </c>
      <c r="E842" s="62">
        <v>0</v>
      </c>
      <c r="F842" s="63">
        <f t="shared" si="661"/>
        <v>0</v>
      </c>
      <c r="G842" s="63">
        <v>0</v>
      </c>
      <c r="H842" s="64">
        <v>0</v>
      </c>
      <c r="I842" s="79">
        <f>J842+K842</f>
        <v>0</v>
      </c>
      <c r="J842" s="4">
        <f t="shared" si="656"/>
        <v>0</v>
      </c>
      <c r="K842" s="4">
        <f t="shared" si="662"/>
        <v>0</v>
      </c>
      <c r="L842" s="65" t="e">
        <f t="shared" si="658"/>
        <v>#DIV/0!</v>
      </c>
      <c r="M842" s="153">
        <v>4.6184000000000003</v>
      </c>
      <c r="N842" s="67">
        <f t="shared" si="659"/>
        <v>0</v>
      </c>
      <c r="O842" s="67">
        <f>M842*J842</f>
        <v>0</v>
      </c>
      <c r="P842" s="1003"/>
    </row>
    <row r="843" spans="2:16" x14ac:dyDescent="0.25">
      <c r="B843" s="998"/>
      <c r="C843" s="1001"/>
      <c r="D843" s="61" t="s">
        <v>123</v>
      </c>
      <c r="E843" s="62">
        <v>0</v>
      </c>
      <c r="F843" s="63">
        <f t="shared" si="661"/>
        <v>0</v>
      </c>
      <c r="G843" s="63">
        <v>0</v>
      </c>
      <c r="H843" s="64">
        <v>0</v>
      </c>
      <c r="I843" s="79">
        <f t="shared" ref="I843:I857" si="663">J843+K843</f>
        <v>0</v>
      </c>
      <c r="J843" s="4">
        <f t="shared" si="656"/>
        <v>0</v>
      </c>
      <c r="K843" s="4">
        <f t="shared" si="662"/>
        <v>0</v>
      </c>
      <c r="L843" s="65" t="e">
        <f t="shared" si="658"/>
        <v>#DIV/0!</v>
      </c>
      <c r="M843" s="153">
        <v>4.6184000000000003</v>
      </c>
      <c r="N843" s="67">
        <f t="shared" si="659"/>
        <v>0</v>
      </c>
      <c r="O843" s="67">
        <f t="shared" ref="O843:O848" si="664">M843*J843</f>
        <v>0</v>
      </c>
      <c r="P843" s="1003"/>
    </row>
    <row r="844" spans="2:16" x14ac:dyDescent="0.25">
      <c r="B844" s="998"/>
      <c r="C844" s="1001"/>
      <c r="D844" s="61" t="s">
        <v>124</v>
      </c>
      <c r="E844" s="62">
        <v>0</v>
      </c>
      <c r="F844" s="63">
        <f t="shared" si="661"/>
        <v>13686</v>
      </c>
      <c r="G844" s="63">
        <v>13440</v>
      </c>
      <c r="H844" s="64">
        <v>246</v>
      </c>
      <c r="I844" s="79">
        <f t="shared" si="663"/>
        <v>250884</v>
      </c>
      <c r="J844" s="4">
        <f t="shared" si="656"/>
        <v>243775</v>
      </c>
      <c r="K844" s="4">
        <f t="shared" si="662"/>
        <v>7109</v>
      </c>
      <c r="L844" s="65" t="e">
        <f t="shared" si="658"/>
        <v>#DIV/0!</v>
      </c>
      <c r="M844" s="153">
        <v>4.7636000000000003</v>
      </c>
      <c r="N844" s="67">
        <f t="shared" si="659"/>
        <v>64022.784000000007</v>
      </c>
      <c r="O844" s="67">
        <f t="shared" si="664"/>
        <v>1161246.5900000001</v>
      </c>
      <c r="P844" s="1003"/>
    </row>
    <row r="845" spans="2:16" x14ac:dyDescent="0.25">
      <c r="B845" s="998"/>
      <c r="C845" s="1001"/>
      <c r="D845" s="61" t="s">
        <v>83</v>
      </c>
      <c r="E845" s="62">
        <v>0</v>
      </c>
      <c r="F845" s="63">
        <f t="shared" si="661"/>
        <v>0</v>
      </c>
      <c r="G845" s="63">
        <v>0</v>
      </c>
      <c r="H845" s="64">
        <v>0</v>
      </c>
      <c r="I845" s="79">
        <f t="shared" si="663"/>
        <v>0</v>
      </c>
      <c r="J845" s="4">
        <f t="shared" si="656"/>
        <v>0</v>
      </c>
      <c r="K845" s="4">
        <f t="shared" si="662"/>
        <v>0</v>
      </c>
      <c r="L845" s="65" t="e">
        <f t="shared" si="658"/>
        <v>#DIV/0!</v>
      </c>
      <c r="M845" s="66">
        <v>4.8738000000000001</v>
      </c>
      <c r="N845" s="67">
        <f t="shared" si="659"/>
        <v>0</v>
      </c>
      <c r="O845" s="67">
        <f t="shared" si="664"/>
        <v>0</v>
      </c>
      <c r="P845" s="1003"/>
    </row>
    <row r="846" spans="2:16" x14ac:dyDescent="0.25">
      <c r="B846" s="998"/>
      <c r="C846" s="204" t="s">
        <v>128</v>
      </c>
      <c r="D846" s="61" t="s">
        <v>124</v>
      </c>
      <c r="E846" s="62"/>
      <c r="F846" s="63">
        <f t="shared" si="661"/>
        <v>0</v>
      </c>
      <c r="G846" s="63">
        <v>0</v>
      </c>
      <c r="H846" s="64">
        <v>0</v>
      </c>
      <c r="I846" s="79">
        <f t="shared" si="663"/>
        <v>0</v>
      </c>
      <c r="J846" s="4">
        <f t="shared" si="656"/>
        <v>0</v>
      </c>
      <c r="K846" s="4">
        <f t="shared" si="662"/>
        <v>0</v>
      </c>
      <c r="L846" s="65"/>
      <c r="M846" s="66">
        <v>4.8738000000000001</v>
      </c>
      <c r="N846" s="67">
        <f t="shared" si="659"/>
        <v>0</v>
      </c>
      <c r="O846" s="67">
        <f t="shared" si="664"/>
        <v>0</v>
      </c>
      <c r="P846" s="1003"/>
    </row>
    <row r="847" spans="2:16" x14ac:dyDescent="0.25">
      <c r="B847" s="998"/>
      <c r="C847" s="1001" t="s">
        <v>84</v>
      </c>
      <c r="D847" s="61" t="s">
        <v>77</v>
      </c>
      <c r="E847" s="62">
        <v>0</v>
      </c>
      <c r="F847" s="63">
        <f t="shared" si="661"/>
        <v>6700</v>
      </c>
      <c r="G847" s="63">
        <v>6050</v>
      </c>
      <c r="H847" s="64">
        <v>650</v>
      </c>
      <c r="I847" s="79">
        <f t="shared" si="663"/>
        <v>197600</v>
      </c>
      <c r="J847" s="4">
        <f t="shared" si="656"/>
        <v>194950</v>
      </c>
      <c r="K847" s="4">
        <f t="shared" si="662"/>
        <v>2650</v>
      </c>
      <c r="L847" s="65" t="e">
        <f t="shared" ref="L847:L857" si="665">+J847/E847</f>
        <v>#DIV/0!</v>
      </c>
      <c r="M847" s="66">
        <v>4.9344999999999999</v>
      </c>
      <c r="N847" s="67">
        <f t="shared" si="659"/>
        <v>29853.724999999999</v>
      </c>
      <c r="O847" s="67">
        <f t="shared" si="664"/>
        <v>961980.77500000002</v>
      </c>
      <c r="P847" s="1003"/>
    </row>
    <row r="848" spans="2:16" x14ac:dyDescent="0.25">
      <c r="B848" s="998"/>
      <c r="C848" s="1001"/>
      <c r="D848" s="61" t="s">
        <v>135</v>
      </c>
      <c r="E848" s="62"/>
      <c r="F848" s="63">
        <f t="shared" si="661"/>
        <v>18465</v>
      </c>
      <c r="G848" s="63">
        <v>17650</v>
      </c>
      <c r="H848" s="64">
        <v>815</v>
      </c>
      <c r="I848" s="79">
        <f t="shared" si="663"/>
        <v>43282</v>
      </c>
      <c r="J848" s="4">
        <f t="shared" si="656"/>
        <v>40500</v>
      </c>
      <c r="K848" s="4">
        <f t="shared" si="662"/>
        <v>2782</v>
      </c>
      <c r="L848" s="65" t="e">
        <f t="shared" si="665"/>
        <v>#DIV/0!</v>
      </c>
      <c r="M848" s="66">
        <v>4.9344999999999999</v>
      </c>
      <c r="N848" s="67">
        <f t="shared" si="659"/>
        <v>87093.925000000003</v>
      </c>
      <c r="O848" s="67">
        <f t="shared" si="664"/>
        <v>199847.25</v>
      </c>
      <c r="P848" s="1003"/>
    </row>
    <row r="849" spans="2:16" x14ac:dyDescent="0.25">
      <c r="B849" s="998"/>
      <c r="C849" s="1001"/>
      <c r="D849" s="61" t="s">
        <v>129</v>
      </c>
      <c r="E849" s="62">
        <v>0</v>
      </c>
      <c r="F849" s="63">
        <f t="shared" si="661"/>
        <v>0</v>
      </c>
      <c r="G849" s="155">
        <v>0</v>
      </c>
      <c r="H849" s="156">
        <v>0</v>
      </c>
      <c r="I849" s="157">
        <f t="shared" si="663"/>
        <v>0</v>
      </c>
      <c r="J849" s="4">
        <f t="shared" si="656"/>
        <v>0</v>
      </c>
      <c r="K849" s="4">
        <f t="shared" si="662"/>
        <v>0</v>
      </c>
      <c r="L849" s="158" t="e">
        <f t="shared" si="665"/>
        <v>#DIV/0!</v>
      </c>
      <c r="M849" s="66">
        <v>4.9344999999999999</v>
      </c>
      <c r="N849" s="159">
        <f t="shared" si="659"/>
        <v>0</v>
      </c>
      <c r="O849" s="67">
        <f>M849*J849</f>
        <v>0</v>
      </c>
      <c r="P849" s="1003"/>
    </row>
    <row r="850" spans="2:16" x14ac:dyDescent="0.25">
      <c r="B850" s="998"/>
      <c r="C850" s="1001" t="s">
        <v>85</v>
      </c>
      <c r="D850" s="61" t="s">
        <v>77</v>
      </c>
      <c r="E850" s="62">
        <v>0</v>
      </c>
      <c r="F850" s="63">
        <f t="shared" si="661"/>
        <v>0</v>
      </c>
      <c r="G850" s="63">
        <v>0</v>
      </c>
      <c r="H850" s="64">
        <v>0</v>
      </c>
      <c r="I850" s="79">
        <f t="shared" si="663"/>
        <v>138276</v>
      </c>
      <c r="J850" s="4">
        <f t="shared" si="656"/>
        <v>130950</v>
      </c>
      <c r="K850" s="4">
        <f t="shared" si="662"/>
        <v>7326</v>
      </c>
      <c r="L850" s="65" t="e">
        <f t="shared" si="665"/>
        <v>#DIV/0!</v>
      </c>
      <c r="M850" s="148">
        <v>5.5069999999999997</v>
      </c>
      <c r="N850" s="67">
        <f t="shared" si="659"/>
        <v>0</v>
      </c>
      <c r="O850" s="67">
        <f>M850*J850</f>
        <v>721141.64999999991</v>
      </c>
      <c r="P850" s="1003"/>
    </row>
    <row r="851" spans="2:16" x14ac:dyDescent="0.25">
      <c r="B851" s="998"/>
      <c r="C851" s="1001"/>
      <c r="D851" s="61" t="s">
        <v>112</v>
      </c>
      <c r="E851" s="62">
        <v>0</v>
      </c>
      <c r="F851" s="63">
        <f t="shared" si="661"/>
        <v>6688</v>
      </c>
      <c r="G851" s="63">
        <v>6300</v>
      </c>
      <c r="H851" s="64">
        <v>388</v>
      </c>
      <c r="I851" s="79">
        <f t="shared" si="663"/>
        <v>75453</v>
      </c>
      <c r="J851" s="4">
        <f t="shared" si="656"/>
        <v>72900</v>
      </c>
      <c r="K851" s="4">
        <f t="shared" si="662"/>
        <v>2553</v>
      </c>
      <c r="L851" s="65" t="e">
        <f t="shared" si="665"/>
        <v>#DIV/0!</v>
      </c>
      <c r="M851" s="147">
        <v>5.6550000000000002</v>
      </c>
      <c r="N851" s="67">
        <f t="shared" si="659"/>
        <v>35626.5</v>
      </c>
      <c r="O851" s="67">
        <f>M851*J851</f>
        <v>412249.5</v>
      </c>
      <c r="P851" s="1003"/>
    </row>
    <row r="852" spans="2:16" x14ac:dyDescent="0.25">
      <c r="B852" s="998"/>
      <c r="C852" s="1001"/>
      <c r="D852" s="61" t="s">
        <v>118</v>
      </c>
      <c r="E852" s="62">
        <v>0</v>
      </c>
      <c r="F852" s="63">
        <f t="shared" si="661"/>
        <v>0</v>
      </c>
      <c r="G852" s="63">
        <v>0</v>
      </c>
      <c r="H852" s="64">
        <v>0</v>
      </c>
      <c r="I852" s="79">
        <f t="shared" si="663"/>
        <v>0</v>
      </c>
      <c r="J852" s="4">
        <f t="shared" si="656"/>
        <v>0</v>
      </c>
      <c r="K852" s="4">
        <f t="shared" si="662"/>
        <v>0</v>
      </c>
      <c r="L852" s="65" t="e">
        <f t="shared" si="665"/>
        <v>#DIV/0!</v>
      </c>
      <c r="M852" s="152">
        <v>5.6550000000000002</v>
      </c>
      <c r="N852" s="67">
        <f t="shared" si="659"/>
        <v>0</v>
      </c>
      <c r="O852" s="67">
        <f>M852*J852</f>
        <v>0</v>
      </c>
      <c r="P852" s="1003"/>
    </row>
    <row r="853" spans="2:16" x14ac:dyDescent="0.25">
      <c r="B853" s="998"/>
      <c r="C853" s="1001"/>
      <c r="D853" s="61" t="s">
        <v>121</v>
      </c>
      <c r="E853" s="62">
        <v>0</v>
      </c>
      <c r="F853" s="63">
        <f t="shared" si="661"/>
        <v>0</v>
      </c>
      <c r="G853" s="63">
        <v>0</v>
      </c>
      <c r="H853" s="64">
        <v>0</v>
      </c>
      <c r="I853" s="79">
        <f t="shared" si="663"/>
        <v>28324</v>
      </c>
      <c r="J853" s="4">
        <f t="shared" si="656"/>
        <v>26710</v>
      </c>
      <c r="K853" s="4">
        <f t="shared" si="662"/>
        <v>1614</v>
      </c>
      <c r="L853" s="65" t="e">
        <f t="shared" si="665"/>
        <v>#DIV/0!</v>
      </c>
      <c r="M853" s="66">
        <v>5.7885299999999997</v>
      </c>
      <c r="N853" s="67">
        <f>+M853*G853</f>
        <v>0</v>
      </c>
      <c r="O853" s="67">
        <f>M853*J853</f>
        <v>154611.63629999998</v>
      </c>
      <c r="P853" s="1003"/>
    </row>
    <row r="854" spans="2:16" x14ac:dyDescent="0.25">
      <c r="B854" s="998"/>
      <c r="C854" s="1001"/>
      <c r="D854" s="61" t="s">
        <v>136</v>
      </c>
      <c r="E854" s="62">
        <v>0</v>
      </c>
      <c r="F854" s="63">
        <f t="shared" si="661"/>
        <v>0</v>
      </c>
      <c r="G854" s="63">
        <v>0</v>
      </c>
      <c r="H854" s="64">
        <v>0</v>
      </c>
      <c r="I854" s="79">
        <f t="shared" si="663"/>
        <v>0</v>
      </c>
      <c r="J854" s="4">
        <f t="shared" si="656"/>
        <v>0</v>
      </c>
      <c r="K854" s="4">
        <f t="shared" si="662"/>
        <v>0</v>
      </c>
      <c r="L854" s="65" t="e">
        <f t="shared" si="665"/>
        <v>#DIV/0!</v>
      </c>
      <c r="M854" s="152">
        <v>5.6550000000000002</v>
      </c>
      <c r="N854" s="67">
        <f t="shared" ref="N854:N856" si="666">+M854*G854</f>
        <v>0</v>
      </c>
      <c r="O854" s="67">
        <f t="shared" ref="O854:O857" si="667">M854*J854</f>
        <v>0</v>
      </c>
      <c r="P854" s="1003"/>
    </row>
    <row r="855" spans="2:16" x14ac:dyDescent="0.25">
      <c r="B855" s="998"/>
      <c r="C855" s="204" t="s">
        <v>86</v>
      </c>
      <c r="D855" s="61" t="s">
        <v>77</v>
      </c>
      <c r="E855" s="62">
        <v>0</v>
      </c>
      <c r="F855" s="63">
        <f t="shared" si="661"/>
        <v>0</v>
      </c>
      <c r="G855" s="63">
        <v>0</v>
      </c>
      <c r="H855" s="64">
        <v>0</v>
      </c>
      <c r="I855" s="79">
        <f t="shared" si="663"/>
        <v>0</v>
      </c>
      <c r="J855" s="4">
        <f t="shared" si="656"/>
        <v>0</v>
      </c>
      <c r="K855" s="4">
        <f t="shared" si="662"/>
        <v>0</v>
      </c>
      <c r="L855" s="65" t="e">
        <f t="shared" si="665"/>
        <v>#DIV/0!</v>
      </c>
      <c r="M855" s="66">
        <v>3.2963</v>
      </c>
      <c r="N855" s="67">
        <f t="shared" si="666"/>
        <v>0</v>
      </c>
      <c r="O855" s="67">
        <f t="shared" si="667"/>
        <v>0</v>
      </c>
      <c r="P855" s="1003"/>
    </row>
    <row r="856" spans="2:16" x14ac:dyDescent="0.25">
      <c r="B856" s="998"/>
      <c r="C856" s="204" t="s">
        <v>87</v>
      </c>
      <c r="D856" s="61" t="s">
        <v>77</v>
      </c>
      <c r="E856" s="62">
        <v>0</v>
      </c>
      <c r="F856" s="63">
        <f t="shared" si="661"/>
        <v>0</v>
      </c>
      <c r="G856" s="63">
        <v>0</v>
      </c>
      <c r="H856" s="64">
        <v>0</v>
      </c>
      <c r="I856" s="79">
        <f t="shared" si="663"/>
        <v>0</v>
      </c>
      <c r="J856" s="4">
        <f t="shared" si="656"/>
        <v>0</v>
      </c>
      <c r="K856" s="4">
        <f t="shared" si="662"/>
        <v>0</v>
      </c>
      <c r="L856" s="65" t="e">
        <f t="shared" si="665"/>
        <v>#DIV/0!</v>
      </c>
      <c r="M856" s="66">
        <v>3.2963</v>
      </c>
      <c r="N856" s="67">
        <f t="shared" si="666"/>
        <v>0</v>
      </c>
      <c r="O856" s="67">
        <f t="shared" si="667"/>
        <v>0</v>
      </c>
      <c r="P856" s="1003"/>
    </row>
    <row r="857" spans="2:16" ht="15.75" thickBot="1" x14ac:dyDescent="0.3">
      <c r="B857" s="998"/>
      <c r="C857" s="68" t="s">
        <v>88</v>
      </c>
      <c r="D857" s="69" t="s">
        <v>89</v>
      </c>
      <c r="E857" s="70">
        <v>0</v>
      </c>
      <c r="F857" s="71">
        <f t="shared" si="661"/>
        <v>0</v>
      </c>
      <c r="G857" s="71">
        <v>0</v>
      </c>
      <c r="H857" s="72">
        <v>0</v>
      </c>
      <c r="I857" s="80">
        <f t="shared" si="663"/>
        <v>65030</v>
      </c>
      <c r="J857" s="4">
        <f t="shared" si="656"/>
        <v>65000</v>
      </c>
      <c r="K857" s="4">
        <f t="shared" si="662"/>
        <v>30</v>
      </c>
      <c r="L857" s="65" t="e">
        <f t="shared" si="665"/>
        <v>#DIV/0!</v>
      </c>
      <c r="M857" s="73">
        <v>2.3201000000000001</v>
      </c>
      <c r="N857" s="74">
        <f t="shared" ref="N857" si="668">M857*G857</f>
        <v>0</v>
      </c>
      <c r="O857" s="74">
        <f t="shared" si="667"/>
        <v>150806.5</v>
      </c>
      <c r="P857" s="1004"/>
    </row>
    <row r="858" spans="2:16" ht="15.75" thickBot="1" x14ac:dyDescent="0.3">
      <c r="B858" s="999"/>
      <c r="C858" s="1007" t="s">
        <v>99</v>
      </c>
      <c r="D858" s="1008"/>
      <c r="E858" s="1008"/>
      <c r="F858" s="1008"/>
      <c r="G858" s="1008"/>
      <c r="H858" s="1009"/>
      <c r="I858" s="116">
        <f>J858+K858</f>
        <v>932385</v>
      </c>
      <c r="J858" s="115">
        <f>SUM(J830:J857)</f>
        <v>905605</v>
      </c>
      <c r="K858" s="115">
        <f>SUM(K830:K857)</f>
        <v>26780</v>
      </c>
      <c r="L858" s="114"/>
      <c r="M858" s="113"/>
      <c r="N858" s="114"/>
      <c r="O858" s="97">
        <f>SUM(O830:O857)</f>
        <v>8140150.3492999999</v>
      </c>
      <c r="P858" s="96"/>
    </row>
    <row r="859" spans="2:16" ht="15.75" thickBot="1" x14ac:dyDescent="0.3">
      <c r="B859" s="100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2"/>
    </row>
    <row r="860" spans="2:16" ht="15.75" thickBot="1" x14ac:dyDescent="0.3">
      <c r="B860" s="992" t="s">
        <v>100</v>
      </c>
      <c r="C860" s="993"/>
      <c r="D860" s="993"/>
      <c r="E860" s="993"/>
      <c r="F860" s="993"/>
      <c r="G860" s="993"/>
      <c r="H860" s="993"/>
      <c r="I860" s="993"/>
      <c r="J860" s="993"/>
      <c r="K860" s="993"/>
      <c r="L860" s="993"/>
      <c r="M860" s="993"/>
      <c r="N860" s="994"/>
      <c r="O860" s="103">
        <f>+O858+O829+O814</f>
        <v>17717842.555300001</v>
      </c>
      <c r="P860" s="96"/>
    </row>
    <row r="861" spans="2:16" ht="15.75" thickBot="1" x14ac:dyDescent="0.3"/>
    <row r="862" spans="2:16" x14ac:dyDescent="0.25">
      <c r="B862" s="1026" t="s">
        <v>1</v>
      </c>
      <c r="C862" s="1028" t="s">
        <v>2</v>
      </c>
      <c r="D862" s="1031" t="s">
        <v>3</v>
      </c>
      <c r="E862" s="1034" t="s">
        <v>4</v>
      </c>
      <c r="F862" s="1035"/>
      <c r="G862" s="1035"/>
      <c r="H862" s="1035"/>
      <c r="I862" s="1035"/>
      <c r="J862" s="1035"/>
      <c r="K862" s="1035"/>
      <c r="L862" s="1036"/>
      <c r="M862" s="1037" t="s">
        <v>5</v>
      </c>
      <c r="N862" s="1038"/>
      <c r="O862" s="1039"/>
      <c r="P862" s="1031" t="s">
        <v>6</v>
      </c>
    </row>
    <row r="863" spans="2:16" x14ac:dyDescent="0.25">
      <c r="B863" s="1027"/>
      <c r="C863" s="1029"/>
      <c r="D863" s="1032"/>
      <c r="E863" s="1040" t="s">
        <v>7</v>
      </c>
      <c r="F863" s="1042" t="s">
        <v>153</v>
      </c>
      <c r="G863" s="1042"/>
      <c r="H863" s="1043"/>
      <c r="I863" s="1044" t="s">
        <v>8</v>
      </c>
      <c r="J863" s="1042"/>
      <c r="K863" s="1042"/>
      <c r="L863" s="1043" t="s">
        <v>9</v>
      </c>
      <c r="M863" s="1046" t="s">
        <v>10</v>
      </c>
      <c r="N863" s="1048" t="s">
        <v>11</v>
      </c>
      <c r="O863" s="1050" t="s">
        <v>12</v>
      </c>
      <c r="P863" s="1032"/>
    </row>
    <row r="864" spans="2:16" ht="15.75" thickBot="1" x14ac:dyDescent="0.3">
      <c r="B864" s="1027"/>
      <c r="C864" s="1030"/>
      <c r="D864" s="1033"/>
      <c r="E864" s="1041"/>
      <c r="F864" s="2" t="s">
        <v>13</v>
      </c>
      <c r="G864" s="2" t="s">
        <v>14</v>
      </c>
      <c r="H864" s="211" t="s">
        <v>15</v>
      </c>
      <c r="I864" s="142" t="s">
        <v>13</v>
      </c>
      <c r="J864" s="2" t="s">
        <v>14</v>
      </c>
      <c r="K864" s="2" t="s">
        <v>15</v>
      </c>
      <c r="L864" s="1045"/>
      <c r="M864" s="1047"/>
      <c r="N864" s="1049"/>
      <c r="O864" s="1051"/>
      <c r="P864" s="1033"/>
    </row>
    <row r="865" spans="2:16" x14ac:dyDescent="0.25">
      <c r="B865" s="1010" t="s">
        <v>53</v>
      </c>
      <c r="C865" s="29"/>
      <c r="D865" s="117" t="s">
        <v>143</v>
      </c>
      <c r="E865" s="98">
        <v>0</v>
      </c>
      <c r="F865" s="4">
        <f>+G865+H865</f>
        <v>90940</v>
      </c>
      <c r="G865" s="4">
        <v>89600</v>
      </c>
      <c r="H865" s="8">
        <v>1340</v>
      </c>
      <c r="I865" s="6">
        <f>J865+K865</f>
        <v>376206</v>
      </c>
      <c r="J865" s="4">
        <f>G865+J800</f>
        <v>369600</v>
      </c>
      <c r="K865" s="4">
        <f>H865+K800</f>
        <v>6606</v>
      </c>
      <c r="L865" s="33" t="e">
        <f>+J865/E865</f>
        <v>#DIV/0!</v>
      </c>
      <c r="M865" s="104">
        <v>1.3652</v>
      </c>
      <c r="N865" s="31">
        <f>G865*M865</f>
        <v>122321.92</v>
      </c>
      <c r="O865" s="86">
        <f>M865*J865</f>
        <v>504577.92</v>
      </c>
      <c r="P865" s="1012"/>
    </row>
    <row r="866" spans="2:16" x14ac:dyDescent="0.25">
      <c r="B866" s="1011"/>
      <c r="C866" s="32"/>
      <c r="D866" s="118" t="s">
        <v>109</v>
      </c>
      <c r="E866" s="99">
        <v>0</v>
      </c>
      <c r="F866" s="9">
        <f>+G866+H866</f>
        <v>0</v>
      </c>
      <c r="G866" s="9">
        <v>0</v>
      </c>
      <c r="H866" s="10">
        <v>0</v>
      </c>
      <c r="I866" s="6">
        <f>J866+K866</f>
        <v>0</v>
      </c>
      <c r="J866" s="4">
        <f>+G866+J801</f>
        <v>0</v>
      </c>
      <c r="K866" s="4">
        <f>+H866+K801</f>
        <v>0</v>
      </c>
      <c r="L866" s="33"/>
      <c r="M866" s="105">
        <v>5.9917999999999996</v>
      </c>
      <c r="N866" s="34">
        <f>M866*G866</f>
        <v>0</v>
      </c>
      <c r="O866" s="87">
        <f>M866*J866</f>
        <v>0</v>
      </c>
      <c r="P866" s="1013"/>
    </row>
    <row r="867" spans="2:16" x14ac:dyDescent="0.25">
      <c r="B867" s="1011"/>
      <c r="C867" s="35"/>
      <c r="D867" s="119" t="s">
        <v>55</v>
      </c>
      <c r="E867" s="99">
        <v>0</v>
      </c>
      <c r="F867" s="9">
        <f t="shared" ref="F867:F871" si="669">+G867+H867</f>
        <v>231207</v>
      </c>
      <c r="G867" s="9">
        <v>230000</v>
      </c>
      <c r="H867" s="10">
        <v>1207</v>
      </c>
      <c r="I867" s="6">
        <f t="shared" ref="I867:I871" si="670">J867+K867</f>
        <v>2667895</v>
      </c>
      <c r="J867" s="4">
        <f t="shared" ref="J867:J871" si="671">+G867+J802</f>
        <v>2648250</v>
      </c>
      <c r="K867" s="4">
        <f t="shared" ref="K867:K871" si="672">+H867+K802</f>
        <v>19645</v>
      </c>
      <c r="L867" s="33" t="e">
        <f t="shared" ref="L867" si="673">+J867/E867</f>
        <v>#DIV/0!</v>
      </c>
      <c r="M867" s="106">
        <v>2.3807999999999998</v>
      </c>
      <c r="N867" s="36">
        <f>G867*M867</f>
        <v>547584</v>
      </c>
      <c r="O867" s="88">
        <f>M867*J867</f>
        <v>6304953.5999999996</v>
      </c>
      <c r="P867" s="1013"/>
    </row>
    <row r="868" spans="2:16" x14ac:dyDescent="0.25">
      <c r="B868" s="1011"/>
      <c r="C868" s="35"/>
      <c r="D868" s="119" t="s">
        <v>56</v>
      </c>
      <c r="E868" s="99">
        <v>0</v>
      </c>
      <c r="F868" s="9">
        <f t="shared" si="669"/>
        <v>0</v>
      </c>
      <c r="G868" s="9">
        <v>0</v>
      </c>
      <c r="H868" s="10">
        <v>0</v>
      </c>
      <c r="I868" s="6">
        <f t="shared" si="670"/>
        <v>0</v>
      </c>
      <c r="J868" s="4">
        <f t="shared" si="671"/>
        <v>0</v>
      </c>
      <c r="K868" s="4">
        <f t="shared" si="672"/>
        <v>0</v>
      </c>
      <c r="L868" s="33"/>
      <c r="M868" s="106">
        <v>2.1457999999999999</v>
      </c>
      <c r="N868" s="36">
        <f t="shared" ref="N868:N871" si="674">G868*M868</f>
        <v>0</v>
      </c>
      <c r="O868" s="88">
        <f>M868*J868</f>
        <v>0</v>
      </c>
      <c r="P868" s="1013"/>
    </row>
    <row r="869" spans="2:16" x14ac:dyDescent="0.25">
      <c r="B869" s="1011"/>
      <c r="C869" s="35"/>
      <c r="D869" s="119" t="s">
        <v>106</v>
      </c>
      <c r="E869" s="99">
        <v>0</v>
      </c>
      <c r="F869" s="9">
        <f t="shared" si="669"/>
        <v>0</v>
      </c>
      <c r="G869" s="9">
        <v>0</v>
      </c>
      <c r="H869" s="10">
        <v>0</v>
      </c>
      <c r="I869" s="6">
        <f t="shared" si="670"/>
        <v>53280</v>
      </c>
      <c r="J869" s="4">
        <f t="shared" si="671"/>
        <v>42000</v>
      </c>
      <c r="K869" s="4">
        <f t="shared" si="672"/>
        <v>11280</v>
      </c>
      <c r="L869" s="33" t="e">
        <f t="shared" ref="L869:L870" si="675">+J869/E869</f>
        <v>#DIV/0!</v>
      </c>
      <c r="M869" s="143">
        <v>4.0426000000000002</v>
      </c>
      <c r="N869" s="36">
        <f t="shared" si="674"/>
        <v>0</v>
      </c>
      <c r="O869" s="88">
        <f>M869*J869</f>
        <v>169789.2</v>
      </c>
      <c r="P869" s="1013"/>
    </row>
    <row r="870" spans="2:16" x14ac:dyDescent="0.25">
      <c r="B870" s="1011"/>
      <c r="C870" s="35"/>
      <c r="D870" s="119" t="s">
        <v>110</v>
      </c>
      <c r="E870" s="99">
        <v>0</v>
      </c>
      <c r="F870" s="9">
        <f t="shared" si="669"/>
        <v>0</v>
      </c>
      <c r="G870" s="9">
        <v>0</v>
      </c>
      <c r="H870" s="10">
        <v>0</v>
      </c>
      <c r="I870" s="6">
        <f t="shared" si="670"/>
        <v>0</v>
      </c>
      <c r="J870" s="4">
        <f t="shared" si="671"/>
        <v>0</v>
      </c>
      <c r="K870" s="4">
        <f t="shared" si="672"/>
        <v>0</v>
      </c>
      <c r="L870" s="33" t="e">
        <f t="shared" si="675"/>
        <v>#DIV/0!</v>
      </c>
      <c r="M870" s="143">
        <v>3.8715000000000002</v>
      </c>
      <c r="N870" s="36">
        <f t="shared" si="674"/>
        <v>0</v>
      </c>
      <c r="O870" s="88">
        <f t="shared" ref="O870:O871" si="676">M870*J870</f>
        <v>0</v>
      </c>
      <c r="P870" s="1013"/>
    </row>
    <row r="871" spans="2:16" ht="15.75" thickBot="1" x14ac:dyDescent="0.3">
      <c r="B871" s="1011"/>
      <c r="C871" s="82"/>
      <c r="D871" s="120" t="s">
        <v>57</v>
      </c>
      <c r="E871" s="108">
        <v>0</v>
      </c>
      <c r="F871" s="12">
        <f t="shared" si="669"/>
        <v>0</v>
      </c>
      <c r="G871" s="12">
        <v>0</v>
      </c>
      <c r="H871" s="13">
        <v>0</v>
      </c>
      <c r="I871" s="21">
        <f t="shared" si="670"/>
        <v>0</v>
      </c>
      <c r="J871" s="4">
        <f t="shared" si="671"/>
        <v>0</v>
      </c>
      <c r="K871" s="4">
        <f t="shared" si="672"/>
        <v>0</v>
      </c>
      <c r="L871" s="81"/>
      <c r="M871" s="127">
        <v>12.284700000000001</v>
      </c>
      <c r="N871" s="36">
        <f t="shared" si="674"/>
        <v>0</v>
      </c>
      <c r="O871" s="128">
        <f t="shared" si="676"/>
        <v>0</v>
      </c>
      <c r="P871" s="1013"/>
    </row>
    <row r="872" spans="2:16" ht="15.75" thickBot="1" x14ac:dyDescent="0.3">
      <c r="B872" s="1011"/>
      <c r="C872" s="1016" t="s">
        <v>104</v>
      </c>
      <c r="D872" s="1017"/>
      <c r="E872" s="129"/>
      <c r="F872" s="130">
        <f>SUM(F865:F871)</f>
        <v>322147</v>
      </c>
      <c r="G872" s="130">
        <f>SUM(G865:G871)</f>
        <v>319600</v>
      </c>
      <c r="H872" s="131">
        <f>SUM(H865:H871)</f>
        <v>2547</v>
      </c>
      <c r="I872" s="132">
        <f>+J872+K872</f>
        <v>3097381</v>
      </c>
      <c r="J872" s="133">
        <f>SUM(J865:J871)</f>
        <v>3059850</v>
      </c>
      <c r="K872" s="133">
        <f>SUM(K865:K871)</f>
        <v>37531</v>
      </c>
      <c r="L872" s="134"/>
      <c r="M872" s="135"/>
      <c r="N872" s="136"/>
      <c r="O872" s="137">
        <f>SUM(O865:O871)</f>
        <v>6979320.7199999997</v>
      </c>
      <c r="P872" s="1014"/>
    </row>
    <row r="873" spans="2:16" x14ac:dyDescent="0.25">
      <c r="B873" s="1011"/>
      <c r="C873" s="32"/>
      <c r="D873" s="118" t="s">
        <v>58</v>
      </c>
      <c r="E873" s="98">
        <v>0</v>
      </c>
      <c r="F873" s="4">
        <f t="shared" ref="F873:F876" si="677">+G873+H873</f>
        <v>0</v>
      </c>
      <c r="G873" s="4">
        <v>0</v>
      </c>
      <c r="H873" s="8">
        <v>0</v>
      </c>
      <c r="I873" s="6">
        <f t="shared" ref="I873:I877" si="678">J873+K873</f>
        <v>0</v>
      </c>
      <c r="J873" s="4">
        <f>G873+J808</f>
        <v>0</v>
      </c>
      <c r="K873" s="4">
        <f>H873+K808</f>
        <v>0</v>
      </c>
      <c r="L873" s="33" t="e">
        <f t="shared" ref="L873" si="679">+J873/E873</f>
        <v>#DIV/0!</v>
      </c>
      <c r="M873" s="105">
        <v>12.029500000000001</v>
      </c>
      <c r="N873" s="34">
        <f>M873*G873</f>
        <v>0</v>
      </c>
      <c r="O873" s="87">
        <f t="shared" ref="O873:O875" si="680">M873*J873</f>
        <v>0</v>
      </c>
      <c r="P873" s="1013"/>
    </row>
    <row r="874" spans="2:16" x14ac:dyDescent="0.25">
      <c r="B874" s="1011"/>
      <c r="C874" s="35"/>
      <c r="D874" s="119" t="s">
        <v>59</v>
      </c>
      <c r="E874" s="99">
        <v>0</v>
      </c>
      <c r="F874" s="9">
        <f t="shared" si="677"/>
        <v>0</v>
      </c>
      <c r="G874" s="9">
        <v>0</v>
      </c>
      <c r="H874" s="10">
        <v>0</v>
      </c>
      <c r="I874" s="6">
        <f t="shared" si="678"/>
        <v>0</v>
      </c>
      <c r="J874" s="4">
        <f>G874+J809</f>
        <v>0</v>
      </c>
      <c r="K874" s="4">
        <f>H874+K809</f>
        <v>0</v>
      </c>
      <c r="L874" s="33"/>
      <c r="M874" s="106">
        <v>0</v>
      </c>
      <c r="N874" s="36"/>
      <c r="O874" s="88">
        <f t="shared" si="680"/>
        <v>0</v>
      </c>
      <c r="P874" s="1013"/>
    </row>
    <row r="875" spans="2:16" x14ac:dyDescent="0.25">
      <c r="B875" s="1011"/>
      <c r="C875" s="35"/>
      <c r="D875" s="119" t="s">
        <v>97</v>
      </c>
      <c r="E875" s="99">
        <v>0</v>
      </c>
      <c r="F875" s="9">
        <f t="shared" si="677"/>
        <v>0</v>
      </c>
      <c r="G875" s="9">
        <v>0</v>
      </c>
      <c r="H875" s="10">
        <v>0</v>
      </c>
      <c r="I875" s="6">
        <f t="shared" si="678"/>
        <v>0</v>
      </c>
      <c r="J875" s="4">
        <f t="shared" ref="J875:J877" si="681">G875+J810</f>
        <v>0</v>
      </c>
      <c r="K875" s="4">
        <f t="shared" ref="K875:K877" si="682">H875+K810</f>
        <v>0</v>
      </c>
      <c r="L875" s="33" t="e">
        <f t="shared" ref="L875:L877" si="683">+J875/E875</f>
        <v>#DIV/0!</v>
      </c>
      <c r="M875" s="106">
        <v>19.688600000000001</v>
      </c>
      <c r="N875" s="36">
        <f>M875*G875</f>
        <v>0</v>
      </c>
      <c r="O875" s="88">
        <f t="shared" si="680"/>
        <v>0</v>
      </c>
      <c r="P875" s="1013"/>
    </row>
    <row r="876" spans="2:16" x14ac:dyDescent="0.25">
      <c r="B876" s="1011"/>
      <c r="C876" s="35"/>
      <c r="D876" s="119" t="s">
        <v>61</v>
      </c>
      <c r="E876" s="99">
        <v>0</v>
      </c>
      <c r="F876" s="9">
        <f t="shared" si="677"/>
        <v>60000</v>
      </c>
      <c r="G876" s="9">
        <v>60000</v>
      </c>
      <c r="H876" s="10">
        <v>0</v>
      </c>
      <c r="I876" s="6">
        <f t="shared" si="678"/>
        <v>60000</v>
      </c>
      <c r="J876" s="4">
        <f t="shared" si="681"/>
        <v>60000</v>
      </c>
      <c r="K876" s="4">
        <f t="shared" si="682"/>
        <v>0</v>
      </c>
      <c r="L876" s="33" t="e">
        <f t="shared" si="683"/>
        <v>#DIV/0!</v>
      </c>
      <c r="M876" s="106">
        <v>1.2824</v>
      </c>
      <c r="N876" s="151">
        <f>M876*G876</f>
        <v>76944</v>
      </c>
      <c r="O876" s="88">
        <f>M876*J876</f>
        <v>76944</v>
      </c>
      <c r="P876" s="1013"/>
    </row>
    <row r="877" spans="2:16" ht="15.75" thickBot="1" x14ac:dyDescent="0.3">
      <c r="B877" s="1011"/>
      <c r="C877" s="82"/>
      <c r="D877" s="120" t="s">
        <v>60</v>
      </c>
      <c r="E877" s="108">
        <v>0</v>
      </c>
      <c r="F877" s="12">
        <v>0</v>
      </c>
      <c r="G877" s="12">
        <v>12960</v>
      </c>
      <c r="H877" s="13">
        <v>174</v>
      </c>
      <c r="I877" s="21">
        <f t="shared" si="678"/>
        <v>69968</v>
      </c>
      <c r="J877" s="4">
        <f t="shared" si="681"/>
        <v>69120</v>
      </c>
      <c r="K877" s="4">
        <f t="shared" si="682"/>
        <v>848</v>
      </c>
      <c r="L877" s="81" t="e">
        <f t="shared" si="683"/>
        <v>#DIV/0!</v>
      </c>
      <c r="M877" s="107">
        <v>18.2316</v>
      </c>
      <c r="N877" s="75"/>
      <c r="O877" s="89">
        <f t="shared" ref="O877" si="684">M877*J877</f>
        <v>1260168.192</v>
      </c>
      <c r="P877" s="1015"/>
    </row>
    <row r="878" spans="2:16" ht="15.75" thickBot="1" x14ac:dyDescent="0.3">
      <c r="B878" s="995" t="s">
        <v>105</v>
      </c>
      <c r="C878" s="996"/>
      <c r="D878" s="996"/>
      <c r="E878" s="124"/>
      <c r="F878" s="125">
        <f>+G878+H878</f>
        <v>73134</v>
      </c>
      <c r="G878" s="125">
        <f>SUM(G873:G877)</f>
        <v>72960</v>
      </c>
      <c r="H878" s="126">
        <f>SUM(H873:H877)</f>
        <v>174</v>
      </c>
      <c r="I878" s="121">
        <f>J878+K878</f>
        <v>129968</v>
      </c>
      <c r="J878" s="122">
        <f>SUM(J873:J877)</f>
        <v>129120</v>
      </c>
      <c r="K878" s="123">
        <f>SUM(K873:K877)</f>
        <v>848</v>
      </c>
      <c r="L878" s="138"/>
      <c r="M878" s="139"/>
      <c r="N878" s="140"/>
      <c r="O878" s="141">
        <f>SUM(O873:O877)</f>
        <v>1337112.192</v>
      </c>
      <c r="P878" s="209"/>
    </row>
    <row r="879" spans="2:16" ht="15.75" thickBot="1" x14ac:dyDescent="0.3">
      <c r="B879" s="995" t="s">
        <v>98</v>
      </c>
      <c r="C879" s="996"/>
      <c r="D879" s="996"/>
      <c r="E879" s="1018"/>
      <c r="F879" s="1018"/>
      <c r="G879" s="1018"/>
      <c r="H879" s="1018"/>
      <c r="I879" s="996"/>
      <c r="J879" s="996"/>
      <c r="K879" s="996"/>
      <c r="L879" s="996"/>
      <c r="M879" s="996"/>
      <c r="N879" s="1019"/>
      <c r="O879" s="83">
        <f>O872+O878</f>
        <v>8316432.9119999995</v>
      </c>
      <c r="P879" s="209"/>
    </row>
    <row r="880" spans="2:16" x14ac:dyDescent="0.25">
      <c r="B880" s="1010" t="s">
        <v>62</v>
      </c>
      <c r="C880" s="37" t="s">
        <v>63</v>
      </c>
      <c r="D880" s="28" t="s">
        <v>64</v>
      </c>
      <c r="E880" s="38">
        <v>0</v>
      </c>
      <c r="F880" s="14">
        <f>+G880+H880</f>
        <v>0</v>
      </c>
      <c r="G880" s="14">
        <v>0</v>
      </c>
      <c r="H880" s="5">
        <v>0</v>
      </c>
      <c r="I880" s="17">
        <f t="shared" ref="I880:I886" si="685">J880+K880</f>
        <v>0</v>
      </c>
      <c r="J880" s="4">
        <f>G880+J815</f>
        <v>0</v>
      </c>
      <c r="K880" s="4">
        <f>H880+K815</f>
        <v>0</v>
      </c>
      <c r="L880" s="30" t="e">
        <f>+J880/E880</f>
        <v>#DIV/0!</v>
      </c>
      <c r="M880" s="146">
        <v>2.2141000000000002</v>
      </c>
      <c r="N880" s="15">
        <f>+M880*G880</f>
        <v>0</v>
      </c>
      <c r="O880" s="90">
        <f>+M880*J880</f>
        <v>0</v>
      </c>
      <c r="P880" s="1021"/>
    </row>
    <row r="881" spans="2:16" x14ac:dyDescent="0.25">
      <c r="B881" s="1011"/>
      <c r="C881" s="39"/>
      <c r="D881" s="22" t="s">
        <v>65</v>
      </c>
      <c r="E881" s="3">
        <v>0</v>
      </c>
      <c r="F881" s="9">
        <f t="shared" ref="F881:F886" si="686">+G881+H881</f>
        <v>0</v>
      </c>
      <c r="G881" s="4">
        <v>0</v>
      </c>
      <c r="H881" s="8">
        <v>0</v>
      </c>
      <c r="I881" s="6">
        <f t="shared" si="685"/>
        <v>0</v>
      </c>
      <c r="J881" s="4">
        <f>+G881+J816</f>
        <v>0</v>
      </c>
      <c r="K881" s="4">
        <f>+H881+K816</f>
        <v>0</v>
      </c>
      <c r="L881" s="40" t="e">
        <f t="shared" ref="L881:L882" si="687">+J881/E881</f>
        <v>#DIV/0!</v>
      </c>
      <c r="M881" s="145">
        <v>2.4565999999999999</v>
      </c>
      <c r="N881" s="11">
        <f t="shared" ref="N881:N883" si="688">+M881*G881</f>
        <v>0</v>
      </c>
      <c r="O881" s="91">
        <f t="shared" ref="O881:O883" si="689">+M881*J881</f>
        <v>0</v>
      </c>
      <c r="P881" s="1022"/>
    </row>
    <row r="882" spans="2:16" x14ac:dyDescent="0.25">
      <c r="B882" s="1011"/>
      <c r="C882" s="39"/>
      <c r="D882" s="23" t="s">
        <v>126</v>
      </c>
      <c r="E882" s="3">
        <v>0</v>
      </c>
      <c r="F882" s="9">
        <f t="shared" si="686"/>
        <v>0</v>
      </c>
      <c r="G882" s="4">
        <v>0</v>
      </c>
      <c r="H882" s="8">
        <v>0</v>
      </c>
      <c r="I882" s="6">
        <f t="shared" si="685"/>
        <v>0</v>
      </c>
      <c r="J882" s="4">
        <f t="shared" ref="J882:J883" si="690">+G882+J817</f>
        <v>0</v>
      </c>
      <c r="K882" s="4">
        <f t="shared" ref="K882:K886" si="691">+H882+K817</f>
        <v>0</v>
      </c>
      <c r="L882" s="40" t="e">
        <f t="shared" si="687"/>
        <v>#DIV/0!</v>
      </c>
      <c r="M882" s="145">
        <v>2.2907000000000002</v>
      </c>
      <c r="N882" s="11">
        <f t="shared" si="688"/>
        <v>0</v>
      </c>
      <c r="O882" s="91">
        <f t="shared" si="689"/>
        <v>0</v>
      </c>
      <c r="P882" s="1022"/>
    </row>
    <row r="883" spans="2:16" x14ac:dyDescent="0.25">
      <c r="B883" s="1011"/>
      <c r="C883" s="39"/>
      <c r="D883" s="22" t="s">
        <v>131</v>
      </c>
      <c r="E883" s="3"/>
      <c r="F883" s="9">
        <f t="shared" si="686"/>
        <v>0</v>
      </c>
      <c r="G883" s="4">
        <v>0</v>
      </c>
      <c r="H883" s="8">
        <v>0</v>
      </c>
      <c r="I883" s="6">
        <f t="shared" si="685"/>
        <v>0</v>
      </c>
      <c r="J883" s="4">
        <f t="shared" si="690"/>
        <v>0</v>
      </c>
      <c r="K883" s="4">
        <f t="shared" si="691"/>
        <v>0</v>
      </c>
      <c r="L883" s="33"/>
      <c r="M883" s="150">
        <v>2.544</v>
      </c>
      <c r="N883" s="11">
        <f t="shared" si="688"/>
        <v>0</v>
      </c>
      <c r="O883" s="91">
        <f t="shared" si="689"/>
        <v>0</v>
      </c>
      <c r="P883" s="1022"/>
    </row>
    <row r="884" spans="2:16" x14ac:dyDescent="0.25">
      <c r="B884" s="1011"/>
      <c r="C884" s="39" t="s">
        <v>66</v>
      </c>
      <c r="D884" s="22" t="s">
        <v>133</v>
      </c>
      <c r="E884" s="3">
        <v>0</v>
      </c>
      <c r="F884" s="9">
        <f t="shared" si="686"/>
        <v>0</v>
      </c>
      <c r="G884" s="4">
        <v>0</v>
      </c>
      <c r="H884" s="8">
        <v>0</v>
      </c>
      <c r="I884" s="6">
        <f t="shared" si="685"/>
        <v>567947</v>
      </c>
      <c r="J884" s="4">
        <f>+G884+J819</f>
        <v>552750</v>
      </c>
      <c r="K884" s="4">
        <f t="shared" si="691"/>
        <v>15197</v>
      </c>
      <c r="L884" s="33" t="e">
        <f>+J884/E884</f>
        <v>#DIV/0!</v>
      </c>
      <c r="M884" s="144">
        <v>2.2141000000000002</v>
      </c>
      <c r="N884" s="7">
        <f>+M884*G884</f>
        <v>0</v>
      </c>
      <c r="O884" s="85">
        <f>+M884*J884</f>
        <v>1223843.7750000001</v>
      </c>
      <c r="P884" s="1022"/>
    </row>
    <row r="885" spans="2:16" x14ac:dyDescent="0.25">
      <c r="B885" s="1011"/>
      <c r="C885" s="39"/>
      <c r="D885" s="22" t="s">
        <v>65</v>
      </c>
      <c r="E885" s="3">
        <v>0</v>
      </c>
      <c r="F885" s="9">
        <f t="shared" si="686"/>
        <v>0</v>
      </c>
      <c r="G885" s="4">
        <v>0</v>
      </c>
      <c r="H885" s="8">
        <v>0</v>
      </c>
      <c r="I885" s="6">
        <f t="shared" si="685"/>
        <v>0</v>
      </c>
      <c r="J885" s="4">
        <f t="shared" ref="J885:J886" si="692">+G885+J820</f>
        <v>0</v>
      </c>
      <c r="K885" s="4">
        <f t="shared" si="691"/>
        <v>0</v>
      </c>
      <c r="L885" s="40" t="e">
        <f t="shared" ref="L885:L886" si="693">+J885/E885</f>
        <v>#DIV/0!</v>
      </c>
      <c r="M885" s="145">
        <v>2.4565999999999999</v>
      </c>
      <c r="N885" s="11">
        <f t="shared" ref="N885:N886" si="694">+M885*G885</f>
        <v>0</v>
      </c>
      <c r="O885" s="91">
        <f t="shared" ref="O885" si="695">+M885*J885</f>
        <v>0</v>
      </c>
      <c r="P885" s="1022"/>
    </row>
    <row r="886" spans="2:16" ht="15.75" thickBot="1" x14ac:dyDescent="0.3">
      <c r="B886" s="1011"/>
      <c r="C886" s="39"/>
      <c r="D886" s="22" t="s">
        <v>126</v>
      </c>
      <c r="E886" s="3">
        <v>0</v>
      </c>
      <c r="F886" s="9">
        <f t="shared" si="686"/>
        <v>0</v>
      </c>
      <c r="G886" s="4">
        <v>0</v>
      </c>
      <c r="H886" s="8">
        <v>0</v>
      </c>
      <c r="I886" s="6">
        <f t="shared" si="685"/>
        <v>0</v>
      </c>
      <c r="J886" s="4">
        <f t="shared" si="692"/>
        <v>0</v>
      </c>
      <c r="K886" s="4">
        <f t="shared" si="691"/>
        <v>0</v>
      </c>
      <c r="L886" s="40" t="e">
        <f t="shared" si="693"/>
        <v>#DIV/0!</v>
      </c>
      <c r="M886" s="145">
        <v>2.2907000000000002</v>
      </c>
      <c r="N886" s="11">
        <f t="shared" si="694"/>
        <v>0</v>
      </c>
      <c r="O886" s="154">
        <f>+M886*J886</f>
        <v>0</v>
      </c>
      <c r="P886" s="1023"/>
    </row>
    <row r="887" spans="2:16" ht="15.75" thickBot="1" x14ac:dyDescent="0.3">
      <c r="B887" s="1011"/>
      <c r="C887" s="41" t="s">
        <v>29</v>
      </c>
      <c r="D887" s="27" t="str">
        <f>+C887</f>
        <v>TOTAL 1/2</v>
      </c>
      <c r="E887" s="42">
        <f>SUM(E880:E886)</f>
        <v>0</v>
      </c>
      <c r="F887" s="43">
        <f>SUM(F880:F886)</f>
        <v>0</v>
      </c>
      <c r="G887" s="43">
        <f>SUM(G880:G886)</f>
        <v>0</v>
      </c>
      <c r="H887" s="44">
        <f>SUM(H880:H886)</f>
        <v>0</v>
      </c>
      <c r="I887" s="45">
        <f>SUM(I884:I886)</f>
        <v>567947</v>
      </c>
      <c r="J887" s="43">
        <f>SUM(J880:J886)</f>
        <v>552750</v>
      </c>
      <c r="K887" s="43">
        <f>SUM(K880:K886)</f>
        <v>15197</v>
      </c>
      <c r="L887" s="46" t="e">
        <f>+J887/E887</f>
        <v>#DIV/0!</v>
      </c>
      <c r="M887" s="47"/>
      <c r="N887" s="48">
        <f>SUM(N884:N886)</f>
        <v>0</v>
      </c>
      <c r="O887" s="49">
        <f>SUM(O880:O886)</f>
        <v>1223843.7750000001</v>
      </c>
      <c r="P887" s="210"/>
    </row>
    <row r="888" spans="2:16" x14ac:dyDescent="0.25">
      <c r="B888" s="1011"/>
      <c r="C888" s="1024" t="s">
        <v>67</v>
      </c>
      <c r="D888" s="22" t="s">
        <v>64</v>
      </c>
      <c r="E888" s="3">
        <v>0</v>
      </c>
      <c r="F888" s="4">
        <f>G888+H888</f>
        <v>0</v>
      </c>
      <c r="G888" s="4">
        <v>0</v>
      </c>
      <c r="H888" s="8">
        <v>0</v>
      </c>
      <c r="I888" s="16">
        <f>J888+K888</f>
        <v>109220</v>
      </c>
      <c r="J888" s="4">
        <f>G888+J823</f>
        <v>105750</v>
      </c>
      <c r="K888" s="4">
        <f>H888+K823</f>
        <v>3470</v>
      </c>
      <c r="L888" s="50" t="e">
        <f>+J888/E888</f>
        <v>#DIV/0!</v>
      </c>
      <c r="M888" s="144">
        <v>4.1712999999999996</v>
      </c>
      <c r="N888" s="7">
        <f>+M888*G888</f>
        <v>0</v>
      </c>
      <c r="O888" s="93">
        <f>+M888*J888</f>
        <v>441114.97499999998</v>
      </c>
      <c r="P888" s="1021"/>
    </row>
    <row r="889" spans="2:16" x14ac:dyDescent="0.25">
      <c r="B889" s="1011"/>
      <c r="C889" s="1025"/>
      <c r="D889" s="22" t="s">
        <v>65</v>
      </c>
      <c r="E889" s="3">
        <v>0</v>
      </c>
      <c r="F889" s="4">
        <f>G889+H889</f>
        <v>0</v>
      </c>
      <c r="G889" s="4">
        <v>0</v>
      </c>
      <c r="H889" s="8">
        <v>0</v>
      </c>
      <c r="I889" s="6">
        <f>+R1933+F889</f>
        <v>0</v>
      </c>
      <c r="J889" s="4">
        <f>G889+J824</f>
        <v>120000</v>
      </c>
      <c r="K889" s="4">
        <f>H889+K824</f>
        <v>3230</v>
      </c>
      <c r="L889" s="51" t="e">
        <f t="shared" ref="L889:L893" si="696">+J889/E889</f>
        <v>#DIV/0!</v>
      </c>
      <c r="M889" s="145">
        <v>4.8285999999999998</v>
      </c>
      <c r="N889" s="11">
        <f t="shared" ref="N889:N891" si="697">+M889*G889</f>
        <v>0</v>
      </c>
      <c r="O889" s="94">
        <f t="shared" ref="O889:O891" si="698">+M889*J889</f>
        <v>579432</v>
      </c>
      <c r="P889" s="1022"/>
    </row>
    <row r="890" spans="2:16" x14ac:dyDescent="0.25">
      <c r="B890" s="1011"/>
      <c r="C890" s="1025"/>
      <c r="D890" s="22" t="s">
        <v>127</v>
      </c>
      <c r="E890" s="3"/>
      <c r="F890" s="4">
        <f>G890+H890</f>
        <v>0</v>
      </c>
      <c r="G890" s="4">
        <v>0</v>
      </c>
      <c r="H890" s="8">
        <v>0</v>
      </c>
      <c r="I890" s="6">
        <f>+R1934+F890</f>
        <v>0</v>
      </c>
      <c r="J890" s="4">
        <f t="shared" ref="J890:J891" si="699">G890+J825</f>
        <v>0</v>
      </c>
      <c r="K890" s="4">
        <f t="shared" ref="K890:K891" si="700">H890+K825</f>
        <v>0</v>
      </c>
      <c r="L890" s="51" t="e">
        <f t="shared" si="696"/>
        <v>#DIV/0!</v>
      </c>
      <c r="M890" s="144">
        <v>4.5023</v>
      </c>
      <c r="N890" s="11">
        <f t="shared" si="697"/>
        <v>0</v>
      </c>
      <c r="O890" s="94">
        <f t="shared" si="698"/>
        <v>0</v>
      </c>
      <c r="P890" s="1022"/>
    </row>
    <row r="891" spans="2:16" ht="15.75" thickBot="1" x14ac:dyDescent="0.3">
      <c r="B891" s="1011"/>
      <c r="C891" s="1025"/>
      <c r="D891" s="22" t="s">
        <v>111</v>
      </c>
      <c r="E891" s="3">
        <v>0</v>
      </c>
      <c r="F891" s="4">
        <f t="shared" ref="F891" si="701">G891+H891</f>
        <v>0</v>
      </c>
      <c r="G891" s="4">
        <v>0</v>
      </c>
      <c r="H891" s="8">
        <v>0</v>
      </c>
      <c r="I891" s="6">
        <f>+R1934+F891</f>
        <v>0</v>
      </c>
      <c r="J891" s="4">
        <f t="shared" si="699"/>
        <v>0</v>
      </c>
      <c r="K891" s="4">
        <f t="shared" si="700"/>
        <v>0</v>
      </c>
      <c r="L891" s="51" t="e">
        <f t="shared" si="696"/>
        <v>#DIV/0!</v>
      </c>
      <c r="M891" s="144">
        <v>4.4065000000000003</v>
      </c>
      <c r="N891" s="11">
        <f t="shared" si="697"/>
        <v>0</v>
      </c>
      <c r="O891" s="94">
        <f t="shared" si="698"/>
        <v>0</v>
      </c>
      <c r="P891" s="1022"/>
    </row>
    <row r="892" spans="2:16" ht="15.75" thickBot="1" x14ac:dyDescent="0.3">
      <c r="B892" s="1011"/>
      <c r="C892" s="41" t="s">
        <v>31</v>
      </c>
      <c r="D892" s="18" t="str">
        <f>+C892</f>
        <v>TOTAL 4/4</v>
      </c>
      <c r="E892" s="42">
        <f t="shared" ref="E892:K892" si="702">SUM(E888:E891)</f>
        <v>0</v>
      </c>
      <c r="F892" s="43">
        <f t="shared" si="702"/>
        <v>0</v>
      </c>
      <c r="G892" s="43">
        <f t="shared" si="702"/>
        <v>0</v>
      </c>
      <c r="H892" s="44">
        <f t="shared" si="702"/>
        <v>0</v>
      </c>
      <c r="I892" s="45">
        <f t="shared" si="702"/>
        <v>109220</v>
      </c>
      <c r="J892" s="43">
        <f t="shared" si="702"/>
        <v>225750</v>
      </c>
      <c r="K892" s="43">
        <f t="shared" si="702"/>
        <v>6700</v>
      </c>
      <c r="L892" s="46" t="e">
        <f t="shared" si="696"/>
        <v>#DIV/0!</v>
      </c>
      <c r="M892" s="47"/>
      <c r="N892" s="48">
        <f>SUM(N888:N891)</f>
        <v>0</v>
      </c>
      <c r="O892" s="92">
        <f>SUM(O888:O891)</f>
        <v>1020546.975</v>
      </c>
      <c r="P892" s="1023"/>
    </row>
    <row r="893" spans="2:16" ht="15.75" thickBot="1" x14ac:dyDescent="0.3">
      <c r="B893" s="1020"/>
      <c r="C893" s="41" t="s">
        <v>68</v>
      </c>
      <c r="D893" s="27" t="s">
        <v>64</v>
      </c>
      <c r="E893" s="25">
        <v>0</v>
      </c>
      <c r="F893" s="20">
        <f>G893+H893</f>
        <v>0</v>
      </c>
      <c r="G893" s="20">
        <v>0</v>
      </c>
      <c r="H893" s="24">
        <v>0</v>
      </c>
      <c r="I893" s="19">
        <f>J893+K893</f>
        <v>0</v>
      </c>
      <c r="J893" s="4">
        <f>G893+J828</f>
        <v>0</v>
      </c>
      <c r="K893" s="4">
        <f>H893+K828</f>
        <v>0</v>
      </c>
      <c r="L893" s="52" t="e">
        <f t="shared" si="696"/>
        <v>#DIV/0!</v>
      </c>
      <c r="M893" s="149">
        <v>1.4086000000000001</v>
      </c>
      <c r="N893" s="26">
        <f t="shared" ref="N893" si="703">+M893*G893</f>
        <v>0</v>
      </c>
      <c r="O893" s="95">
        <f t="shared" ref="O893" si="704">+M893*J893</f>
        <v>0</v>
      </c>
      <c r="P893" s="53"/>
    </row>
    <row r="894" spans="2:16" ht="15.75" thickBot="1" x14ac:dyDescent="0.3">
      <c r="B894" s="995" t="s">
        <v>95</v>
      </c>
      <c r="C894" s="996"/>
      <c r="D894" s="996"/>
      <c r="E894" s="996"/>
      <c r="F894" s="996"/>
      <c r="G894" s="996"/>
      <c r="H894" s="996"/>
      <c r="I894" s="110">
        <f>J894+K894</f>
        <v>800397</v>
      </c>
      <c r="J894" s="110">
        <f>J887+J892+J893</f>
        <v>778500</v>
      </c>
      <c r="K894" s="110">
        <f>K887+K892+K893</f>
        <v>21897</v>
      </c>
      <c r="L894" s="111"/>
      <c r="M894" s="112"/>
      <c r="N894" s="109"/>
      <c r="O894" s="77">
        <f>+O893+O892+O887</f>
        <v>2244390.75</v>
      </c>
      <c r="P894" s="84"/>
    </row>
    <row r="895" spans="2:16" x14ac:dyDescent="0.25">
      <c r="B895" s="997" t="s">
        <v>69</v>
      </c>
      <c r="C895" s="1000" t="s">
        <v>70</v>
      </c>
      <c r="D895" s="54" t="s">
        <v>71</v>
      </c>
      <c r="E895" s="55">
        <v>0</v>
      </c>
      <c r="F895" s="56">
        <f>G895+H895</f>
        <v>10056</v>
      </c>
      <c r="G895" s="56">
        <v>10000</v>
      </c>
      <c r="H895" s="57">
        <v>56</v>
      </c>
      <c r="I895" s="78">
        <f>J895+K895</f>
        <v>30264</v>
      </c>
      <c r="J895" s="4">
        <f>G895+J830</f>
        <v>30000</v>
      </c>
      <c r="K895" s="4">
        <f>H895+K830</f>
        <v>264</v>
      </c>
      <c r="L895" s="58" t="e">
        <f t="shared" ref="L895" si="705">+J895/E895</f>
        <v>#DIV/0!</v>
      </c>
      <c r="M895" s="59">
        <v>32.946300000000001</v>
      </c>
      <c r="N895" s="60">
        <f>+M895*G895</f>
        <v>329463</v>
      </c>
      <c r="O895" s="60">
        <f>M895*J895</f>
        <v>988389</v>
      </c>
      <c r="P895" s="1002"/>
    </row>
    <row r="896" spans="2:16" x14ac:dyDescent="0.25">
      <c r="B896" s="998"/>
      <c r="C896" s="1001"/>
      <c r="D896" s="61" t="s">
        <v>72</v>
      </c>
      <c r="E896" s="62">
        <v>0</v>
      </c>
      <c r="F896" s="63">
        <f>G896+H896</f>
        <v>0</v>
      </c>
      <c r="G896" s="63">
        <v>0</v>
      </c>
      <c r="H896" s="64">
        <v>0</v>
      </c>
      <c r="I896" s="79">
        <f>J896+K896</f>
        <v>31833</v>
      </c>
      <c r="J896" s="4">
        <f>G896+J831</f>
        <v>31420</v>
      </c>
      <c r="K896" s="4">
        <f>H896+K831</f>
        <v>413</v>
      </c>
      <c r="L896" s="65" t="e">
        <f>+J896/E896</f>
        <v>#DIV/0!</v>
      </c>
      <c r="M896" s="66">
        <v>35.398400000000002</v>
      </c>
      <c r="N896" s="67">
        <f>+M896*G896</f>
        <v>0</v>
      </c>
      <c r="O896" s="67">
        <f>M896*J896</f>
        <v>1112217.7280000001</v>
      </c>
      <c r="P896" s="1003"/>
    </row>
    <row r="897" spans="2:16" x14ac:dyDescent="0.25">
      <c r="B897" s="998"/>
      <c r="C897" s="1001"/>
      <c r="D897" s="61" t="s">
        <v>73</v>
      </c>
      <c r="E897" s="62">
        <v>0</v>
      </c>
      <c r="F897" s="63">
        <f t="shared" ref="F897:F900" si="706">G897+H897</f>
        <v>0</v>
      </c>
      <c r="G897" s="63">
        <v>0</v>
      </c>
      <c r="H897" s="64">
        <v>0</v>
      </c>
      <c r="I897" s="79">
        <f t="shared" ref="I897:I906" si="707">J897+K897</f>
        <v>0</v>
      </c>
      <c r="J897" s="4">
        <f t="shared" ref="J897:J922" si="708">G897+J832</f>
        <v>0</v>
      </c>
      <c r="K897" s="4">
        <f t="shared" ref="K897:K901" si="709">H897+K832</f>
        <v>0</v>
      </c>
      <c r="L897" s="65" t="e">
        <f t="shared" ref="L897:L910" si="710">+J897/E897</f>
        <v>#DIV/0!</v>
      </c>
      <c r="M897" s="66">
        <v>32.946300000000001</v>
      </c>
      <c r="N897" s="67">
        <f t="shared" ref="N897:N917" si="711">+M897*G897</f>
        <v>0</v>
      </c>
      <c r="O897" s="67">
        <f t="shared" ref="O897:O905" si="712">M897*J897</f>
        <v>0</v>
      </c>
      <c r="P897" s="1003"/>
    </row>
    <row r="898" spans="2:16" x14ac:dyDescent="0.25">
      <c r="B898" s="998"/>
      <c r="C898" s="1001" t="s">
        <v>74</v>
      </c>
      <c r="D898" s="61" t="s">
        <v>75</v>
      </c>
      <c r="E898" s="62">
        <v>0</v>
      </c>
      <c r="F898" s="63">
        <f t="shared" si="706"/>
        <v>2535</v>
      </c>
      <c r="G898" s="63">
        <v>2400</v>
      </c>
      <c r="H898" s="64">
        <v>135</v>
      </c>
      <c r="I898" s="79">
        <f t="shared" si="707"/>
        <v>19785</v>
      </c>
      <c r="J898" s="4">
        <f t="shared" si="708"/>
        <v>19200</v>
      </c>
      <c r="K898" s="4">
        <f t="shared" si="709"/>
        <v>585</v>
      </c>
      <c r="L898" s="65" t="e">
        <f t="shared" si="710"/>
        <v>#DIV/0!</v>
      </c>
      <c r="M898" s="66">
        <v>55.4758</v>
      </c>
      <c r="N898" s="67">
        <f t="shared" si="711"/>
        <v>133141.92000000001</v>
      </c>
      <c r="O898" s="67">
        <f t="shared" si="712"/>
        <v>1065135.3600000001</v>
      </c>
      <c r="P898" s="1003"/>
    </row>
    <row r="899" spans="2:16" x14ac:dyDescent="0.25">
      <c r="B899" s="998"/>
      <c r="C899" s="1001"/>
      <c r="D899" s="61" t="s">
        <v>134</v>
      </c>
      <c r="E899" s="62">
        <v>0</v>
      </c>
      <c r="F899" s="63">
        <f t="shared" si="706"/>
        <v>0</v>
      </c>
      <c r="G899" s="63">
        <v>0</v>
      </c>
      <c r="H899" s="64">
        <v>0</v>
      </c>
      <c r="I899" s="79">
        <f t="shared" si="707"/>
        <v>0</v>
      </c>
      <c r="J899" s="4">
        <f t="shared" si="708"/>
        <v>0</v>
      </c>
      <c r="K899" s="4">
        <f t="shared" si="709"/>
        <v>0</v>
      </c>
      <c r="L899" s="65" t="e">
        <f t="shared" si="710"/>
        <v>#DIV/0!</v>
      </c>
      <c r="M899" s="66">
        <v>53.515999999999998</v>
      </c>
      <c r="N899" s="67">
        <f t="shared" si="711"/>
        <v>0</v>
      </c>
      <c r="O899" s="67">
        <f t="shared" si="712"/>
        <v>0</v>
      </c>
      <c r="P899" s="1003"/>
    </row>
    <row r="900" spans="2:16" x14ac:dyDescent="0.25">
      <c r="B900" s="998"/>
      <c r="C900" s="1001"/>
      <c r="D900" s="61" t="s">
        <v>72</v>
      </c>
      <c r="E900" s="62">
        <v>0</v>
      </c>
      <c r="F900" s="63">
        <f t="shared" si="706"/>
        <v>0</v>
      </c>
      <c r="G900" s="63">
        <v>0</v>
      </c>
      <c r="H900" s="64">
        <v>0</v>
      </c>
      <c r="I900" s="79">
        <f t="shared" si="707"/>
        <v>9804</v>
      </c>
      <c r="J900" s="4">
        <f t="shared" si="708"/>
        <v>9600</v>
      </c>
      <c r="K900" s="4">
        <f t="shared" si="709"/>
        <v>204</v>
      </c>
      <c r="L900" s="65" t="e">
        <f t="shared" si="710"/>
        <v>#DIV/0!</v>
      </c>
      <c r="M900" s="66">
        <v>58.836300000000001</v>
      </c>
      <c r="N900" s="67">
        <f t="shared" si="711"/>
        <v>0</v>
      </c>
      <c r="O900" s="67">
        <f t="shared" si="712"/>
        <v>564828.48</v>
      </c>
      <c r="P900" s="1003"/>
    </row>
    <row r="901" spans="2:16" x14ac:dyDescent="0.25">
      <c r="B901" s="998"/>
      <c r="C901" s="1005" t="s">
        <v>76</v>
      </c>
      <c r="D901" s="61" t="s">
        <v>77</v>
      </c>
      <c r="E901" s="62">
        <v>0</v>
      </c>
      <c r="F901" s="63">
        <f>G901+H901</f>
        <v>0</v>
      </c>
      <c r="G901" s="63">
        <v>0</v>
      </c>
      <c r="H901" s="64">
        <v>0</v>
      </c>
      <c r="I901" s="79">
        <f t="shared" si="707"/>
        <v>13295</v>
      </c>
      <c r="J901" s="4">
        <f t="shared" si="708"/>
        <v>13000</v>
      </c>
      <c r="K901" s="4">
        <f t="shared" si="709"/>
        <v>295</v>
      </c>
      <c r="L901" s="65" t="e">
        <f t="shared" si="710"/>
        <v>#DIV/0!</v>
      </c>
      <c r="M901" s="66">
        <v>25.687200000000001</v>
      </c>
      <c r="N901" s="67">
        <f t="shared" si="711"/>
        <v>0</v>
      </c>
      <c r="O901" s="67">
        <f t="shared" si="712"/>
        <v>333933.60000000003</v>
      </c>
      <c r="P901" s="1003"/>
    </row>
    <row r="902" spans="2:16" x14ac:dyDescent="0.25">
      <c r="B902" s="998"/>
      <c r="C902" s="1006"/>
      <c r="D902" s="61" t="s">
        <v>117</v>
      </c>
      <c r="E902" s="62">
        <v>0</v>
      </c>
      <c r="F902" s="63">
        <f>G902+H902</f>
        <v>0</v>
      </c>
      <c r="G902" s="63">
        <v>0</v>
      </c>
      <c r="H902" s="64">
        <v>0</v>
      </c>
      <c r="I902" s="79">
        <f t="shared" si="707"/>
        <v>0</v>
      </c>
      <c r="J902" s="4">
        <f t="shared" si="708"/>
        <v>0</v>
      </c>
      <c r="K902" s="4">
        <f>H902+K837</f>
        <v>0</v>
      </c>
      <c r="L902" s="65" t="e">
        <f t="shared" si="710"/>
        <v>#DIV/0!</v>
      </c>
      <c r="M902" s="66">
        <v>25.033899999999999</v>
      </c>
      <c r="N902" s="67">
        <f t="shared" si="711"/>
        <v>0</v>
      </c>
      <c r="O902" s="67">
        <f t="shared" si="712"/>
        <v>0</v>
      </c>
      <c r="P902" s="1003"/>
    </row>
    <row r="903" spans="2:16" x14ac:dyDescent="0.25">
      <c r="B903" s="998"/>
      <c r="C903" s="1005" t="s">
        <v>78</v>
      </c>
      <c r="D903" s="61" t="s">
        <v>79</v>
      </c>
      <c r="E903" s="62">
        <v>0</v>
      </c>
      <c r="F903" s="63">
        <f t="shared" ref="F903:F922" si="713">G903+H903</f>
        <v>0</v>
      </c>
      <c r="G903" s="63">
        <v>0</v>
      </c>
      <c r="H903" s="64">
        <v>0</v>
      </c>
      <c r="I903" s="79">
        <f t="shared" si="707"/>
        <v>16343</v>
      </c>
      <c r="J903" s="4">
        <f t="shared" si="708"/>
        <v>16000</v>
      </c>
      <c r="K903" s="4">
        <f t="shared" ref="K903:K922" si="714">H903+K838</f>
        <v>343</v>
      </c>
      <c r="L903" s="65" t="e">
        <f t="shared" si="710"/>
        <v>#DIV/0!</v>
      </c>
      <c r="M903" s="66">
        <v>41.992699999999999</v>
      </c>
      <c r="N903" s="67">
        <f t="shared" si="711"/>
        <v>0</v>
      </c>
      <c r="O903" s="67">
        <f t="shared" si="712"/>
        <v>671883.2</v>
      </c>
      <c r="P903" s="1003"/>
    </row>
    <row r="904" spans="2:16" x14ac:dyDescent="0.25">
      <c r="B904" s="998"/>
      <c r="C904" s="1006"/>
      <c r="D904" s="61" t="s">
        <v>72</v>
      </c>
      <c r="E904" s="62">
        <v>0</v>
      </c>
      <c r="F904" s="63">
        <f t="shared" si="713"/>
        <v>0</v>
      </c>
      <c r="G904" s="63">
        <v>0</v>
      </c>
      <c r="H904" s="64">
        <v>0</v>
      </c>
      <c r="I904" s="79">
        <f t="shared" si="707"/>
        <v>0</v>
      </c>
      <c r="J904" s="4">
        <f t="shared" si="708"/>
        <v>0</v>
      </c>
      <c r="K904" s="4">
        <f t="shared" si="714"/>
        <v>0</v>
      </c>
      <c r="L904" s="65" t="e">
        <f t="shared" si="710"/>
        <v>#DIV/0!</v>
      </c>
      <c r="M904" s="66">
        <v>42.283799999999999</v>
      </c>
      <c r="N904" s="67">
        <f t="shared" si="711"/>
        <v>0</v>
      </c>
      <c r="O904" s="67">
        <f t="shared" si="712"/>
        <v>0</v>
      </c>
      <c r="P904" s="1003"/>
    </row>
    <row r="905" spans="2:16" x14ac:dyDescent="0.25">
      <c r="B905" s="998"/>
      <c r="C905" s="208" t="s">
        <v>80</v>
      </c>
      <c r="D905" s="61" t="s">
        <v>81</v>
      </c>
      <c r="E905" s="62">
        <v>0</v>
      </c>
      <c r="F905" s="63">
        <f t="shared" si="713"/>
        <v>0</v>
      </c>
      <c r="G905" s="63">
        <v>0</v>
      </c>
      <c r="H905" s="64">
        <v>0</v>
      </c>
      <c r="I905" s="79">
        <f t="shared" si="707"/>
        <v>24803</v>
      </c>
      <c r="J905" s="4">
        <f t="shared" si="708"/>
        <v>24000</v>
      </c>
      <c r="K905" s="4">
        <f t="shared" si="714"/>
        <v>803</v>
      </c>
      <c r="L905" s="65" t="e">
        <f t="shared" si="710"/>
        <v>#DIV/0!</v>
      </c>
      <c r="M905" s="66">
        <v>4.3535000000000004</v>
      </c>
      <c r="N905" s="67">
        <f t="shared" si="711"/>
        <v>0</v>
      </c>
      <c r="O905" s="67">
        <f t="shared" si="712"/>
        <v>104484.00000000001</v>
      </c>
      <c r="P905" s="1003"/>
    </row>
    <row r="906" spans="2:16" x14ac:dyDescent="0.25">
      <c r="B906" s="998"/>
      <c r="C906" s="1001" t="s">
        <v>82</v>
      </c>
      <c r="D906" s="61" t="s">
        <v>77</v>
      </c>
      <c r="E906" s="62">
        <v>0</v>
      </c>
      <c r="F906" s="63">
        <f t="shared" si="713"/>
        <v>0</v>
      </c>
      <c r="G906" s="63">
        <v>0</v>
      </c>
      <c r="H906" s="64">
        <v>0</v>
      </c>
      <c r="I906" s="79">
        <f t="shared" si="707"/>
        <v>0</v>
      </c>
      <c r="J906" s="4">
        <f t="shared" si="708"/>
        <v>0</v>
      </c>
      <c r="K906" s="4">
        <f t="shared" si="714"/>
        <v>0</v>
      </c>
      <c r="L906" s="65" t="e">
        <f t="shared" si="710"/>
        <v>#DIV/0!</v>
      </c>
      <c r="M906" s="66">
        <v>4.6184000000000003</v>
      </c>
      <c r="N906" s="67">
        <f t="shared" si="711"/>
        <v>0</v>
      </c>
      <c r="O906" s="67">
        <f>M906*J906</f>
        <v>0</v>
      </c>
      <c r="P906" s="1003"/>
    </row>
    <row r="907" spans="2:16" x14ac:dyDescent="0.25">
      <c r="B907" s="998"/>
      <c r="C907" s="1001"/>
      <c r="D907" s="61" t="s">
        <v>119</v>
      </c>
      <c r="E907" s="62">
        <v>0</v>
      </c>
      <c r="F907" s="63">
        <f t="shared" si="713"/>
        <v>0</v>
      </c>
      <c r="G907" s="63">
        <v>0</v>
      </c>
      <c r="H907" s="64">
        <v>0</v>
      </c>
      <c r="I907" s="79">
        <f>J907+K907</f>
        <v>0</v>
      </c>
      <c r="J907" s="4">
        <f t="shared" si="708"/>
        <v>0</v>
      </c>
      <c r="K907" s="4">
        <f t="shared" si="714"/>
        <v>0</v>
      </c>
      <c r="L907" s="65" t="e">
        <f t="shared" si="710"/>
        <v>#DIV/0!</v>
      </c>
      <c r="M907" s="153">
        <v>4.6184000000000003</v>
      </c>
      <c r="N907" s="67">
        <f t="shared" si="711"/>
        <v>0</v>
      </c>
      <c r="O907" s="67">
        <f>M907*J907</f>
        <v>0</v>
      </c>
      <c r="P907" s="1003"/>
    </row>
    <row r="908" spans="2:16" x14ac:dyDescent="0.25">
      <c r="B908" s="998"/>
      <c r="C908" s="1001"/>
      <c r="D908" s="61" t="s">
        <v>123</v>
      </c>
      <c r="E908" s="62">
        <v>0</v>
      </c>
      <c r="F908" s="63">
        <f t="shared" si="713"/>
        <v>0</v>
      </c>
      <c r="G908" s="63">
        <v>0</v>
      </c>
      <c r="H908" s="64">
        <v>0</v>
      </c>
      <c r="I908" s="79">
        <f t="shared" ref="I908:I922" si="715">J908+K908</f>
        <v>0</v>
      </c>
      <c r="J908" s="4">
        <f t="shared" si="708"/>
        <v>0</v>
      </c>
      <c r="K908" s="4">
        <f t="shared" si="714"/>
        <v>0</v>
      </c>
      <c r="L908" s="65" t="e">
        <f t="shared" si="710"/>
        <v>#DIV/0!</v>
      </c>
      <c r="M908" s="153">
        <v>4.6184000000000003</v>
      </c>
      <c r="N908" s="67">
        <f t="shared" si="711"/>
        <v>0</v>
      </c>
      <c r="O908" s="67">
        <f t="shared" ref="O908:O913" si="716">M908*J908</f>
        <v>0</v>
      </c>
      <c r="P908" s="1003"/>
    </row>
    <row r="909" spans="2:16" x14ac:dyDescent="0.25">
      <c r="B909" s="998"/>
      <c r="C909" s="1001"/>
      <c r="D909" s="61" t="s">
        <v>124</v>
      </c>
      <c r="E909" s="62">
        <v>0</v>
      </c>
      <c r="F909" s="63">
        <f t="shared" si="713"/>
        <v>30800</v>
      </c>
      <c r="G909" s="63">
        <v>30500</v>
      </c>
      <c r="H909" s="64">
        <v>300</v>
      </c>
      <c r="I909" s="79">
        <f t="shared" si="715"/>
        <v>281684</v>
      </c>
      <c r="J909" s="4">
        <f t="shared" si="708"/>
        <v>274275</v>
      </c>
      <c r="K909" s="4">
        <f t="shared" si="714"/>
        <v>7409</v>
      </c>
      <c r="L909" s="65" t="e">
        <f t="shared" si="710"/>
        <v>#DIV/0!</v>
      </c>
      <c r="M909" s="153">
        <v>4.7636000000000003</v>
      </c>
      <c r="N909" s="67">
        <f t="shared" si="711"/>
        <v>145289.80000000002</v>
      </c>
      <c r="O909" s="67">
        <f t="shared" si="716"/>
        <v>1306536.3900000001</v>
      </c>
      <c r="P909" s="1003"/>
    </row>
    <row r="910" spans="2:16" x14ac:dyDescent="0.25">
      <c r="B910" s="998"/>
      <c r="C910" s="1001"/>
      <c r="D910" s="61" t="s">
        <v>83</v>
      </c>
      <c r="E910" s="62">
        <v>0</v>
      </c>
      <c r="F910" s="63">
        <f t="shared" si="713"/>
        <v>0</v>
      </c>
      <c r="G910" s="63">
        <v>0</v>
      </c>
      <c r="H910" s="64">
        <v>0</v>
      </c>
      <c r="I910" s="79">
        <f t="shared" si="715"/>
        <v>0</v>
      </c>
      <c r="J910" s="4">
        <f t="shared" si="708"/>
        <v>0</v>
      </c>
      <c r="K910" s="4">
        <f t="shared" si="714"/>
        <v>0</v>
      </c>
      <c r="L910" s="65" t="e">
        <f t="shared" si="710"/>
        <v>#DIV/0!</v>
      </c>
      <c r="M910" s="66">
        <v>4.8738000000000001</v>
      </c>
      <c r="N910" s="67">
        <f t="shared" si="711"/>
        <v>0</v>
      </c>
      <c r="O910" s="67">
        <f t="shared" si="716"/>
        <v>0</v>
      </c>
      <c r="P910" s="1003"/>
    </row>
    <row r="911" spans="2:16" x14ac:dyDescent="0.25">
      <c r="B911" s="998"/>
      <c r="C911" s="208" t="s">
        <v>128</v>
      </c>
      <c r="D911" s="61" t="s">
        <v>124</v>
      </c>
      <c r="E911" s="62"/>
      <c r="F911" s="63">
        <f t="shared" si="713"/>
        <v>0</v>
      </c>
      <c r="G911" s="63">
        <v>0</v>
      </c>
      <c r="H911" s="64">
        <v>0</v>
      </c>
      <c r="I911" s="79">
        <f t="shared" si="715"/>
        <v>0</v>
      </c>
      <c r="J911" s="4">
        <f t="shared" si="708"/>
        <v>0</v>
      </c>
      <c r="K911" s="4">
        <f t="shared" si="714"/>
        <v>0</v>
      </c>
      <c r="L911" s="65"/>
      <c r="M911" s="66">
        <v>4.8738000000000001</v>
      </c>
      <c r="N911" s="67">
        <f t="shared" si="711"/>
        <v>0</v>
      </c>
      <c r="O911" s="67">
        <f t="shared" si="716"/>
        <v>0</v>
      </c>
      <c r="P911" s="1003"/>
    </row>
    <row r="912" spans="2:16" x14ac:dyDescent="0.25">
      <c r="B912" s="998"/>
      <c r="C912" s="1001" t="s">
        <v>84</v>
      </c>
      <c r="D912" s="61" t="s">
        <v>77</v>
      </c>
      <c r="E912" s="62">
        <v>0</v>
      </c>
      <c r="F912" s="63">
        <f t="shared" si="713"/>
        <v>0</v>
      </c>
      <c r="G912" s="63">
        <v>0</v>
      </c>
      <c r="H912" s="64">
        <v>0</v>
      </c>
      <c r="I912" s="79">
        <f t="shared" si="715"/>
        <v>197600</v>
      </c>
      <c r="J912" s="4">
        <f t="shared" si="708"/>
        <v>194950</v>
      </c>
      <c r="K912" s="4">
        <f t="shared" si="714"/>
        <v>2650</v>
      </c>
      <c r="L912" s="65" t="e">
        <f t="shared" ref="L912:L922" si="717">+J912/E912</f>
        <v>#DIV/0!</v>
      </c>
      <c r="M912" s="66">
        <v>4.9344999999999999</v>
      </c>
      <c r="N912" s="67">
        <f t="shared" si="711"/>
        <v>0</v>
      </c>
      <c r="O912" s="67">
        <f t="shared" si="716"/>
        <v>961980.77500000002</v>
      </c>
      <c r="P912" s="1003"/>
    </row>
    <row r="913" spans="2:16" x14ac:dyDescent="0.25">
      <c r="B913" s="998"/>
      <c r="C913" s="1001"/>
      <c r="D913" s="61" t="s">
        <v>135</v>
      </c>
      <c r="E913" s="62"/>
      <c r="F913" s="63">
        <f t="shared" si="713"/>
        <v>0</v>
      </c>
      <c r="G913" s="63">
        <v>0</v>
      </c>
      <c r="H913" s="64">
        <v>0</v>
      </c>
      <c r="I913" s="79">
        <f t="shared" si="715"/>
        <v>43282</v>
      </c>
      <c r="J913" s="4">
        <f t="shared" si="708"/>
        <v>40500</v>
      </c>
      <c r="K913" s="4">
        <f t="shared" si="714"/>
        <v>2782</v>
      </c>
      <c r="L913" s="65" t="e">
        <f t="shared" si="717"/>
        <v>#DIV/0!</v>
      </c>
      <c r="M913" s="66">
        <v>4.9344999999999999</v>
      </c>
      <c r="N913" s="67">
        <f t="shared" si="711"/>
        <v>0</v>
      </c>
      <c r="O913" s="67">
        <f t="shared" si="716"/>
        <v>199847.25</v>
      </c>
      <c r="P913" s="1003"/>
    </row>
    <row r="914" spans="2:16" x14ac:dyDescent="0.25">
      <c r="B914" s="998"/>
      <c r="C914" s="1001"/>
      <c r="D914" s="61" t="s">
        <v>129</v>
      </c>
      <c r="E914" s="62">
        <v>0</v>
      </c>
      <c r="F914" s="63">
        <f t="shared" si="713"/>
        <v>0</v>
      </c>
      <c r="G914" s="155">
        <v>0</v>
      </c>
      <c r="H914" s="156">
        <v>0</v>
      </c>
      <c r="I914" s="157">
        <f t="shared" si="715"/>
        <v>0</v>
      </c>
      <c r="J914" s="4">
        <f t="shared" si="708"/>
        <v>0</v>
      </c>
      <c r="K914" s="4">
        <f t="shared" si="714"/>
        <v>0</v>
      </c>
      <c r="L914" s="158" t="e">
        <f t="shared" si="717"/>
        <v>#DIV/0!</v>
      </c>
      <c r="M914" s="66">
        <v>4.9344999999999999</v>
      </c>
      <c r="N914" s="159">
        <f t="shared" si="711"/>
        <v>0</v>
      </c>
      <c r="O914" s="67">
        <f>M914*J914</f>
        <v>0</v>
      </c>
      <c r="P914" s="1003"/>
    </row>
    <row r="915" spans="2:16" x14ac:dyDescent="0.25">
      <c r="B915" s="998"/>
      <c r="C915" s="1001" t="s">
        <v>85</v>
      </c>
      <c r="D915" s="61" t="s">
        <v>77</v>
      </c>
      <c r="E915" s="62">
        <v>0</v>
      </c>
      <c r="F915" s="63">
        <f t="shared" si="713"/>
        <v>0</v>
      </c>
      <c r="G915" s="63">
        <v>0</v>
      </c>
      <c r="H915" s="64">
        <v>0</v>
      </c>
      <c r="I915" s="79">
        <f t="shared" si="715"/>
        <v>138276</v>
      </c>
      <c r="J915" s="4">
        <f t="shared" si="708"/>
        <v>130950</v>
      </c>
      <c r="K915" s="4">
        <f t="shared" si="714"/>
        <v>7326</v>
      </c>
      <c r="L915" s="65" t="e">
        <f t="shared" si="717"/>
        <v>#DIV/0!</v>
      </c>
      <c r="M915" s="148">
        <v>5.5069999999999997</v>
      </c>
      <c r="N915" s="67">
        <f t="shared" si="711"/>
        <v>0</v>
      </c>
      <c r="O915" s="67">
        <f>M915*J915</f>
        <v>721141.64999999991</v>
      </c>
      <c r="P915" s="1003"/>
    </row>
    <row r="916" spans="2:16" x14ac:dyDescent="0.25">
      <c r="B916" s="998"/>
      <c r="C916" s="1001"/>
      <c r="D916" s="61" t="s">
        <v>112</v>
      </c>
      <c r="E916" s="62">
        <v>0</v>
      </c>
      <c r="F916" s="63">
        <f t="shared" si="713"/>
        <v>9429</v>
      </c>
      <c r="G916" s="63">
        <v>9000</v>
      </c>
      <c r="H916" s="64">
        <v>429</v>
      </c>
      <c r="I916" s="79">
        <f t="shared" si="715"/>
        <v>84882</v>
      </c>
      <c r="J916" s="4">
        <f t="shared" si="708"/>
        <v>81900</v>
      </c>
      <c r="K916" s="4">
        <f t="shared" si="714"/>
        <v>2982</v>
      </c>
      <c r="L916" s="65" t="e">
        <f t="shared" si="717"/>
        <v>#DIV/0!</v>
      </c>
      <c r="M916" s="147">
        <v>5.6550000000000002</v>
      </c>
      <c r="N916" s="67">
        <f t="shared" si="711"/>
        <v>50895</v>
      </c>
      <c r="O916" s="67">
        <f>M916*J916</f>
        <v>463144.5</v>
      </c>
      <c r="P916" s="1003"/>
    </row>
    <row r="917" spans="2:16" x14ac:dyDescent="0.25">
      <c r="B917" s="998"/>
      <c r="C917" s="1001"/>
      <c r="D917" s="61" t="s">
        <v>118</v>
      </c>
      <c r="E917" s="62">
        <v>0</v>
      </c>
      <c r="F917" s="63">
        <f t="shared" si="713"/>
        <v>0</v>
      </c>
      <c r="G917" s="63">
        <v>0</v>
      </c>
      <c r="H917" s="64">
        <v>0</v>
      </c>
      <c r="I917" s="79">
        <f t="shared" si="715"/>
        <v>0</v>
      </c>
      <c r="J917" s="4">
        <f t="shared" si="708"/>
        <v>0</v>
      </c>
      <c r="K917" s="4">
        <f t="shared" si="714"/>
        <v>0</v>
      </c>
      <c r="L917" s="65" t="e">
        <f t="shared" si="717"/>
        <v>#DIV/0!</v>
      </c>
      <c r="M917" s="152">
        <v>5.6550000000000002</v>
      </c>
      <c r="N917" s="67">
        <f t="shared" si="711"/>
        <v>0</v>
      </c>
      <c r="O917" s="67">
        <f>M917*J917</f>
        <v>0</v>
      </c>
      <c r="P917" s="1003"/>
    </row>
    <row r="918" spans="2:16" x14ac:dyDescent="0.25">
      <c r="B918" s="998"/>
      <c r="C918" s="1001"/>
      <c r="D918" s="61" t="s">
        <v>121</v>
      </c>
      <c r="E918" s="62">
        <v>0</v>
      </c>
      <c r="F918" s="63">
        <f t="shared" si="713"/>
        <v>0</v>
      </c>
      <c r="G918" s="63">
        <v>0</v>
      </c>
      <c r="H918" s="64">
        <v>0</v>
      </c>
      <c r="I918" s="79">
        <f t="shared" si="715"/>
        <v>28324</v>
      </c>
      <c r="J918" s="4">
        <f t="shared" si="708"/>
        <v>26710</v>
      </c>
      <c r="K918" s="4">
        <f t="shared" si="714"/>
        <v>1614</v>
      </c>
      <c r="L918" s="65" t="e">
        <f t="shared" si="717"/>
        <v>#DIV/0!</v>
      </c>
      <c r="M918" s="66">
        <v>5.7885299999999997</v>
      </c>
      <c r="N918" s="67">
        <f>+M918*G918</f>
        <v>0</v>
      </c>
      <c r="O918" s="67">
        <f>M918*J918</f>
        <v>154611.63629999998</v>
      </c>
      <c r="P918" s="1003"/>
    </row>
    <row r="919" spans="2:16" x14ac:dyDescent="0.25">
      <c r="B919" s="998"/>
      <c r="C919" s="1001"/>
      <c r="D919" s="61" t="s">
        <v>136</v>
      </c>
      <c r="E919" s="62">
        <v>0</v>
      </c>
      <c r="F919" s="63">
        <f t="shared" si="713"/>
        <v>0</v>
      </c>
      <c r="G919" s="63">
        <v>0</v>
      </c>
      <c r="H919" s="64">
        <v>0</v>
      </c>
      <c r="I919" s="79">
        <f t="shared" si="715"/>
        <v>0</v>
      </c>
      <c r="J919" s="4">
        <f t="shared" si="708"/>
        <v>0</v>
      </c>
      <c r="K919" s="4">
        <f t="shared" si="714"/>
        <v>0</v>
      </c>
      <c r="L919" s="65" t="e">
        <f t="shared" si="717"/>
        <v>#DIV/0!</v>
      </c>
      <c r="M919" s="152">
        <v>5.6550000000000002</v>
      </c>
      <c r="N919" s="67">
        <f t="shared" ref="N919:N921" si="718">+M919*G919</f>
        <v>0</v>
      </c>
      <c r="O919" s="67">
        <f t="shared" ref="O919:O922" si="719">M919*J919</f>
        <v>0</v>
      </c>
      <c r="P919" s="1003"/>
    </row>
    <row r="920" spans="2:16" x14ac:dyDescent="0.25">
      <c r="B920" s="998"/>
      <c r="C920" s="208" t="s">
        <v>86</v>
      </c>
      <c r="D920" s="61" t="s">
        <v>77</v>
      </c>
      <c r="E920" s="62">
        <v>0</v>
      </c>
      <c r="F920" s="63">
        <f t="shared" si="713"/>
        <v>0</v>
      </c>
      <c r="G920" s="63">
        <v>0</v>
      </c>
      <c r="H920" s="64">
        <v>0</v>
      </c>
      <c r="I920" s="79">
        <f t="shared" si="715"/>
        <v>0</v>
      </c>
      <c r="J920" s="4">
        <f t="shared" si="708"/>
        <v>0</v>
      </c>
      <c r="K920" s="4">
        <f t="shared" si="714"/>
        <v>0</v>
      </c>
      <c r="L920" s="65" t="e">
        <f t="shared" si="717"/>
        <v>#DIV/0!</v>
      </c>
      <c r="M920" s="66">
        <v>3.2963</v>
      </c>
      <c r="N920" s="67">
        <f t="shared" si="718"/>
        <v>0</v>
      </c>
      <c r="O920" s="67">
        <f t="shared" si="719"/>
        <v>0</v>
      </c>
      <c r="P920" s="1003"/>
    </row>
    <row r="921" spans="2:16" x14ac:dyDescent="0.25">
      <c r="B921" s="998"/>
      <c r="C921" s="208" t="s">
        <v>87</v>
      </c>
      <c r="D921" s="61" t="s">
        <v>77</v>
      </c>
      <c r="E921" s="62">
        <v>0</v>
      </c>
      <c r="F921" s="63">
        <f t="shared" si="713"/>
        <v>0</v>
      </c>
      <c r="G921" s="63">
        <v>0</v>
      </c>
      <c r="H921" s="64">
        <v>0</v>
      </c>
      <c r="I921" s="79">
        <f t="shared" si="715"/>
        <v>0</v>
      </c>
      <c r="J921" s="4">
        <f t="shared" si="708"/>
        <v>0</v>
      </c>
      <c r="K921" s="4">
        <f t="shared" si="714"/>
        <v>0</v>
      </c>
      <c r="L921" s="65" t="e">
        <f t="shared" si="717"/>
        <v>#DIV/0!</v>
      </c>
      <c r="M921" s="66">
        <v>3.2963</v>
      </c>
      <c r="N921" s="67">
        <f t="shared" si="718"/>
        <v>0</v>
      </c>
      <c r="O921" s="67">
        <f t="shared" si="719"/>
        <v>0</v>
      </c>
      <c r="P921" s="1003"/>
    </row>
    <row r="922" spans="2:16" ht="15.75" thickBot="1" x14ac:dyDescent="0.3">
      <c r="B922" s="998"/>
      <c r="C922" s="68" t="s">
        <v>88</v>
      </c>
      <c r="D922" s="69" t="s">
        <v>89</v>
      </c>
      <c r="E922" s="70">
        <v>0</v>
      </c>
      <c r="F922" s="71">
        <f t="shared" si="713"/>
        <v>0</v>
      </c>
      <c r="G922" s="71">
        <v>0</v>
      </c>
      <c r="H922" s="72">
        <v>0</v>
      </c>
      <c r="I922" s="80">
        <f t="shared" si="715"/>
        <v>65030</v>
      </c>
      <c r="J922" s="4">
        <f t="shared" si="708"/>
        <v>65000</v>
      </c>
      <c r="K922" s="4">
        <f t="shared" si="714"/>
        <v>30</v>
      </c>
      <c r="L922" s="65" t="e">
        <f t="shared" si="717"/>
        <v>#DIV/0!</v>
      </c>
      <c r="M922" s="73">
        <v>2.3201000000000001</v>
      </c>
      <c r="N922" s="74">
        <f t="shared" ref="N922" si="720">M922*G922</f>
        <v>0</v>
      </c>
      <c r="O922" s="74">
        <f t="shared" si="719"/>
        <v>150806.5</v>
      </c>
      <c r="P922" s="1004"/>
    </row>
    <row r="923" spans="2:16" ht="15.75" thickBot="1" x14ac:dyDescent="0.3">
      <c r="B923" s="999"/>
      <c r="C923" s="1007" t="s">
        <v>99</v>
      </c>
      <c r="D923" s="1008"/>
      <c r="E923" s="1008"/>
      <c r="F923" s="1008"/>
      <c r="G923" s="1008"/>
      <c r="H923" s="1009"/>
      <c r="I923" s="116">
        <f>J923+K923</f>
        <v>985205</v>
      </c>
      <c r="J923" s="115">
        <f>SUM(J895:J922)</f>
        <v>957505</v>
      </c>
      <c r="K923" s="115">
        <f>SUM(K895:K922)</f>
        <v>27700</v>
      </c>
      <c r="L923" s="114"/>
      <c r="M923" s="113"/>
      <c r="N923" s="114"/>
      <c r="O923" s="97">
        <f>SUM(O895:O922)</f>
        <v>8798940.0693000015</v>
      </c>
      <c r="P923" s="96"/>
    </row>
    <row r="924" spans="2:16" ht="15.75" thickBot="1" x14ac:dyDescent="0.3">
      <c r="B924" s="100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2"/>
    </row>
    <row r="925" spans="2:16" ht="15.75" thickBot="1" x14ac:dyDescent="0.3">
      <c r="B925" s="992" t="s">
        <v>100</v>
      </c>
      <c r="C925" s="993"/>
      <c r="D925" s="993"/>
      <c r="E925" s="993"/>
      <c r="F925" s="993"/>
      <c r="G925" s="993"/>
      <c r="H925" s="993"/>
      <c r="I925" s="993"/>
      <c r="J925" s="993"/>
      <c r="K925" s="993"/>
      <c r="L925" s="993"/>
      <c r="M925" s="993"/>
      <c r="N925" s="994"/>
      <c r="O925" s="103">
        <f>+O923+O894+O879</f>
        <v>19359763.7313</v>
      </c>
      <c r="P925" s="96"/>
    </row>
    <row r="926" spans="2:16" ht="15.75" thickBot="1" x14ac:dyDescent="0.3"/>
    <row r="927" spans="2:16" x14ac:dyDescent="0.25">
      <c r="B927" s="1026" t="s">
        <v>1</v>
      </c>
      <c r="C927" s="1028" t="s">
        <v>2</v>
      </c>
      <c r="D927" s="1031" t="s">
        <v>3</v>
      </c>
      <c r="E927" s="1034" t="s">
        <v>4</v>
      </c>
      <c r="F927" s="1035"/>
      <c r="G927" s="1035"/>
      <c r="H927" s="1035"/>
      <c r="I927" s="1035"/>
      <c r="J927" s="1035"/>
      <c r="K927" s="1035"/>
      <c r="L927" s="1036"/>
      <c r="M927" s="1037" t="s">
        <v>5</v>
      </c>
      <c r="N927" s="1038"/>
      <c r="O927" s="1039"/>
      <c r="P927" s="1031" t="s">
        <v>6</v>
      </c>
    </row>
    <row r="928" spans="2:16" x14ac:dyDescent="0.25">
      <c r="B928" s="1027"/>
      <c r="C928" s="1029"/>
      <c r="D928" s="1032"/>
      <c r="E928" s="1040" t="s">
        <v>7</v>
      </c>
      <c r="F928" s="1042" t="s">
        <v>154</v>
      </c>
      <c r="G928" s="1042"/>
      <c r="H928" s="1043"/>
      <c r="I928" s="1044" t="s">
        <v>8</v>
      </c>
      <c r="J928" s="1042"/>
      <c r="K928" s="1042"/>
      <c r="L928" s="1043" t="s">
        <v>9</v>
      </c>
      <c r="M928" s="1046" t="s">
        <v>10</v>
      </c>
      <c r="N928" s="1048" t="s">
        <v>11</v>
      </c>
      <c r="O928" s="1050" t="s">
        <v>12</v>
      </c>
      <c r="P928" s="1032"/>
    </row>
    <row r="929" spans="2:16" ht="15.75" thickBot="1" x14ac:dyDescent="0.3">
      <c r="B929" s="1027"/>
      <c r="C929" s="1030"/>
      <c r="D929" s="1033"/>
      <c r="E929" s="1041"/>
      <c r="F929" s="2" t="s">
        <v>13</v>
      </c>
      <c r="G929" s="2" t="s">
        <v>14</v>
      </c>
      <c r="H929" s="215" t="s">
        <v>15</v>
      </c>
      <c r="I929" s="142" t="s">
        <v>13</v>
      </c>
      <c r="J929" s="2" t="s">
        <v>14</v>
      </c>
      <c r="K929" s="2" t="s">
        <v>15</v>
      </c>
      <c r="L929" s="1045"/>
      <c r="M929" s="1047"/>
      <c r="N929" s="1049"/>
      <c r="O929" s="1051"/>
      <c r="P929" s="1033"/>
    </row>
    <row r="930" spans="2:16" x14ac:dyDescent="0.25">
      <c r="B930" s="1010" t="s">
        <v>53</v>
      </c>
      <c r="C930" s="29"/>
      <c r="D930" s="117" t="s">
        <v>143</v>
      </c>
      <c r="E930" s="98">
        <v>0</v>
      </c>
      <c r="F930" s="4">
        <f>+G930+H930</f>
        <v>62640</v>
      </c>
      <c r="G930" s="4">
        <v>61320</v>
      </c>
      <c r="H930" s="8">
        <v>1320</v>
      </c>
      <c r="I930" s="6">
        <f>J930+K930</f>
        <v>438846</v>
      </c>
      <c r="J930" s="4">
        <f>G930+J865</f>
        <v>430920</v>
      </c>
      <c r="K930" s="4">
        <f>H930+K865</f>
        <v>7926</v>
      </c>
      <c r="L930" s="33" t="e">
        <f>+J930/E930</f>
        <v>#DIV/0!</v>
      </c>
      <c r="M930" s="104">
        <v>1.3652</v>
      </c>
      <c r="N930" s="31">
        <f>G930*M930</f>
        <v>83714.063999999998</v>
      </c>
      <c r="O930" s="86">
        <f>M930*J930</f>
        <v>588291.98399999994</v>
      </c>
      <c r="P930" s="1012"/>
    </row>
    <row r="931" spans="2:16" x14ac:dyDescent="0.25">
      <c r="B931" s="1011"/>
      <c r="C931" s="32"/>
      <c r="D931" s="118" t="s">
        <v>109</v>
      </c>
      <c r="E931" s="99">
        <v>0</v>
      </c>
      <c r="F931" s="9">
        <f>+G931+H931</f>
        <v>0</v>
      </c>
      <c r="G931" s="9">
        <v>0</v>
      </c>
      <c r="H931" s="10">
        <v>0</v>
      </c>
      <c r="I931" s="6">
        <f>J931+K931</f>
        <v>0</v>
      </c>
      <c r="J931" s="4">
        <f>+G931+J866</f>
        <v>0</v>
      </c>
      <c r="K931" s="4">
        <f>+H931+K866</f>
        <v>0</v>
      </c>
      <c r="L931" s="33"/>
      <c r="M931" s="105">
        <v>5.9917999999999996</v>
      </c>
      <c r="N931" s="34">
        <f>M931*G931</f>
        <v>0</v>
      </c>
      <c r="O931" s="87">
        <f>M931*J931</f>
        <v>0</v>
      </c>
      <c r="P931" s="1013"/>
    </row>
    <row r="932" spans="2:16" x14ac:dyDescent="0.25">
      <c r="B932" s="1011"/>
      <c r="C932" s="35"/>
      <c r="D932" s="119" t="s">
        <v>55</v>
      </c>
      <c r="E932" s="99">
        <v>0</v>
      </c>
      <c r="F932" s="9">
        <f t="shared" ref="F932:F936" si="721">+G932+H932</f>
        <v>173656</v>
      </c>
      <c r="G932" s="9">
        <v>172500</v>
      </c>
      <c r="H932" s="10">
        <v>1156</v>
      </c>
      <c r="I932" s="6">
        <f t="shared" ref="I932:I936" si="722">J932+K932</f>
        <v>2841551</v>
      </c>
      <c r="J932" s="4">
        <f t="shared" ref="J932:J936" si="723">+G932+J867</f>
        <v>2820750</v>
      </c>
      <c r="K932" s="4">
        <f t="shared" ref="K932:K936" si="724">+H932+K867</f>
        <v>20801</v>
      </c>
      <c r="L932" s="33" t="e">
        <f t="shared" ref="L932" si="725">+J932/E932</f>
        <v>#DIV/0!</v>
      </c>
      <c r="M932" s="106">
        <v>2.3807999999999998</v>
      </c>
      <c r="N932" s="36">
        <f>G932*M932</f>
        <v>410687.99999999994</v>
      </c>
      <c r="O932" s="88">
        <f>M932*J932</f>
        <v>6715641.5999999996</v>
      </c>
      <c r="P932" s="1013"/>
    </row>
    <row r="933" spans="2:16" x14ac:dyDescent="0.25">
      <c r="B933" s="1011"/>
      <c r="C933" s="35"/>
      <c r="D933" s="119" t="s">
        <v>56</v>
      </c>
      <c r="E933" s="99">
        <v>0</v>
      </c>
      <c r="F933" s="9">
        <f t="shared" si="721"/>
        <v>0</v>
      </c>
      <c r="G933" s="9">
        <v>0</v>
      </c>
      <c r="H933" s="10">
        <v>0</v>
      </c>
      <c r="I933" s="6">
        <f t="shared" si="722"/>
        <v>0</v>
      </c>
      <c r="J933" s="4">
        <f t="shared" si="723"/>
        <v>0</v>
      </c>
      <c r="K933" s="4">
        <f t="shared" si="724"/>
        <v>0</v>
      </c>
      <c r="L933" s="33"/>
      <c r="M933" s="106">
        <v>2.1457999999999999</v>
      </c>
      <c r="N933" s="36">
        <f t="shared" ref="N933:N936" si="726">G933*M933</f>
        <v>0</v>
      </c>
      <c r="O933" s="88">
        <f>M933*J933</f>
        <v>0</v>
      </c>
      <c r="P933" s="1013"/>
    </row>
    <row r="934" spans="2:16" x14ac:dyDescent="0.25">
      <c r="B934" s="1011"/>
      <c r="C934" s="35"/>
      <c r="D934" s="119" t="s">
        <v>106</v>
      </c>
      <c r="E934" s="99">
        <v>0</v>
      </c>
      <c r="F934" s="9">
        <f t="shared" si="721"/>
        <v>0</v>
      </c>
      <c r="G934" s="9">
        <v>0</v>
      </c>
      <c r="H934" s="10">
        <v>0</v>
      </c>
      <c r="I934" s="6">
        <f t="shared" si="722"/>
        <v>53280</v>
      </c>
      <c r="J934" s="4">
        <f t="shared" si="723"/>
        <v>42000</v>
      </c>
      <c r="K934" s="4">
        <f t="shared" si="724"/>
        <v>11280</v>
      </c>
      <c r="L934" s="33" t="e">
        <f t="shared" ref="L934:L935" si="727">+J934/E934</f>
        <v>#DIV/0!</v>
      </c>
      <c r="M934" s="143">
        <v>4.0426000000000002</v>
      </c>
      <c r="N934" s="36">
        <f t="shared" si="726"/>
        <v>0</v>
      </c>
      <c r="O934" s="88">
        <f>M934*J934</f>
        <v>169789.2</v>
      </c>
      <c r="P934" s="1013"/>
    </row>
    <row r="935" spans="2:16" x14ac:dyDescent="0.25">
      <c r="B935" s="1011"/>
      <c r="C935" s="35"/>
      <c r="D935" s="119" t="s">
        <v>110</v>
      </c>
      <c r="E935" s="99">
        <v>0</v>
      </c>
      <c r="F935" s="9">
        <f t="shared" si="721"/>
        <v>0</v>
      </c>
      <c r="G935" s="9">
        <v>0</v>
      </c>
      <c r="H935" s="10">
        <v>0</v>
      </c>
      <c r="I935" s="6">
        <f t="shared" si="722"/>
        <v>0</v>
      </c>
      <c r="J935" s="4">
        <f t="shared" si="723"/>
        <v>0</v>
      </c>
      <c r="K935" s="4">
        <f t="shared" si="724"/>
        <v>0</v>
      </c>
      <c r="L935" s="33" t="e">
        <f t="shared" si="727"/>
        <v>#DIV/0!</v>
      </c>
      <c r="M935" s="143">
        <v>3.8715000000000002</v>
      </c>
      <c r="N935" s="36">
        <f t="shared" si="726"/>
        <v>0</v>
      </c>
      <c r="O935" s="88">
        <f t="shared" ref="O935:O936" si="728">M935*J935</f>
        <v>0</v>
      </c>
      <c r="P935" s="1013"/>
    </row>
    <row r="936" spans="2:16" ht="15.75" thickBot="1" x14ac:dyDescent="0.3">
      <c r="B936" s="1011"/>
      <c r="C936" s="82"/>
      <c r="D936" s="120" t="s">
        <v>57</v>
      </c>
      <c r="E936" s="108">
        <v>0</v>
      </c>
      <c r="F936" s="12">
        <f t="shared" si="721"/>
        <v>0</v>
      </c>
      <c r="G936" s="12">
        <v>0</v>
      </c>
      <c r="H936" s="13">
        <v>0</v>
      </c>
      <c r="I936" s="21">
        <f t="shared" si="722"/>
        <v>0</v>
      </c>
      <c r="J936" s="4">
        <f t="shared" si="723"/>
        <v>0</v>
      </c>
      <c r="K936" s="4">
        <f t="shared" si="724"/>
        <v>0</v>
      </c>
      <c r="L936" s="81"/>
      <c r="M936" s="127">
        <v>12.284700000000001</v>
      </c>
      <c r="N936" s="36">
        <f t="shared" si="726"/>
        <v>0</v>
      </c>
      <c r="O936" s="128">
        <f t="shared" si="728"/>
        <v>0</v>
      </c>
      <c r="P936" s="1013"/>
    </row>
    <row r="937" spans="2:16" ht="15.75" thickBot="1" x14ac:dyDescent="0.3">
      <c r="B937" s="1011"/>
      <c r="C937" s="1016" t="s">
        <v>104</v>
      </c>
      <c r="D937" s="1017"/>
      <c r="E937" s="129"/>
      <c r="F937" s="130">
        <f>SUM(F930:F936)</f>
        <v>236296</v>
      </c>
      <c r="G937" s="130">
        <f>SUM(G930:G936)</f>
        <v>233820</v>
      </c>
      <c r="H937" s="131">
        <f>SUM(H930:H936)</f>
        <v>2476</v>
      </c>
      <c r="I937" s="132">
        <f>+J937+K937</f>
        <v>3333677</v>
      </c>
      <c r="J937" s="133">
        <f>SUM(J930:J936)</f>
        <v>3293670</v>
      </c>
      <c r="K937" s="133">
        <f>SUM(K930:K936)</f>
        <v>40007</v>
      </c>
      <c r="L937" s="134"/>
      <c r="M937" s="135"/>
      <c r="N937" s="136"/>
      <c r="O937" s="137">
        <f>SUM(O930:O936)</f>
        <v>7473722.784</v>
      </c>
      <c r="P937" s="1014"/>
    </row>
    <row r="938" spans="2:16" x14ac:dyDescent="0.25">
      <c r="B938" s="1011"/>
      <c r="C938" s="32"/>
      <c r="D938" s="118" t="s">
        <v>58</v>
      </c>
      <c r="E938" s="98">
        <v>0</v>
      </c>
      <c r="F938" s="4">
        <f t="shared" ref="F938:F941" si="729">+G938+H938</f>
        <v>0</v>
      </c>
      <c r="G938" s="4">
        <v>0</v>
      </c>
      <c r="H938" s="8">
        <v>0</v>
      </c>
      <c r="I938" s="6">
        <f t="shared" ref="I938:I942" si="730">J938+K938</f>
        <v>0</v>
      </c>
      <c r="J938" s="4">
        <f>G938+J873</f>
        <v>0</v>
      </c>
      <c r="K938" s="4">
        <f>H938+K873</f>
        <v>0</v>
      </c>
      <c r="L938" s="33" t="e">
        <f t="shared" ref="L938" si="731">+J938/E938</f>
        <v>#DIV/0!</v>
      </c>
      <c r="M938" s="105">
        <v>12.029500000000001</v>
      </c>
      <c r="N938" s="34">
        <f>M938*G938</f>
        <v>0</v>
      </c>
      <c r="O938" s="87">
        <f t="shared" ref="O938:O940" si="732">M938*J938</f>
        <v>0</v>
      </c>
      <c r="P938" s="1013"/>
    </row>
    <row r="939" spans="2:16" x14ac:dyDescent="0.25">
      <c r="B939" s="1011"/>
      <c r="C939" s="35"/>
      <c r="D939" s="119" t="s">
        <v>59</v>
      </c>
      <c r="E939" s="99">
        <v>0</v>
      </c>
      <c r="F939" s="9">
        <f t="shared" si="729"/>
        <v>0</v>
      </c>
      <c r="G939" s="9">
        <v>0</v>
      </c>
      <c r="H939" s="10">
        <v>0</v>
      </c>
      <c r="I939" s="6">
        <f t="shared" si="730"/>
        <v>0</v>
      </c>
      <c r="J939" s="4">
        <f>G939+J874</f>
        <v>0</v>
      </c>
      <c r="K939" s="4">
        <f>H939+K874</f>
        <v>0</v>
      </c>
      <c r="L939" s="33"/>
      <c r="M939" s="106">
        <v>0</v>
      </c>
      <c r="N939" s="36"/>
      <c r="O939" s="88">
        <f t="shared" si="732"/>
        <v>0</v>
      </c>
      <c r="P939" s="1013"/>
    </row>
    <row r="940" spans="2:16" x14ac:dyDescent="0.25">
      <c r="B940" s="1011"/>
      <c r="C940" s="35"/>
      <c r="D940" s="119" t="s">
        <v>97</v>
      </c>
      <c r="E940" s="99">
        <v>0</v>
      </c>
      <c r="F940" s="9">
        <f t="shared" si="729"/>
        <v>0</v>
      </c>
      <c r="G940" s="9">
        <v>0</v>
      </c>
      <c r="H940" s="10">
        <v>0</v>
      </c>
      <c r="I940" s="6">
        <f t="shared" si="730"/>
        <v>0</v>
      </c>
      <c r="J940" s="4">
        <f t="shared" ref="J940:J942" si="733">G940+J875</f>
        <v>0</v>
      </c>
      <c r="K940" s="4">
        <f t="shared" ref="K940:K942" si="734">H940+K875</f>
        <v>0</v>
      </c>
      <c r="L940" s="33" t="e">
        <f t="shared" ref="L940:L942" si="735">+J940/E940</f>
        <v>#DIV/0!</v>
      </c>
      <c r="M940" s="106">
        <v>19.688600000000001</v>
      </c>
      <c r="N940" s="36">
        <f>M940*G940</f>
        <v>0</v>
      </c>
      <c r="O940" s="88">
        <f t="shared" si="732"/>
        <v>0</v>
      </c>
      <c r="P940" s="1013"/>
    </row>
    <row r="941" spans="2:16" x14ac:dyDescent="0.25">
      <c r="B941" s="1011"/>
      <c r="C941" s="35"/>
      <c r="D941" s="119" t="s">
        <v>61</v>
      </c>
      <c r="E941" s="99">
        <v>0</v>
      </c>
      <c r="F941" s="9">
        <f t="shared" si="729"/>
        <v>0</v>
      </c>
      <c r="G941" s="9">
        <v>0</v>
      </c>
      <c r="H941" s="10">
        <v>0</v>
      </c>
      <c r="I941" s="6">
        <f t="shared" si="730"/>
        <v>60000</v>
      </c>
      <c r="J941" s="4">
        <f t="shared" si="733"/>
        <v>60000</v>
      </c>
      <c r="K941" s="4">
        <f t="shared" si="734"/>
        <v>0</v>
      </c>
      <c r="L941" s="33" t="e">
        <f t="shared" si="735"/>
        <v>#DIV/0!</v>
      </c>
      <c r="M941" s="106">
        <v>1.2824</v>
      </c>
      <c r="N941" s="151">
        <f>M941*G941</f>
        <v>0</v>
      </c>
      <c r="O941" s="88">
        <f>M941*J941</f>
        <v>76944</v>
      </c>
      <c r="P941" s="1013"/>
    </row>
    <row r="942" spans="2:16" ht="15.75" thickBot="1" x14ac:dyDescent="0.3">
      <c r="B942" s="1011"/>
      <c r="C942" s="82"/>
      <c r="D942" s="120" t="s">
        <v>60</v>
      </c>
      <c r="E942" s="108">
        <v>0</v>
      </c>
      <c r="F942" s="12">
        <v>0</v>
      </c>
      <c r="G942" s="12">
        <v>12960</v>
      </c>
      <c r="H942" s="13">
        <v>214</v>
      </c>
      <c r="I942" s="21">
        <f t="shared" si="730"/>
        <v>83142</v>
      </c>
      <c r="J942" s="4">
        <f t="shared" si="733"/>
        <v>82080</v>
      </c>
      <c r="K942" s="4">
        <f t="shared" si="734"/>
        <v>1062</v>
      </c>
      <c r="L942" s="81" t="e">
        <f t="shared" si="735"/>
        <v>#DIV/0!</v>
      </c>
      <c r="M942" s="107">
        <v>18.2316</v>
      </c>
      <c r="N942" s="75"/>
      <c r="O942" s="89">
        <f t="shared" ref="O942" si="736">M942*J942</f>
        <v>1496449.7280000001</v>
      </c>
      <c r="P942" s="1015"/>
    </row>
    <row r="943" spans="2:16" ht="15.75" thickBot="1" x14ac:dyDescent="0.3">
      <c r="B943" s="995" t="s">
        <v>105</v>
      </c>
      <c r="C943" s="996"/>
      <c r="D943" s="996"/>
      <c r="E943" s="124"/>
      <c r="F943" s="125">
        <f>+G943+H943</f>
        <v>13174</v>
      </c>
      <c r="G943" s="125">
        <f>SUM(G938:G942)</f>
        <v>12960</v>
      </c>
      <c r="H943" s="126">
        <f>SUM(H938:H942)</f>
        <v>214</v>
      </c>
      <c r="I943" s="121">
        <f>J943+K943</f>
        <v>143142</v>
      </c>
      <c r="J943" s="122">
        <f>SUM(J938:J942)</f>
        <v>142080</v>
      </c>
      <c r="K943" s="123">
        <f>SUM(K938:K942)</f>
        <v>1062</v>
      </c>
      <c r="L943" s="138"/>
      <c r="M943" s="139"/>
      <c r="N943" s="140"/>
      <c r="O943" s="141">
        <f>SUM(O938:O942)</f>
        <v>1573393.7280000001</v>
      </c>
      <c r="P943" s="213"/>
    </row>
    <row r="944" spans="2:16" ht="15.75" thickBot="1" x14ac:dyDescent="0.3">
      <c r="B944" s="995" t="s">
        <v>98</v>
      </c>
      <c r="C944" s="996"/>
      <c r="D944" s="996"/>
      <c r="E944" s="1018"/>
      <c r="F944" s="1018"/>
      <c r="G944" s="1018"/>
      <c r="H944" s="1018"/>
      <c r="I944" s="996"/>
      <c r="J944" s="996"/>
      <c r="K944" s="996"/>
      <c r="L944" s="996"/>
      <c r="M944" s="996"/>
      <c r="N944" s="1019"/>
      <c r="O944" s="83">
        <f>O937+O943</f>
        <v>9047116.5120000001</v>
      </c>
      <c r="P944" s="213"/>
    </row>
    <row r="945" spans="2:16" x14ac:dyDescent="0.25">
      <c r="B945" s="1010" t="s">
        <v>62</v>
      </c>
      <c r="C945" s="37" t="s">
        <v>63</v>
      </c>
      <c r="D945" s="28" t="s">
        <v>64</v>
      </c>
      <c r="E945" s="38">
        <v>0</v>
      </c>
      <c r="F945" s="14">
        <f>+G945+H945</f>
        <v>0</v>
      </c>
      <c r="G945" s="14">
        <v>0</v>
      </c>
      <c r="H945" s="5">
        <v>0</v>
      </c>
      <c r="I945" s="17">
        <f t="shared" ref="I945:I951" si="737">J945+K945</f>
        <v>0</v>
      </c>
      <c r="J945" s="4">
        <f>G945+J880</f>
        <v>0</v>
      </c>
      <c r="K945" s="4">
        <f>H945+K880</f>
        <v>0</v>
      </c>
      <c r="L945" s="30" t="e">
        <f>+J945/E945</f>
        <v>#DIV/0!</v>
      </c>
      <c r="M945" s="146">
        <v>2.2141000000000002</v>
      </c>
      <c r="N945" s="15">
        <f>+M945*G945</f>
        <v>0</v>
      </c>
      <c r="O945" s="90">
        <f>+M945*J945</f>
        <v>0</v>
      </c>
      <c r="P945" s="1021"/>
    </row>
    <row r="946" spans="2:16" x14ac:dyDescent="0.25">
      <c r="B946" s="1011"/>
      <c r="C946" s="39"/>
      <c r="D946" s="22" t="s">
        <v>65</v>
      </c>
      <c r="E946" s="3">
        <v>0</v>
      </c>
      <c r="F946" s="9">
        <f t="shared" ref="F946:F951" si="738">+G946+H946</f>
        <v>0</v>
      </c>
      <c r="G946" s="4">
        <v>0</v>
      </c>
      <c r="H946" s="8">
        <v>0</v>
      </c>
      <c r="I946" s="6">
        <f t="shared" si="737"/>
        <v>0</v>
      </c>
      <c r="J946" s="4">
        <f>+G946+J881</f>
        <v>0</v>
      </c>
      <c r="K946" s="4">
        <f>+H946+K881</f>
        <v>0</v>
      </c>
      <c r="L946" s="40" t="e">
        <f t="shared" ref="L946:L947" si="739">+J946/E946</f>
        <v>#DIV/0!</v>
      </c>
      <c r="M946" s="145">
        <v>2.4565999999999999</v>
      </c>
      <c r="N946" s="11">
        <f t="shared" ref="N946:N948" si="740">+M946*G946</f>
        <v>0</v>
      </c>
      <c r="O946" s="91">
        <f t="shared" ref="O946:O948" si="741">+M946*J946</f>
        <v>0</v>
      </c>
      <c r="P946" s="1022"/>
    </row>
    <row r="947" spans="2:16" x14ac:dyDescent="0.25">
      <c r="B947" s="1011"/>
      <c r="C947" s="39"/>
      <c r="D947" s="23" t="s">
        <v>126</v>
      </c>
      <c r="E947" s="3">
        <v>0</v>
      </c>
      <c r="F947" s="9">
        <f t="shared" si="738"/>
        <v>0</v>
      </c>
      <c r="G947" s="4">
        <v>0</v>
      </c>
      <c r="H947" s="8">
        <v>0</v>
      </c>
      <c r="I947" s="6">
        <f t="shared" si="737"/>
        <v>0</v>
      </c>
      <c r="J947" s="4">
        <f t="shared" ref="J947:J948" si="742">+G947+J882</f>
        <v>0</v>
      </c>
      <c r="K947" s="4">
        <f t="shared" ref="K947:K951" si="743">+H947+K882</f>
        <v>0</v>
      </c>
      <c r="L947" s="40" t="e">
        <f t="shared" si="739"/>
        <v>#DIV/0!</v>
      </c>
      <c r="M947" s="145">
        <v>2.2907000000000002</v>
      </c>
      <c r="N947" s="11">
        <f t="shared" si="740"/>
        <v>0</v>
      </c>
      <c r="O947" s="91">
        <f t="shared" si="741"/>
        <v>0</v>
      </c>
      <c r="P947" s="1022"/>
    </row>
    <row r="948" spans="2:16" x14ac:dyDescent="0.25">
      <c r="B948" s="1011"/>
      <c r="C948" s="39"/>
      <c r="D948" s="22" t="s">
        <v>131</v>
      </c>
      <c r="E948" s="3"/>
      <c r="F948" s="9">
        <f t="shared" si="738"/>
        <v>0</v>
      </c>
      <c r="G948" s="4">
        <v>0</v>
      </c>
      <c r="H948" s="8">
        <v>0</v>
      </c>
      <c r="I948" s="6">
        <f t="shared" si="737"/>
        <v>0</v>
      </c>
      <c r="J948" s="4">
        <f t="shared" si="742"/>
        <v>0</v>
      </c>
      <c r="K948" s="4">
        <f t="shared" si="743"/>
        <v>0</v>
      </c>
      <c r="L948" s="33"/>
      <c r="M948" s="150">
        <v>2.544</v>
      </c>
      <c r="N948" s="11">
        <f t="shared" si="740"/>
        <v>0</v>
      </c>
      <c r="O948" s="91">
        <f t="shared" si="741"/>
        <v>0</v>
      </c>
      <c r="P948" s="1022"/>
    </row>
    <row r="949" spans="2:16" x14ac:dyDescent="0.25">
      <c r="B949" s="1011"/>
      <c r="C949" s="39" t="s">
        <v>66</v>
      </c>
      <c r="D949" s="22" t="s">
        <v>133</v>
      </c>
      <c r="E949" s="3">
        <v>0</v>
      </c>
      <c r="F949" s="9">
        <f t="shared" si="738"/>
        <v>0</v>
      </c>
      <c r="G949" s="4">
        <v>0</v>
      </c>
      <c r="H949" s="8">
        <v>0</v>
      </c>
      <c r="I949" s="6">
        <f t="shared" si="737"/>
        <v>567947</v>
      </c>
      <c r="J949" s="4">
        <f>+G949+J884</f>
        <v>552750</v>
      </c>
      <c r="K949" s="4">
        <f t="shared" si="743"/>
        <v>15197</v>
      </c>
      <c r="L949" s="33" t="e">
        <f>+J949/E949</f>
        <v>#DIV/0!</v>
      </c>
      <c r="M949" s="144">
        <v>2.2141000000000002</v>
      </c>
      <c r="N949" s="7">
        <f>+M949*G949</f>
        <v>0</v>
      </c>
      <c r="O949" s="85">
        <f>+M949*J949</f>
        <v>1223843.7750000001</v>
      </c>
      <c r="P949" s="1022"/>
    </row>
    <row r="950" spans="2:16" x14ac:dyDescent="0.25">
      <c r="B950" s="1011"/>
      <c r="C950" s="39"/>
      <c r="D950" s="22" t="s">
        <v>65</v>
      </c>
      <c r="E950" s="3">
        <v>0</v>
      </c>
      <c r="F950" s="9">
        <f t="shared" si="738"/>
        <v>0</v>
      </c>
      <c r="G950" s="4">
        <v>0</v>
      </c>
      <c r="H950" s="8">
        <v>0</v>
      </c>
      <c r="I950" s="6">
        <f t="shared" si="737"/>
        <v>0</v>
      </c>
      <c r="J950" s="4">
        <f t="shared" ref="J950:J951" si="744">+G950+J885</f>
        <v>0</v>
      </c>
      <c r="K950" s="4">
        <f t="shared" si="743"/>
        <v>0</v>
      </c>
      <c r="L950" s="40" t="e">
        <f t="shared" ref="L950:L951" si="745">+J950/E950</f>
        <v>#DIV/0!</v>
      </c>
      <c r="M950" s="145">
        <v>2.4565999999999999</v>
      </c>
      <c r="N950" s="11">
        <f t="shared" ref="N950:N951" si="746">+M950*G950</f>
        <v>0</v>
      </c>
      <c r="O950" s="91">
        <f t="shared" ref="O950" si="747">+M950*J950</f>
        <v>0</v>
      </c>
      <c r="P950" s="1022"/>
    </row>
    <row r="951" spans="2:16" ht="15.75" thickBot="1" x14ac:dyDescent="0.3">
      <c r="B951" s="1011"/>
      <c r="C951" s="39"/>
      <c r="D951" s="22" t="s">
        <v>126</v>
      </c>
      <c r="E951" s="3">
        <v>0</v>
      </c>
      <c r="F951" s="9">
        <f t="shared" si="738"/>
        <v>0</v>
      </c>
      <c r="G951" s="4">
        <v>0</v>
      </c>
      <c r="H951" s="8">
        <v>0</v>
      </c>
      <c r="I951" s="6">
        <f t="shared" si="737"/>
        <v>0</v>
      </c>
      <c r="J951" s="4">
        <f t="shared" si="744"/>
        <v>0</v>
      </c>
      <c r="K951" s="4">
        <f t="shared" si="743"/>
        <v>0</v>
      </c>
      <c r="L951" s="40" t="e">
        <f t="shared" si="745"/>
        <v>#DIV/0!</v>
      </c>
      <c r="M951" s="145">
        <v>2.2907000000000002</v>
      </c>
      <c r="N951" s="11">
        <f t="shared" si="746"/>
        <v>0</v>
      </c>
      <c r="O951" s="154">
        <f>+M951*J951</f>
        <v>0</v>
      </c>
      <c r="P951" s="1023"/>
    </row>
    <row r="952" spans="2:16" ht="15.75" thickBot="1" x14ac:dyDescent="0.3">
      <c r="B952" s="1011"/>
      <c r="C952" s="41" t="s">
        <v>29</v>
      </c>
      <c r="D952" s="27" t="str">
        <f>+C952</f>
        <v>TOTAL 1/2</v>
      </c>
      <c r="E952" s="42">
        <f>SUM(E945:E951)</f>
        <v>0</v>
      </c>
      <c r="F952" s="43">
        <f>SUM(F945:F951)</f>
        <v>0</v>
      </c>
      <c r="G952" s="43">
        <f>SUM(G945:G951)</f>
        <v>0</v>
      </c>
      <c r="H952" s="44">
        <f>SUM(H945:H951)</f>
        <v>0</v>
      </c>
      <c r="I952" s="45">
        <f>SUM(I949:I951)</f>
        <v>567947</v>
      </c>
      <c r="J952" s="43">
        <f>SUM(J945:J951)</f>
        <v>552750</v>
      </c>
      <c r="K952" s="43">
        <f>SUM(K945:K951)</f>
        <v>15197</v>
      </c>
      <c r="L952" s="46" t="e">
        <f>+J952/E952</f>
        <v>#DIV/0!</v>
      </c>
      <c r="M952" s="47"/>
      <c r="N952" s="48">
        <f>SUM(N949:N951)</f>
        <v>0</v>
      </c>
      <c r="O952" s="49">
        <f>SUM(O945:O951)</f>
        <v>1223843.7750000001</v>
      </c>
      <c r="P952" s="214"/>
    </row>
    <row r="953" spans="2:16" x14ac:dyDescent="0.25">
      <c r="B953" s="1011"/>
      <c r="C953" s="1024" t="s">
        <v>67</v>
      </c>
      <c r="D953" s="22" t="s">
        <v>64</v>
      </c>
      <c r="E953" s="3">
        <v>0</v>
      </c>
      <c r="F953" s="4">
        <f>G953+H953</f>
        <v>0</v>
      </c>
      <c r="G953" s="4">
        <v>0</v>
      </c>
      <c r="H953" s="8">
        <v>0</v>
      </c>
      <c r="I953" s="16">
        <f>J953+K953</f>
        <v>109220</v>
      </c>
      <c r="J953" s="4">
        <f>G953+J888</f>
        <v>105750</v>
      </c>
      <c r="K953" s="4">
        <f>H953+K888</f>
        <v>3470</v>
      </c>
      <c r="L953" s="50" t="e">
        <f>+J953/E953</f>
        <v>#DIV/0!</v>
      </c>
      <c r="M953" s="144">
        <v>4.1712999999999996</v>
      </c>
      <c r="N953" s="7">
        <f>+M953*G953</f>
        <v>0</v>
      </c>
      <c r="O953" s="93">
        <f>+M953*J953</f>
        <v>441114.97499999998</v>
      </c>
      <c r="P953" s="1021"/>
    </row>
    <row r="954" spans="2:16" x14ac:dyDescent="0.25">
      <c r="B954" s="1011"/>
      <c r="C954" s="1025"/>
      <c r="D954" s="22" t="s">
        <v>65</v>
      </c>
      <c r="E954" s="3">
        <v>0</v>
      </c>
      <c r="F954" s="4">
        <f>G954+H954</f>
        <v>27980</v>
      </c>
      <c r="G954" s="4">
        <v>26500</v>
      </c>
      <c r="H954" s="8">
        <v>1480</v>
      </c>
      <c r="I954" s="6">
        <f>+R1998+F954</f>
        <v>27980</v>
      </c>
      <c r="J954" s="4">
        <f>G954+J889</f>
        <v>146500</v>
      </c>
      <c r="K954" s="4">
        <f>H954+K889</f>
        <v>4710</v>
      </c>
      <c r="L954" s="51" t="e">
        <f t="shared" ref="L954:L958" si="748">+J954/E954</f>
        <v>#DIV/0!</v>
      </c>
      <c r="M954" s="145">
        <v>4.8285999999999998</v>
      </c>
      <c r="N954" s="11">
        <f t="shared" ref="N954:N956" si="749">+M954*G954</f>
        <v>127957.9</v>
      </c>
      <c r="O954" s="94">
        <f t="shared" ref="O954:O956" si="750">+M954*J954</f>
        <v>707389.9</v>
      </c>
      <c r="P954" s="1022"/>
    </row>
    <row r="955" spans="2:16" x14ac:dyDescent="0.25">
      <c r="B955" s="1011"/>
      <c r="C955" s="1025"/>
      <c r="D955" s="22" t="s">
        <v>127</v>
      </c>
      <c r="E955" s="3"/>
      <c r="F955" s="4">
        <f>G955+H955</f>
        <v>0</v>
      </c>
      <c r="G955" s="4">
        <v>0</v>
      </c>
      <c r="H955" s="8">
        <v>0</v>
      </c>
      <c r="I955" s="6">
        <f>+R1999+F955</f>
        <v>0</v>
      </c>
      <c r="J955" s="4">
        <f t="shared" ref="J955:J956" si="751">G955+J890</f>
        <v>0</v>
      </c>
      <c r="K955" s="4">
        <f t="shared" ref="K955:K956" si="752">H955+K890</f>
        <v>0</v>
      </c>
      <c r="L955" s="51" t="e">
        <f t="shared" si="748"/>
        <v>#DIV/0!</v>
      </c>
      <c r="M955" s="144">
        <v>4.5023</v>
      </c>
      <c r="N955" s="11">
        <f t="shared" si="749"/>
        <v>0</v>
      </c>
      <c r="O955" s="94">
        <f t="shared" si="750"/>
        <v>0</v>
      </c>
      <c r="P955" s="1022"/>
    </row>
    <row r="956" spans="2:16" ht="15.75" thickBot="1" x14ac:dyDescent="0.3">
      <c r="B956" s="1011"/>
      <c r="C956" s="1025"/>
      <c r="D956" s="22" t="s">
        <v>111</v>
      </c>
      <c r="E956" s="3">
        <v>0</v>
      </c>
      <c r="F956" s="4">
        <f t="shared" ref="F956" si="753">G956+H956</f>
        <v>0</v>
      </c>
      <c r="G956" s="4">
        <v>0</v>
      </c>
      <c r="H956" s="8">
        <v>0</v>
      </c>
      <c r="I956" s="6">
        <f>+R1999+F956</f>
        <v>0</v>
      </c>
      <c r="J956" s="4">
        <f t="shared" si="751"/>
        <v>0</v>
      </c>
      <c r="K956" s="4">
        <f t="shared" si="752"/>
        <v>0</v>
      </c>
      <c r="L956" s="51" t="e">
        <f t="shared" si="748"/>
        <v>#DIV/0!</v>
      </c>
      <c r="M956" s="144">
        <v>4.4065000000000003</v>
      </c>
      <c r="N956" s="11">
        <f t="shared" si="749"/>
        <v>0</v>
      </c>
      <c r="O956" s="94">
        <f t="shared" si="750"/>
        <v>0</v>
      </c>
      <c r="P956" s="1022"/>
    </row>
    <row r="957" spans="2:16" ht="15.75" thickBot="1" x14ac:dyDescent="0.3">
      <c r="B957" s="1011"/>
      <c r="C957" s="41" t="s">
        <v>31</v>
      </c>
      <c r="D957" s="18" t="str">
        <f>+C957</f>
        <v>TOTAL 4/4</v>
      </c>
      <c r="E957" s="42">
        <f t="shared" ref="E957:K957" si="754">SUM(E953:E956)</f>
        <v>0</v>
      </c>
      <c r="F957" s="43">
        <f t="shared" si="754"/>
        <v>27980</v>
      </c>
      <c r="G957" s="43">
        <f t="shared" si="754"/>
        <v>26500</v>
      </c>
      <c r="H957" s="44">
        <f t="shared" si="754"/>
        <v>1480</v>
      </c>
      <c r="I957" s="45">
        <f t="shared" si="754"/>
        <v>137200</v>
      </c>
      <c r="J957" s="43">
        <f t="shared" si="754"/>
        <v>252250</v>
      </c>
      <c r="K957" s="43">
        <f t="shared" si="754"/>
        <v>8180</v>
      </c>
      <c r="L957" s="46" t="e">
        <f t="shared" si="748"/>
        <v>#DIV/0!</v>
      </c>
      <c r="M957" s="47"/>
      <c r="N957" s="48">
        <f>SUM(N953:N956)</f>
        <v>127957.9</v>
      </c>
      <c r="O957" s="92">
        <f>SUM(O953:O956)</f>
        <v>1148504.875</v>
      </c>
      <c r="P957" s="1023"/>
    </row>
    <row r="958" spans="2:16" ht="15.75" thickBot="1" x14ac:dyDescent="0.3">
      <c r="B958" s="1020"/>
      <c r="C958" s="41" t="s">
        <v>68</v>
      </c>
      <c r="D958" s="27" t="s">
        <v>64</v>
      </c>
      <c r="E958" s="25">
        <v>0</v>
      </c>
      <c r="F958" s="20">
        <f>G958+H958</f>
        <v>0</v>
      </c>
      <c r="G958" s="20">
        <v>0</v>
      </c>
      <c r="H958" s="24">
        <v>0</v>
      </c>
      <c r="I958" s="19">
        <f>J958+K958</f>
        <v>0</v>
      </c>
      <c r="J958" s="4">
        <f>G958+J893</f>
        <v>0</v>
      </c>
      <c r="K958" s="4">
        <f>H958+K893</f>
        <v>0</v>
      </c>
      <c r="L958" s="52" t="e">
        <f t="shared" si="748"/>
        <v>#DIV/0!</v>
      </c>
      <c r="M958" s="149">
        <v>1.4086000000000001</v>
      </c>
      <c r="N958" s="26">
        <f t="shared" ref="N958" si="755">+M958*G958</f>
        <v>0</v>
      </c>
      <c r="O958" s="95">
        <f t="shared" ref="O958" si="756">+M958*J958</f>
        <v>0</v>
      </c>
      <c r="P958" s="53"/>
    </row>
    <row r="959" spans="2:16" ht="15.75" thickBot="1" x14ac:dyDescent="0.3">
      <c r="B959" s="995" t="s">
        <v>95</v>
      </c>
      <c r="C959" s="996"/>
      <c r="D959" s="996"/>
      <c r="E959" s="996"/>
      <c r="F959" s="996"/>
      <c r="G959" s="996"/>
      <c r="H959" s="996"/>
      <c r="I959" s="110">
        <f>J959+K959</f>
        <v>828377</v>
      </c>
      <c r="J959" s="110">
        <f>J952+J957+J958</f>
        <v>805000</v>
      </c>
      <c r="K959" s="110">
        <f>K952+K957+K958</f>
        <v>23377</v>
      </c>
      <c r="L959" s="111"/>
      <c r="M959" s="112"/>
      <c r="N959" s="109"/>
      <c r="O959" s="77">
        <f>+O958+O957+O952</f>
        <v>2372348.6500000004</v>
      </c>
      <c r="P959" s="84"/>
    </row>
    <row r="960" spans="2:16" x14ac:dyDescent="0.25">
      <c r="B960" s="997" t="s">
        <v>69</v>
      </c>
      <c r="C960" s="1000" t="s">
        <v>70</v>
      </c>
      <c r="D960" s="54" t="s">
        <v>71</v>
      </c>
      <c r="E960" s="55">
        <v>0</v>
      </c>
      <c r="F960" s="56">
        <f>G960+H960</f>
        <v>6689</v>
      </c>
      <c r="G960" s="56">
        <v>6600</v>
      </c>
      <c r="H960" s="57">
        <v>89</v>
      </c>
      <c r="I960" s="78">
        <f>J960+K960</f>
        <v>36953</v>
      </c>
      <c r="J960" s="4">
        <f>G960+J895</f>
        <v>36600</v>
      </c>
      <c r="K960" s="4">
        <f>H960+K895</f>
        <v>353</v>
      </c>
      <c r="L960" s="58" t="e">
        <f t="shared" ref="L960" si="757">+J960/E960</f>
        <v>#DIV/0!</v>
      </c>
      <c r="M960" s="59">
        <v>32.946300000000001</v>
      </c>
      <c r="N960" s="60">
        <f>+M960*G960</f>
        <v>217445.58000000002</v>
      </c>
      <c r="O960" s="60">
        <f>M960*J960</f>
        <v>1205834.58</v>
      </c>
      <c r="P960" s="1002"/>
    </row>
    <row r="961" spans="2:16" x14ac:dyDescent="0.25">
      <c r="B961" s="998"/>
      <c r="C961" s="1001"/>
      <c r="D961" s="61" t="s">
        <v>72</v>
      </c>
      <c r="E961" s="62">
        <v>0</v>
      </c>
      <c r="F961" s="63">
        <f>G961+H961</f>
        <v>0</v>
      </c>
      <c r="G961" s="63">
        <v>0</v>
      </c>
      <c r="H961" s="64">
        <v>0</v>
      </c>
      <c r="I961" s="79">
        <f>J961+K961</f>
        <v>31833</v>
      </c>
      <c r="J961" s="4">
        <f>G961+J896</f>
        <v>31420</v>
      </c>
      <c r="K961" s="4">
        <f>H961+K896</f>
        <v>413</v>
      </c>
      <c r="L961" s="65" t="e">
        <f>+J961/E961</f>
        <v>#DIV/0!</v>
      </c>
      <c r="M961" s="66">
        <v>35.398400000000002</v>
      </c>
      <c r="N961" s="67">
        <f>+M961*G961</f>
        <v>0</v>
      </c>
      <c r="O961" s="67">
        <f>M961*J961</f>
        <v>1112217.7280000001</v>
      </c>
      <c r="P961" s="1003"/>
    </row>
    <row r="962" spans="2:16" x14ac:dyDescent="0.25">
      <c r="B962" s="998"/>
      <c r="C962" s="1001"/>
      <c r="D962" s="61" t="s">
        <v>73</v>
      </c>
      <c r="E962" s="62">
        <v>0</v>
      </c>
      <c r="F962" s="63">
        <f t="shared" ref="F962:F965" si="758">G962+H962</f>
        <v>0</v>
      </c>
      <c r="G962" s="63">
        <v>0</v>
      </c>
      <c r="H962" s="64">
        <v>0</v>
      </c>
      <c r="I962" s="79">
        <f t="shared" ref="I962:I971" si="759">J962+K962</f>
        <v>0</v>
      </c>
      <c r="J962" s="4">
        <f t="shared" ref="J962:J987" si="760">G962+J897</f>
        <v>0</v>
      </c>
      <c r="K962" s="4">
        <f t="shared" ref="K962:K966" si="761">H962+K897</f>
        <v>0</v>
      </c>
      <c r="L962" s="65" t="e">
        <f t="shared" ref="L962:L975" si="762">+J962/E962</f>
        <v>#DIV/0!</v>
      </c>
      <c r="M962" s="66">
        <v>32.946300000000001</v>
      </c>
      <c r="N962" s="67">
        <f t="shared" ref="N962:N982" si="763">+M962*G962</f>
        <v>0</v>
      </c>
      <c r="O962" s="67">
        <f t="shared" ref="O962:O970" si="764">M962*J962</f>
        <v>0</v>
      </c>
      <c r="P962" s="1003"/>
    </row>
    <row r="963" spans="2:16" x14ac:dyDescent="0.25">
      <c r="B963" s="998"/>
      <c r="C963" s="1001" t="s">
        <v>74</v>
      </c>
      <c r="D963" s="61" t="s">
        <v>75</v>
      </c>
      <c r="E963" s="62">
        <v>0</v>
      </c>
      <c r="F963" s="63">
        <f t="shared" si="758"/>
        <v>9750</v>
      </c>
      <c r="G963" s="63">
        <v>9600</v>
      </c>
      <c r="H963" s="64">
        <v>150</v>
      </c>
      <c r="I963" s="79">
        <f t="shared" si="759"/>
        <v>29535</v>
      </c>
      <c r="J963" s="4">
        <f t="shared" si="760"/>
        <v>28800</v>
      </c>
      <c r="K963" s="4">
        <f t="shared" si="761"/>
        <v>735</v>
      </c>
      <c r="L963" s="65" t="e">
        <f t="shared" si="762"/>
        <v>#DIV/0!</v>
      </c>
      <c r="M963" s="66">
        <v>55.4758</v>
      </c>
      <c r="N963" s="67">
        <f t="shared" si="763"/>
        <v>532567.68000000005</v>
      </c>
      <c r="O963" s="67">
        <f t="shared" si="764"/>
        <v>1597703.04</v>
      </c>
      <c r="P963" s="1003"/>
    </row>
    <row r="964" spans="2:16" x14ac:dyDescent="0.25">
      <c r="B964" s="998"/>
      <c r="C964" s="1001"/>
      <c r="D964" s="61" t="s">
        <v>134</v>
      </c>
      <c r="E964" s="62">
        <v>0</v>
      </c>
      <c r="F964" s="63">
        <f t="shared" si="758"/>
        <v>0</v>
      </c>
      <c r="G964" s="63">
        <v>0</v>
      </c>
      <c r="H964" s="64">
        <v>0</v>
      </c>
      <c r="I964" s="79">
        <f t="shared" si="759"/>
        <v>0</v>
      </c>
      <c r="J964" s="4">
        <f t="shared" si="760"/>
        <v>0</v>
      </c>
      <c r="K964" s="4">
        <f t="shared" si="761"/>
        <v>0</v>
      </c>
      <c r="L964" s="65" t="e">
        <f t="shared" si="762"/>
        <v>#DIV/0!</v>
      </c>
      <c r="M964" s="66">
        <v>53.515999999999998</v>
      </c>
      <c r="N964" s="67">
        <f t="shared" si="763"/>
        <v>0</v>
      </c>
      <c r="O964" s="67">
        <f t="shared" si="764"/>
        <v>0</v>
      </c>
      <c r="P964" s="1003"/>
    </row>
    <row r="965" spans="2:16" x14ac:dyDescent="0.25">
      <c r="B965" s="998"/>
      <c r="C965" s="1001"/>
      <c r="D965" s="61" t="s">
        <v>72</v>
      </c>
      <c r="E965" s="62">
        <v>0</v>
      </c>
      <c r="F965" s="63">
        <f t="shared" si="758"/>
        <v>0</v>
      </c>
      <c r="G965" s="63">
        <v>0</v>
      </c>
      <c r="H965" s="64">
        <v>0</v>
      </c>
      <c r="I965" s="79">
        <f t="shared" si="759"/>
        <v>9804</v>
      </c>
      <c r="J965" s="4">
        <f t="shared" si="760"/>
        <v>9600</v>
      </c>
      <c r="K965" s="4">
        <f t="shared" si="761"/>
        <v>204</v>
      </c>
      <c r="L965" s="65" t="e">
        <f t="shared" si="762"/>
        <v>#DIV/0!</v>
      </c>
      <c r="M965" s="66">
        <v>58.836300000000001</v>
      </c>
      <c r="N965" s="67">
        <f t="shared" si="763"/>
        <v>0</v>
      </c>
      <c r="O965" s="67">
        <f t="shared" si="764"/>
        <v>564828.48</v>
      </c>
      <c r="P965" s="1003"/>
    </row>
    <row r="966" spans="2:16" x14ac:dyDescent="0.25">
      <c r="B966" s="998"/>
      <c r="C966" s="1005" t="s">
        <v>76</v>
      </c>
      <c r="D966" s="61" t="s">
        <v>77</v>
      </c>
      <c r="E966" s="62">
        <v>0</v>
      </c>
      <c r="F966" s="63">
        <f>G966+H966</f>
        <v>0</v>
      </c>
      <c r="G966" s="63">
        <v>0</v>
      </c>
      <c r="H966" s="64">
        <v>0</v>
      </c>
      <c r="I966" s="79">
        <f t="shared" si="759"/>
        <v>13295</v>
      </c>
      <c r="J966" s="4">
        <f t="shared" si="760"/>
        <v>13000</v>
      </c>
      <c r="K966" s="4">
        <f t="shared" si="761"/>
        <v>295</v>
      </c>
      <c r="L966" s="65" t="e">
        <f t="shared" si="762"/>
        <v>#DIV/0!</v>
      </c>
      <c r="M966" s="66">
        <v>25.687200000000001</v>
      </c>
      <c r="N966" s="67">
        <f t="shared" si="763"/>
        <v>0</v>
      </c>
      <c r="O966" s="67">
        <f t="shared" si="764"/>
        <v>333933.60000000003</v>
      </c>
      <c r="P966" s="1003"/>
    </row>
    <row r="967" spans="2:16" x14ac:dyDescent="0.25">
      <c r="B967" s="998"/>
      <c r="C967" s="1006"/>
      <c r="D967" s="61" t="s">
        <v>117</v>
      </c>
      <c r="E967" s="62">
        <v>0</v>
      </c>
      <c r="F967" s="63">
        <f>G967+H967</f>
        <v>0</v>
      </c>
      <c r="G967" s="63">
        <v>0</v>
      </c>
      <c r="H967" s="64">
        <v>0</v>
      </c>
      <c r="I967" s="79">
        <f t="shared" si="759"/>
        <v>0</v>
      </c>
      <c r="J967" s="4">
        <f t="shared" si="760"/>
        <v>0</v>
      </c>
      <c r="K967" s="4">
        <f>H967+K902</f>
        <v>0</v>
      </c>
      <c r="L967" s="65" t="e">
        <f t="shared" si="762"/>
        <v>#DIV/0!</v>
      </c>
      <c r="M967" s="66">
        <v>25.033899999999999</v>
      </c>
      <c r="N967" s="67">
        <f t="shared" si="763"/>
        <v>0</v>
      </c>
      <c r="O967" s="67">
        <f t="shared" si="764"/>
        <v>0</v>
      </c>
      <c r="P967" s="1003"/>
    </row>
    <row r="968" spans="2:16" x14ac:dyDescent="0.25">
      <c r="B968" s="998"/>
      <c r="C968" s="1005" t="s">
        <v>78</v>
      </c>
      <c r="D968" s="61" t="s">
        <v>79</v>
      </c>
      <c r="E968" s="62">
        <v>0</v>
      </c>
      <c r="F968" s="63">
        <f t="shared" ref="F968:F987" si="765">G968+H968</f>
        <v>0</v>
      </c>
      <c r="G968" s="63">
        <v>0</v>
      </c>
      <c r="H968" s="64">
        <v>0</v>
      </c>
      <c r="I968" s="79">
        <f t="shared" si="759"/>
        <v>16343</v>
      </c>
      <c r="J968" s="4">
        <f t="shared" si="760"/>
        <v>16000</v>
      </c>
      <c r="K968" s="4">
        <f t="shared" ref="K968:K987" si="766">H968+K903</f>
        <v>343</v>
      </c>
      <c r="L968" s="65" t="e">
        <f t="shared" si="762"/>
        <v>#DIV/0!</v>
      </c>
      <c r="M968" s="66">
        <v>41.992699999999999</v>
      </c>
      <c r="N968" s="67">
        <f t="shared" si="763"/>
        <v>0</v>
      </c>
      <c r="O968" s="67">
        <f t="shared" si="764"/>
        <v>671883.2</v>
      </c>
      <c r="P968" s="1003"/>
    </row>
    <row r="969" spans="2:16" x14ac:dyDescent="0.25">
      <c r="B969" s="998"/>
      <c r="C969" s="1006"/>
      <c r="D969" s="61" t="s">
        <v>72</v>
      </c>
      <c r="E969" s="62">
        <v>0</v>
      </c>
      <c r="F969" s="63">
        <f t="shared" si="765"/>
        <v>0</v>
      </c>
      <c r="G969" s="63">
        <v>0</v>
      </c>
      <c r="H969" s="64">
        <v>0</v>
      </c>
      <c r="I969" s="79">
        <f t="shared" si="759"/>
        <v>0</v>
      </c>
      <c r="J969" s="4">
        <f t="shared" si="760"/>
        <v>0</v>
      </c>
      <c r="K969" s="4">
        <f t="shared" si="766"/>
        <v>0</v>
      </c>
      <c r="L969" s="65" t="e">
        <f t="shared" si="762"/>
        <v>#DIV/0!</v>
      </c>
      <c r="M969" s="66">
        <v>42.283799999999999</v>
      </c>
      <c r="N969" s="67">
        <f t="shared" si="763"/>
        <v>0</v>
      </c>
      <c r="O969" s="67">
        <f t="shared" si="764"/>
        <v>0</v>
      </c>
      <c r="P969" s="1003"/>
    </row>
    <row r="970" spans="2:16" x14ac:dyDescent="0.25">
      <c r="B970" s="998"/>
      <c r="C970" s="212" t="s">
        <v>80</v>
      </c>
      <c r="D970" s="61" t="s">
        <v>81</v>
      </c>
      <c r="E970" s="62">
        <v>0</v>
      </c>
      <c r="F970" s="63">
        <f t="shared" si="765"/>
        <v>0</v>
      </c>
      <c r="G970" s="63">
        <v>0</v>
      </c>
      <c r="H970" s="64">
        <v>0</v>
      </c>
      <c r="I970" s="79">
        <f t="shared" si="759"/>
        <v>24803</v>
      </c>
      <c r="J970" s="4">
        <f t="shared" si="760"/>
        <v>24000</v>
      </c>
      <c r="K970" s="4">
        <f t="shared" si="766"/>
        <v>803</v>
      </c>
      <c r="L970" s="65" t="e">
        <f t="shared" si="762"/>
        <v>#DIV/0!</v>
      </c>
      <c r="M970" s="66">
        <v>4.3535000000000004</v>
      </c>
      <c r="N970" s="67">
        <f t="shared" si="763"/>
        <v>0</v>
      </c>
      <c r="O970" s="67">
        <f t="shared" si="764"/>
        <v>104484.00000000001</v>
      </c>
      <c r="P970" s="1003"/>
    </row>
    <row r="971" spans="2:16" x14ac:dyDescent="0.25">
      <c r="B971" s="998"/>
      <c r="C971" s="1001" t="s">
        <v>82</v>
      </c>
      <c r="D971" s="61" t="s">
        <v>77</v>
      </c>
      <c r="E971" s="62">
        <v>0</v>
      </c>
      <c r="F971" s="63">
        <f t="shared" si="765"/>
        <v>0</v>
      </c>
      <c r="G971" s="63">
        <v>0</v>
      </c>
      <c r="H971" s="64">
        <v>0</v>
      </c>
      <c r="I971" s="79">
        <f t="shared" si="759"/>
        <v>0</v>
      </c>
      <c r="J971" s="4">
        <f t="shared" si="760"/>
        <v>0</v>
      </c>
      <c r="K971" s="4">
        <f t="shared" si="766"/>
        <v>0</v>
      </c>
      <c r="L971" s="65" t="e">
        <f t="shared" si="762"/>
        <v>#DIV/0!</v>
      </c>
      <c r="M971" s="66">
        <v>4.6184000000000003</v>
      </c>
      <c r="N971" s="67">
        <f t="shared" si="763"/>
        <v>0</v>
      </c>
      <c r="O971" s="67">
        <f>M971*J971</f>
        <v>0</v>
      </c>
      <c r="P971" s="1003"/>
    </row>
    <row r="972" spans="2:16" x14ac:dyDescent="0.25">
      <c r="B972" s="998"/>
      <c r="C972" s="1001"/>
      <c r="D972" s="61" t="s">
        <v>119</v>
      </c>
      <c r="E972" s="62">
        <v>0</v>
      </c>
      <c r="F972" s="63">
        <f t="shared" si="765"/>
        <v>9582</v>
      </c>
      <c r="G972" s="63">
        <v>9200</v>
      </c>
      <c r="H972" s="64">
        <v>382</v>
      </c>
      <c r="I972" s="79">
        <f>J972+K972</f>
        <v>9582</v>
      </c>
      <c r="J972" s="4">
        <f t="shared" si="760"/>
        <v>9200</v>
      </c>
      <c r="K972" s="4">
        <f t="shared" si="766"/>
        <v>382</v>
      </c>
      <c r="L972" s="65" t="e">
        <f t="shared" si="762"/>
        <v>#DIV/0!</v>
      </c>
      <c r="M972" s="153">
        <v>4.6184000000000003</v>
      </c>
      <c r="N972" s="67">
        <f t="shared" si="763"/>
        <v>42489.280000000006</v>
      </c>
      <c r="O972" s="67">
        <f>M972*J972</f>
        <v>42489.280000000006</v>
      </c>
      <c r="P972" s="1003"/>
    </row>
    <row r="973" spans="2:16" x14ac:dyDescent="0.25">
      <c r="B973" s="998"/>
      <c r="C973" s="1001"/>
      <c r="D973" s="61" t="s">
        <v>123</v>
      </c>
      <c r="E973" s="62">
        <v>0</v>
      </c>
      <c r="F973" s="63">
        <f t="shared" si="765"/>
        <v>0</v>
      </c>
      <c r="G973" s="63">
        <v>0</v>
      </c>
      <c r="H973" s="64">
        <v>0</v>
      </c>
      <c r="I973" s="79">
        <f t="shared" ref="I973:I987" si="767">J973+K973</f>
        <v>0</v>
      </c>
      <c r="J973" s="4">
        <f t="shared" si="760"/>
        <v>0</v>
      </c>
      <c r="K973" s="4">
        <f t="shared" si="766"/>
        <v>0</v>
      </c>
      <c r="L973" s="65" t="e">
        <f t="shared" si="762"/>
        <v>#DIV/0!</v>
      </c>
      <c r="M973" s="153">
        <v>4.6184000000000003</v>
      </c>
      <c r="N973" s="67">
        <f t="shared" si="763"/>
        <v>0</v>
      </c>
      <c r="O973" s="67">
        <f t="shared" ref="O973:O978" si="768">M973*J973</f>
        <v>0</v>
      </c>
      <c r="P973" s="1003"/>
    </row>
    <row r="974" spans="2:16" x14ac:dyDescent="0.25">
      <c r="B974" s="998"/>
      <c r="C974" s="1001"/>
      <c r="D974" s="61" t="s">
        <v>124</v>
      </c>
      <c r="E974" s="62">
        <v>0</v>
      </c>
      <c r="F974" s="63">
        <f t="shared" si="765"/>
        <v>0</v>
      </c>
      <c r="G974" s="63">
        <v>0</v>
      </c>
      <c r="H974" s="64">
        <v>0</v>
      </c>
      <c r="I974" s="79">
        <f t="shared" si="767"/>
        <v>281684</v>
      </c>
      <c r="J974" s="4">
        <f t="shared" si="760"/>
        <v>274275</v>
      </c>
      <c r="K974" s="4">
        <f t="shared" si="766"/>
        <v>7409</v>
      </c>
      <c r="L974" s="65" t="e">
        <f t="shared" si="762"/>
        <v>#DIV/0!</v>
      </c>
      <c r="M974" s="153">
        <v>4.7636000000000003</v>
      </c>
      <c r="N974" s="67">
        <f t="shared" si="763"/>
        <v>0</v>
      </c>
      <c r="O974" s="67">
        <f t="shared" si="768"/>
        <v>1306536.3900000001</v>
      </c>
      <c r="P974" s="1003"/>
    </row>
    <row r="975" spans="2:16" x14ac:dyDescent="0.25">
      <c r="B975" s="998"/>
      <c r="C975" s="1001"/>
      <c r="D975" s="61" t="s">
        <v>83</v>
      </c>
      <c r="E975" s="62">
        <v>0</v>
      </c>
      <c r="F975" s="63">
        <f t="shared" si="765"/>
        <v>0</v>
      </c>
      <c r="G975" s="63">
        <v>0</v>
      </c>
      <c r="H975" s="64">
        <v>0</v>
      </c>
      <c r="I975" s="79">
        <f t="shared" si="767"/>
        <v>0</v>
      </c>
      <c r="J975" s="4">
        <f t="shared" si="760"/>
        <v>0</v>
      </c>
      <c r="K975" s="4">
        <f t="shared" si="766"/>
        <v>0</v>
      </c>
      <c r="L975" s="65" t="e">
        <f t="shared" si="762"/>
        <v>#DIV/0!</v>
      </c>
      <c r="M975" s="66">
        <v>4.8738000000000001</v>
      </c>
      <c r="N975" s="67">
        <f t="shared" si="763"/>
        <v>0</v>
      </c>
      <c r="O975" s="67">
        <f t="shared" si="768"/>
        <v>0</v>
      </c>
      <c r="P975" s="1003"/>
    </row>
    <row r="976" spans="2:16" x14ac:dyDescent="0.25">
      <c r="B976" s="998"/>
      <c r="C976" s="212" t="s">
        <v>128</v>
      </c>
      <c r="D976" s="61" t="s">
        <v>124</v>
      </c>
      <c r="E976" s="62"/>
      <c r="F976" s="63">
        <f t="shared" si="765"/>
        <v>0</v>
      </c>
      <c r="G976" s="63">
        <v>0</v>
      </c>
      <c r="H976" s="64">
        <v>0</v>
      </c>
      <c r="I976" s="79">
        <f t="shared" si="767"/>
        <v>0</v>
      </c>
      <c r="J976" s="4">
        <f t="shared" si="760"/>
        <v>0</v>
      </c>
      <c r="K976" s="4">
        <f t="shared" si="766"/>
        <v>0</v>
      </c>
      <c r="L976" s="65"/>
      <c r="M976" s="66">
        <v>4.8738000000000001</v>
      </c>
      <c r="N976" s="67">
        <f t="shared" si="763"/>
        <v>0</v>
      </c>
      <c r="O976" s="67">
        <f t="shared" si="768"/>
        <v>0</v>
      </c>
      <c r="P976" s="1003"/>
    </row>
    <row r="977" spans="2:16" x14ac:dyDescent="0.25">
      <c r="B977" s="998"/>
      <c r="C977" s="1001" t="s">
        <v>84</v>
      </c>
      <c r="D977" s="61" t="s">
        <v>77</v>
      </c>
      <c r="E977" s="62">
        <v>0</v>
      </c>
      <c r="F977" s="63">
        <f t="shared" si="765"/>
        <v>0</v>
      </c>
      <c r="G977" s="63">
        <v>0</v>
      </c>
      <c r="H977" s="64">
        <v>0</v>
      </c>
      <c r="I977" s="79">
        <f t="shared" si="767"/>
        <v>197600</v>
      </c>
      <c r="J977" s="4">
        <f t="shared" si="760"/>
        <v>194950</v>
      </c>
      <c r="K977" s="4">
        <f t="shared" si="766"/>
        <v>2650</v>
      </c>
      <c r="L977" s="65" t="e">
        <f t="shared" ref="L977:L987" si="769">+J977/E977</f>
        <v>#DIV/0!</v>
      </c>
      <c r="M977" s="66">
        <v>4.9344999999999999</v>
      </c>
      <c r="N977" s="67">
        <f t="shared" si="763"/>
        <v>0</v>
      </c>
      <c r="O977" s="67">
        <f t="shared" si="768"/>
        <v>961980.77500000002</v>
      </c>
      <c r="P977" s="1003"/>
    </row>
    <row r="978" spans="2:16" x14ac:dyDescent="0.25">
      <c r="B978" s="998"/>
      <c r="C978" s="1001"/>
      <c r="D978" s="61" t="s">
        <v>135</v>
      </c>
      <c r="E978" s="62"/>
      <c r="F978" s="63">
        <f t="shared" si="765"/>
        <v>18296</v>
      </c>
      <c r="G978" s="63">
        <v>18000</v>
      </c>
      <c r="H978" s="64">
        <v>296</v>
      </c>
      <c r="I978" s="79">
        <f t="shared" si="767"/>
        <v>61578</v>
      </c>
      <c r="J978" s="4">
        <f t="shared" si="760"/>
        <v>58500</v>
      </c>
      <c r="K978" s="4">
        <f t="shared" si="766"/>
        <v>3078</v>
      </c>
      <c r="L978" s="65" t="e">
        <f t="shared" si="769"/>
        <v>#DIV/0!</v>
      </c>
      <c r="M978" s="66">
        <v>4.9344999999999999</v>
      </c>
      <c r="N978" s="67">
        <f t="shared" si="763"/>
        <v>88821</v>
      </c>
      <c r="O978" s="67">
        <f t="shared" si="768"/>
        <v>288668.25</v>
      </c>
      <c r="P978" s="1003"/>
    </row>
    <row r="979" spans="2:16" x14ac:dyDescent="0.25">
      <c r="B979" s="998"/>
      <c r="C979" s="1001"/>
      <c r="D979" s="61" t="s">
        <v>129</v>
      </c>
      <c r="E979" s="62">
        <v>0</v>
      </c>
      <c r="F979" s="63">
        <f t="shared" si="765"/>
        <v>0</v>
      </c>
      <c r="G979" s="155">
        <v>0</v>
      </c>
      <c r="H979" s="156">
        <v>0</v>
      </c>
      <c r="I979" s="157">
        <f t="shared" si="767"/>
        <v>0</v>
      </c>
      <c r="J979" s="4">
        <f t="shared" si="760"/>
        <v>0</v>
      </c>
      <c r="K979" s="4">
        <f t="shared" si="766"/>
        <v>0</v>
      </c>
      <c r="L979" s="158" t="e">
        <f t="shared" si="769"/>
        <v>#DIV/0!</v>
      </c>
      <c r="M979" s="66">
        <v>4.9344999999999999</v>
      </c>
      <c r="N979" s="159">
        <f t="shared" si="763"/>
        <v>0</v>
      </c>
      <c r="O979" s="67">
        <f>M979*J979</f>
        <v>0</v>
      </c>
      <c r="P979" s="1003"/>
    </row>
    <row r="980" spans="2:16" x14ac:dyDescent="0.25">
      <c r="B980" s="998"/>
      <c r="C980" s="1001" t="s">
        <v>85</v>
      </c>
      <c r="D980" s="61" t="s">
        <v>77</v>
      </c>
      <c r="E980" s="62">
        <v>0</v>
      </c>
      <c r="F980" s="63">
        <f t="shared" si="765"/>
        <v>0</v>
      </c>
      <c r="G980" s="63">
        <v>0</v>
      </c>
      <c r="H980" s="64">
        <v>0</v>
      </c>
      <c r="I980" s="79">
        <f t="shared" si="767"/>
        <v>138276</v>
      </c>
      <c r="J980" s="4">
        <f t="shared" si="760"/>
        <v>130950</v>
      </c>
      <c r="K980" s="4">
        <f t="shared" si="766"/>
        <v>7326</v>
      </c>
      <c r="L980" s="65" t="e">
        <f t="shared" si="769"/>
        <v>#DIV/0!</v>
      </c>
      <c r="M980" s="148">
        <v>5.5069999999999997</v>
      </c>
      <c r="N980" s="67">
        <f t="shared" si="763"/>
        <v>0</v>
      </c>
      <c r="O980" s="67">
        <f>M980*J980</f>
        <v>721141.64999999991</v>
      </c>
      <c r="P980" s="1003"/>
    </row>
    <row r="981" spans="2:16" x14ac:dyDescent="0.25">
      <c r="B981" s="998"/>
      <c r="C981" s="1001"/>
      <c r="D981" s="61" t="s">
        <v>112</v>
      </c>
      <c r="E981" s="62">
        <v>0</v>
      </c>
      <c r="F981" s="63">
        <f t="shared" si="765"/>
        <v>10862</v>
      </c>
      <c r="G981" s="63">
        <v>10350</v>
      </c>
      <c r="H981" s="64">
        <v>512</v>
      </c>
      <c r="I981" s="79">
        <f t="shared" si="767"/>
        <v>95744</v>
      </c>
      <c r="J981" s="4">
        <f t="shared" si="760"/>
        <v>92250</v>
      </c>
      <c r="K981" s="4">
        <f t="shared" si="766"/>
        <v>3494</v>
      </c>
      <c r="L981" s="65" t="e">
        <f t="shared" si="769"/>
        <v>#DIV/0!</v>
      </c>
      <c r="M981" s="147">
        <v>5.6550000000000002</v>
      </c>
      <c r="N981" s="67">
        <f t="shared" si="763"/>
        <v>58529.25</v>
      </c>
      <c r="O981" s="67">
        <f>M981*J981</f>
        <v>521673.75</v>
      </c>
      <c r="P981" s="1003"/>
    </row>
    <row r="982" spans="2:16" x14ac:dyDescent="0.25">
      <c r="B982" s="998"/>
      <c r="C982" s="1001"/>
      <c r="D982" s="61" t="s">
        <v>118</v>
      </c>
      <c r="E982" s="62">
        <v>0</v>
      </c>
      <c r="F982" s="63">
        <f t="shared" si="765"/>
        <v>0</v>
      </c>
      <c r="G982" s="63">
        <v>0</v>
      </c>
      <c r="H982" s="64">
        <v>0</v>
      </c>
      <c r="I982" s="79">
        <f t="shared" si="767"/>
        <v>0</v>
      </c>
      <c r="J982" s="4">
        <f t="shared" si="760"/>
        <v>0</v>
      </c>
      <c r="K982" s="4">
        <f t="shared" si="766"/>
        <v>0</v>
      </c>
      <c r="L982" s="65" t="e">
        <f t="shared" si="769"/>
        <v>#DIV/0!</v>
      </c>
      <c r="M982" s="152">
        <v>5.6550000000000002</v>
      </c>
      <c r="N982" s="67">
        <f t="shared" si="763"/>
        <v>0</v>
      </c>
      <c r="O982" s="67">
        <f>M982*J982</f>
        <v>0</v>
      </c>
      <c r="P982" s="1003"/>
    </row>
    <row r="983" spans="2:16" x14ac:dyDescent="0.25">
      <c r="B983" s="998"/>
      <c r="C983" s="1001"/>
      <c r="D983" s="61" t="s">
        <v>121</v>
      </c>
      <c r="E983" s="62">
        <v>0</v>
      </c>
      <c r="F983" s="63">
        <f t="shared" si="765"/>
        <v>0</v>
      </c>
      <c r="G983" s="63">
        <v>0</v>
      </c>
      <c r="H983" s="64">
        <v>0</v>
      </c>
      <c r="I983" s="79">
        <f t="shared" si="767"/>
        <v>28324</v>
      </c>
      <c r="J983" s="4">
        <f t="shared" si="760"/>
        <v>26710</v>
      </c>
      <c r="K983" s="4">
        <f t="shared" si="766"/>
        <v>1614</v>
      </c>
      <c r="L983" s="65" t="e">
        <f t="shared" si="769"/>
        <v>#DIV/0!</v>
      </c>
      <c r="M983" s="66">
        <v>5.7885299999999997</v>
      </c>
      <c r="N983" s="67">
        <f>+M983*G983</f>
        <v>0</v>
      </c>
      <c r="O983" s="67">
        <f>M983*J983</f>
        <v>154611.63629999998</v>
      </c>
      <c r="P983" s="1003"/>
    </row>
    <row r="984" spans="2:16" x14ac:dyDescent="0.25">
      <c r="B984" s="998"/>
      <c r="C984" s="1001"/>
      <c r="D984" s="61" t="s">
        <v>136</v>
      </c>
      <c r="E984" s="62">
        <v>0</v>
      </c>
      <c r="F984" s="63">
        <f t="shared" si="765"/>
        <v>0</v>
      </c>
      <c r="G984" s="63">
        <v>0</v>
      </c>
      <c r="H984" s="64">
        <v>0</v>
      </c>
      <c r="I984" s="79">
        <f t="shared" si="767"/>
        <v>0</v>
      </c>
      <c r="J984" s="4">
        <f t="shared" si="760"/>
        <v>0</v>
      </c>
      <c r="K984" s="4">
        <f t="shared" si="766"/>
        <v>0</v>
      </c>
      <c r="L984" s="65" t="e">
        <f t="shared" si="769"/>
        <v>#DIV/0!</v>
      </c>
      <c r="M984" s="152">
        <v>5.6550000000000002</v>
      </c>
      <c r="N984" s="67">
        <f t="shared" ref="N984:N986" si="770">+M984*G984</f>
        <v>0</v>
      </c>
      <c r="O984" s="67">
        <f t="shared" ref="O984:O987" si="771">M984*J984</f>
        <v>0</v>
      </c>
      <c r="P984" s="1003"/>
    </row>
    <row r="985" spans="2:16" x14ac:dyDescent="0.25">
      <c r="B985" s="998"/>
      <c r="C985" s="212" t="s">
        <v>86</v>
      </c>
      <c r="D985" s="61" t="s">
        <v>77</v>
      </c>
      <c r="E985" s="62">
        <v>0</v>
      </c>
      <c r="F985" s="63">
        <f t="shared" si="765"/>
        <v>0</v>
      </c>
      <c r="G985" s="63">
        <v>0</v>
      </c>
      <c r="H985" s="64">
        <v>0</v>
      </c>
      <c r="I985" s="79">
        <f t="shared" si="767"/>
        <v>0</v>
      </c>
      <c r="J985" s="4">
        <f t="shared" si="760"/>
        <v>0</v>
      </c>
      <c r="K985" s="4">
        <f t="shared" si="766"/>
        <v>0</v>
      </c>
      <c r="L985" s="65" t="e">
        <f t="shared" si="769"/>
        <v>#DIV/0!</v>
      </c>
      <c r="M985" s="66">
        <v>3.2963</v>
      </c>
      <c r="N985" s="67">
        <f t="shared" si="770"/>
        <v>0</v>
      </c>
      <c r="O985" s="67">
        <f t="shared" si="771"/>
        <v>0</v>
      </c>
      <c r="P985" s="1003"/>
    </row>
    <row r="986" spans="2:16" x14ac:dyDescent="0.25">
      <c r="B986" s="998"/>
      <c r="C986" s="212" t="s">
        <v>87</v>
      </c>
      <c r="D986" s="61" t="s">
        <v>77</v>
      </c>
      <c r="E986" s="62">
        <v>0</v>
      </c>
      <c r="F986" s="63">
        <f t="shared" si="765"/>
        <v>0</v>
      </c>
      <c r="G986" s="63">
        <v>0</v>
      </c>
      <c r="H986" s="64">
        <v>0</v>
      </c>
      <c r="I986" s="79">
        <f t="shared" si="767"/>
        <v>0</v>
      </c>
      <c r="J986" s="4">
        <f t="shared" si="760"/>
        <v>0</v>
      </c>
      <c r="K986" s="4">
        <f t="shared" si="766"/>
        <v>0</v>
      </c>
      <c r="L986" s="65" t="e">
        <f t="shared" si="769"/>
        <v>#DIV/0!</v>
      </c>
      <c r="M986" s="66">
        <v>3.2963</v>
      </c>
      <c r="N986" s="67">
        <f t="shared" si="770"/>
        <v>0</v>
      </c>
      <c r="O986" s="67">
        <f t="shared" si="771"/>
        <v>0</v>
      </c>
      <c r="P986" s="1003"/>
    </row>
    <row r="987" spans="2:16" ht="15.75" thickBot="1" x14ac:dyDescent="0.3">
      <c r="B987" s="998"/>
      <c r="C987" s="68" t="s">
        <v>88</v>
      </c>
      <c r="D987" s="69" t="s">
        <v>89</v>
      </c>
      <c r="E987" s="70">
        <v>0</v>
      </c>
      <c r="F987" s="71">
        <f t="shared" si="765"/>
        <v>0</v>
      </c>
      <c r="G987" s="71">
        <v>0</v>
      </c>
      <c r="H987" s="72">
        <v>0</v>
      </c>
      <c r="I987" s="80">
        <f t="shared" si="767"/>
        <v>65030</v>
      </c>
      <c r="J987" s="4">
        <f t="shared" si="760"/>
        <v>65000</v>
      </c>
      <c r="K987" s="4">
        <f t="shared" si="766"/>
        <v>30</v>
      </c>
      <c r="L987" s="65" t="e">
        <f t="shared" si="769"/>
        <v>#DIV/0!</v>
      </c>
      <c r="M987" s="73">
        <v>2.3201000000000001</v>
      </c>
      <c r="N987" s="74">
        <f t="shared" ref="N987" si="772">M987*G987</f>
        <v>0</v>
      </c>
      <c r="O987" s="74">
        <f t="shared" si="771"/>
        <v>150806.5</v>
      </c>
      <c r="P987" s="1004"/>
    </row>
    <row r="988" spans="2:16" ht="15.75" thickBot="1" x14ac:dyDescent="0.3">
      <c r="B988" s="999"/>
      <c r="C988" s="1007" t="s">
        <v>99</v>
      </c>
      <c r="D988" s="1008"/>
      <c r="E988" s="1008"/>
      <c r="F988" s="1008"/>
      <c r="G988" s="1008"/>
      <c r="H988" s="1009"/>
      <c r="I988" s="116">
        <f>J988+K988</f>
        <v>1040384</v>
      </c>
      <c r="J988" s="115">
        <f>SUM(J960:J987)</f>
        <v>1011255</v>
      </c>
      <c r="K988" s="115">
        <f>SUM(K960:K987)</f>
        <v>29129</v>
      </c>
      <c r="L988" s="114"/>
      <c r="M988" s="113"/>
      <c r="N988" s="114"/>
      <c r="O988" s="97">
        <f>SUM(O960:O987)</f>
        <v>9738792.8593000006</v>
      </c>
      <c r="P988" s="96"/>
    </row>
    <row r="989" spans="2:16" ht="15.75" thickBot="1" x14ac:dyDescent="0.3">
      <c r="B989" s="100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2"/>
    </row>
    <row r="990" spans="2:16" ht="15.75" thickBot="1" x14ac:dyDescent="0.3">
      <c r="B990" s="992" t="s">
        <v>100</v>
      </c>
      <c r="C990" s="993"/>
      <c r="D990" s="993"/>
      <c r="E990" s="993"/>
      <c r="F990" s="993"/>
      <c r="G990" s="993"/>
      <c r="H990" s="993"/>
      <c r="I990" s="993"/>
      <c r="J990" s="993"/>
      <c r="K990" s="993"/>
      <c r="L990" s="993"/>
      <c r="M990" s="993"/>
      <c r="N990" s="994"/>
      <c r="O990" s="103">
        <f>+O988+O959+O944</f>
        <v>21158258.021300003</v>
      </c>
      <c r="P990" s="96"/>
    </row>
    <row r="991" spans="2:16" ht="15.75" thickBot="1" x14ac:dyDescent="0.3"/>
    <row r="992" spans="2:16" x14ac:dyDescent="0.25">
      <c r="B992" s="1026" t="s">
        <v>1</v>
      </c>
      <c r="C992" s="1028" t="s">
        <v>2</v>
      </c>
      <c r="D992" s="1031" t="s">
        <v>3</v>
      </c>
      <c r="E992" s="1034" t="s">
        <v>4</v>
      </c>
      <c r="F992" s="1035"/>
      <c r="G992" s="1035"/>
      <c r="H992" s="1035"/>
      <c r="I992" s="1035"/>
      <c r="J992" s="1035"/>
      <c r="K992" s="1035"/>
      <c r="L992" s="1036"/>
      <c r="M992" s="1037" t="s">
        <v>5</v>
      </c>
      <c r="N992" s="1038"/>
      <c r="O992" s="1039"/>
      <c r="P992" s="1031" t="s">
        <v>6</v>
      </c>
    </row>
    <row r="993" spans="2:16" x14ac:dyDescent="0.25">
      <c r="B993" s="1027"/>
      <c r="C993" s="1029"/>
      <c r="D993" s="1032"/>
      <c r="E993" s="1040" t="s">
        <v>7</v>
      </c>
      <c r="F993" s="1042" t="s">
        <v>155</v>
      </c>
      <c r="G993" s="1042"/>
      <c r="H993" s="1043"/>
      <c r="I993" s="1044" t="s">
        <v>8</v>
      </c>
      <c r="J993" s="1042"/>
      <c r="K993" s="1042"/>
      <c r="L993" s="1043" t="s">
        <v>9</v>
      </c>
      <c r="M993" s="1046" t="s">
        <v>10</v>
      </c>
      <c r="N993" s="1048" t="s">
        <v>11</v>
      </c>
      <c r="O993" s="1050" t="s">
        <v>12</v>
      </c>
      <c r="P993" s="1032"/>
    </row>
    <row r="994" spans="2:16" ht="15.75" thickBot="1" x14ac:dyDescent="0.3">
      <c r="B994" s="1027"/>
      <c r="C994" s="1030"/>
      <c r="D994" s="1033"/>
      <c r="E994" s="1041"/>
      <c r="F994" s="2" t="s">
        <v>13</v>
      </c>
      <c r="G994" s="2" t="s">
        <v>14</v>
      </c>
      <c r="H994" s="219" t="s">
        <v>15</v>
      </c>
      <c r="I994" s="142" t="s">
        <v>13</v>
      </c>
      <c r="J994" s="2" t="s">
        <v>14</v>
      </c>
      <c r="K994" s="2" t="s">
        <v>15</v>
      </c>
      <c r="L994" s="1045"/>
      <c r="M994" s="1047"/>
      <c r="N994" s="1049"/>
      <c r="O994" s="1051"/>
      <c r="P994" s="1033"/>
    </row>
    <row r="995" spans="2:16" x14ac:dyDescent="0.25">
      <c r="B995" s="1010" t="s">
        <v>53</v>
      </c>
      <c r="C995" s="29"/>
      <c r="D995" s="117" t="s">
        <v>143</v>
      </c>
      <c r="E995" s="98">
        <v>0</v>
      </c>
      <c r="F995" s="4">
        <f>+G995+H995</f>
        <v>45480</v>
      </c>
      <c r="G995" s="4">
        <v>44240</v>
      </c>
      <c r="H995" s="8">
        <v>1240</v>
      </c>
      <c r="I995" s="6">
        <f>J995+K995</f>
        <v>484326</v>
      </c>
      <c r="J995" s="4">
        <f>G995+J930</f>
        <v>475160</v>
      </c>
      <c r="K995" s="4">
        <f>H995+K930</f>
        <v>9166</v>
      </c>
      <c r="L995" s="33" t="e">
        <f>+J995/E995</f>
        <v>#DIV/0!</v>
      </c>
      <c r="M995" s="104">
        <v>1.3652</v>
      </c>
      <c r="N995" s="31">
        <f>G995*M995</f>
        <v>60396.447999999997</v>
      </c>
      <c r="O995" s="86">
        <f>M995*J995</f>
        <v>648688.43200000003</v>
      </c>
      <c r="P995" s="1012"/>
    </row>
    <row r="996" spans="2:16" x14ac:dyDescent="0.25">
      <c r="B996" s="1011"/>
      <c r="C996" s="32"/>
      <c r="D996" s="118" t="s">
        <v>109</v>
      </c>
      <c r="E996" s="99">
        <v>0</v>
      </c>
      <c r="F996" s="9">
        <f>+G996+H996</f>
        <v>0</v>
      </c>
      <c r="G996" s="9">
        <v>0</v>
      </c>
      <c r="H996" s="10">
        <v>0</v>
      </c>
      <c r="I996" s="6">
        <f>J996+K996</f>
        <v>0</v>
      </c>
      <c r="J996" s="4">
        <f>+G996+J931</f>
        <v>0</v>
      </c>
      <c r="K996" s="4">
        <f>+H996+K931</f>
        <v>0</v>
      </c>
      <c r="L996" s="33"/>
      <c r="M996" s="105">
        <v>5.9917999999999996</v>
      </c>
      <c r="N996" s="34">
        <f>M996*G996</f>
        <v>0</v>
      </c>
      <c r="O996" s="87">
        <f>M996*J996</f>
        <v>0</v>
      </c>
      <c r="P996" s="1013"/>
    </row>
    <row r="997" spans="2:16" x14ac:dyDescent="0.25">
      <c r="B997" s="1011"/>
      <c r="C997" s="35"/>
      <c r="D997" s="119" t="s">
        <v>55</v>
      </c>
      <c r="E997" s="99">
        <v>0</v>
      </c>
      <c r="F997" s="9">
        <f t="shared" ref="F997:F1001" si="773">+G997+H997</f>
        <v>161248</v>
      </c>
      <c r="G997" s="9">
        <v>160250</v>
      </c>
      <c r="H997" s="10">
        <v>998</v>
      </c>
      <c r="I997" s="6">
        <f t="shared" ref="I997:I1001" si="774">J997+K997</f>
        <v>3002799</v>
      </c>
      <c r="J997" s="4">
        <f t="shared" ref="J997:J1001" si="775">+G997+J932</f>
        <v>2981000</v>
      </c>
      <c r="K997" s="4">
        <f t="shared" ref="K997:K1001" si="776">+H997+K932</f>
        <v>21799</v>
      </c>
      <c r="L997" s="33" t="e">
        <f t="shared" ref="L997" si="777">+J997/E997</f>
        <v>#DIV/0!</v>
      </c>
      <c r="M997" s="106">
        <v>2.3807999999999998</v>
      </c>
      <c r="N997" s="36">
        <f>G997*M997</f>
        <v>381523.19999999995</v>
      </c>
      <c r="O997" s="88">
        <f>M997*J997</f>
        <v>7097164.7999999998</v>
      </c>
      <c r="P997" s="1013"/>
    </row>
    <row r="998" spans="2:16" x14ac:dyDescent="0.25">
      <c r="B998" s="1011"/>
      <c r="C998" s="35"/>
      <c r="D998" s="119" t="s">
        <v>56</v>
      </c>
      <c r="E998" s="99">
        <v>0</v>
      </c>
      <c r="F998" s="9">
        <f t="shared" si="773"/>
        <v>0</v>
      </c>
      <c r="G998" s="9">
        <v>0</v>
      </c>
      <c r="H998" s="10">
        <v>0</v>
      </c>
      <c r="I998" s="6">
        <f t="shared" si="774"/>
        <v>0</v>
      </c>
      <c r="J998" s="4">
        <f t="shared" si="775"/>
        <v>0</v>
      </c>
      <c r="K998" s="4">
        <f t="shared" si="776"/>
        <v>0</v>
      </c>
      <c r="L998" s="33"/>
      <c r="M998" s="106">
        <v>2.1457999999999999</v>
      </c>
      <c r="N998" s="36">
        <f t="shared" ref="N998:N1001" si="778">G998*M998</f>
        <v>0</v>
      </c>
      <c r="O998" s="88">
        <f>M998*J998</f>
        <v>0</v>
      </c>
      <c r="P998" s="1013"/>
    </row>
    <row r="999" spans="2:16" x14ac:dyDescent="0.25">
      <c r="B999" s="1011"/>
      <c r="C999" s="35"/>
      <c r="D999" s="119" t="s">
        <v>106</v>
      </c>
      <c r="E999" s="99">
        <v>0</v>
      </c>
      <c r="F999" s="9">
        <f t="shared" si="773"/>
        <v>0</v>
      </c>
      <c r="G999" s="9">
        <v>0</v>
      </c>
      <c r="H999" s="10">
        <v>0</v>
      </c>
      <c r="I999" s="6">
        <f t="shared" si="774"/>
        <v>53280</v>
      </c>
      <c r="J999" s="4">
        <f t="shared" si="775"/>
        <v>42000</v>
      </c>
      <c r="K999" s="4">
        <f t="shared" si="776"/>
        <v>11280</v>
      </c>
      <c r="L999" s="33" t="e">
        <f t="shared" ref="L999:L1000" si="779">+J999/E999</f>
        <v>#DIV/0!</v>
      </c>
      <c r="M999" s="143">
        <v>4.0426000000000002</v>
      </c>
      <c r="N999" s="36">
        <f t="shared" si="778"/>
        <v>0</v>
      </c>
      <c r="O999" s="88">
        <f>M999*J999</f>
        <v>169789.2</v>
      </c>
      <c r="P999" s="1013"/>
    </row>
    <row r="1000" spans="2:16" x14ac:dyDescent="0.25">
      <c r="B1000" s="1011"/>
      <c r="C1000" s="35"/>
      <c r="D1000" s="119" t="s">
        <v>110</v>
      </c>
      <c r="E1000" s="99">
        <v>0</v>
      </c>
      <c r="F1000" s="9">
        <f t="shared" si="773"/>
        <v>0</v>
      </c>
      <c r="G1000" s="9">
        <v>0</v>
      </c>
      <c r="H1000" s="10">
        <v>0</v>
      </c>
      <c r="I1000" s="6">
        <f t="shared" si="774"/>
        <v>0</v>
      </c>
      <c r="J1000" s="4">
        <f t="shared" si="775"/>
        <v>0</v>
      </c>
      <c r="K1000" s="4">
        <f t="shared" si="776"/>
        <v>0</v>
      </c>
      <c r="L1000" s="33" t="e">
        <f t="shared" si="779"/>
        <v>#DIV/0!</v>
      </c>
      <c r="M1000" s="143">
        <v>3.8715000000000002</v>
      </c>
      <c r="N1000" s="36">
        <f t="shared" si="778"/>
        <v>0</v>
      </c>
      <c r="O1000" s="88">
        <f t="shared" ref="O1000:O1001" si="780">M1000*J1000</f>
        <v>0</v>
      </c>
      <c r="P1000" s="1013"/>
    </row>
    <row r="1001" spans="2:16" ht="15.75" thickBot="1" x14ac:dyDescent="0.3">
      <c r="B1001" s="1011"/>
      <c r="C1001" s="82"/>
      <c r="D1001" s="120" t="s">
        <v>57</v>
      </c>
      <c r="E1001" s="108">
        <v>0</v>
      </c>
      <c r="F1001" s="12">
        <f t="shared" si="773"/>
        <v>0</v>
      </c>
      <c r="G1001" s="12">
        <v>0</v>
      </c>
      <c r="H1001" s="13">
        <v>0</v>
      </c>
      <c r="I1001" s="21">
        <f t="shared" si="774"/>
        <v>0</v>
      </c>
      <c r="J1001" s="4">
        <f t="shared" si="775"/>
        <v>0</v>
      </c>
      <c r="K1001" s="4">
        <f t="shared" si="776"/>
        <v>0</v>
      </c>
      <c r="L1001" s="81"/>
      <c r="M1001" s="127">
        <v>12.284700000000001</v>
      </c>
      <c r="N1001" s="36">
        <f t="shared" si="778"/>
        <v>0</v>
      </c>
      <c r="O1001" s="128">
        <f t="shared" si="780"/>
        <v>0</v>
      </c>
      <c r="P1001" s="1013"/>
    </row>
    <row r="1002" spans="2:16" ht="15.75" thickBot="1" x14ac:dyDescent="0.3">
      <c r="B1002" s="1011"/>
      <c r="C1002" s="1016" t="s">
        <v>104</v>
      </c>
      <c r="D1002" s="1017"/>
      <c r="E1002" s="129"/>
      <c r="F1002" s="130">
        <f>SUM(F995:F1001)</f>
        <v>206728</v>
      </c>
      <c r="G1002" s="130">
        <f>SUM(G995:G1001)</f>
        <v>204490</v>
      </c>
      <c r="H1002" s="131">
        <f>SUM(H995:H1001)</f>
        <v>2238</v>
      </c>
      <c r="I1002" s="132">
        <f>+J1002+K1002</f>
        <v>3540405</v>
      </c>
      <c r="J1002" s="133">
        <f>SUM(J995:J1001)</f>
        <v>3498160</v>
      </c>
      <c r="K1002" s="133">
        <f>SUM(K995:K1001)</f>
        <v>42245</v>
      </c>
      <c r="L1002" s="134"/>
      <c r="M1002" s="135"/>
      <c r="N1002" s="136"/>
      <c r="O1002" s="137">
        <f>SUM(O995:O1001)</f>
        <v>7915642.432</v>
      </c>
      <c r="P1002" s="1014"/>
    </row>
    <row r="1003" spans="2:16" x14ac:dyDescent="0.25">
      <c r="B1003" s="1011"/>
      <c r="C1003" s="32"/>
      <c r="D1003" s="118" t="s">
        <v>58</v>
      </c>
      <c r="E1003" s="98">
        <v>0</v>
      </c>
      <c r="F1003" s="4">
        <f t="shared" ref="F1003:F1006" si="781">+G1003+H1003</f>
        <v>0</v>
      </c>
      <c r="G1003" s="4">
        <v>0</v>
      </c>
      <c r="H1003" s="8">
        <v>0</v>
      </c>
      <c r="I1003" s="6">
        <f t="shared" ref="I1003:I1007" si="782">J1003+K1003</f>
        <v>0</v>
      </c>
      <c r="J1003" s="4">
        <f>G1003+J938</f>
        <v>0</v>
      </c>
      <c r="K1003" s="4">
        <f>H1003+K938</f>
        <v>0</v>
      </c>
      <c r="L1003" s="33" t="e">
        <f t="shared" ref="L1003" si="783">+J1003/E1003</f>
        <v>#DIV/0!</v>
      </c>
      <c r="M1003" s="105">
        <v>12.029500000000001</v>
      </c>
      <c r="N1003" s="34">
        <f>M1003*G1003</f>
        <v>0</v>
      </c>
      <c r="O1003" s="87">
        <f t="shared" ref="O1003:O1005" si="784">M1003*J1003</f>
        <v>0</v>
      </c>
      <c r="P1003" s="1013"/>
    </row>
    <row r="1004" spans="2:16" x14ac:dyDescent="0.25">
      <c r="B1004" s="1011"/>
      <c r="C1004" s="35"/>
      <c r="D1004" s="119" t="s">
        <v>59</v>
      </c>
      <c r="E1004" s="99">
        <v>0</v>
      </c>
      <c r="F1004" s="9">
        <f t="shared" si="781"/>
        <v>0</v>
      </c>
      <c r="G1004" s="9">
        <v>0</v>
      </c>
      <c r="H1004" s="10">
        <v>0</v>
      </c>
      <c r="I1004" s="6">
        <f t="shared" si="782"/>
        <v>0</v>
      </c>
      <c r="J1004" s="4">
        <f>G1004+J939</f>
        <v>0</v>
      </c>
      <c r="K1004" s="4">
        <f>H1004+K939</f>
        <v>0</v>
      </c>
      <c r="L1004" s="33"/>
      <c r="M1004" s="106">
        <v>0</v>
      </c>
      <c r="N1004" s="36"/>
      <c r="O1004" s="88">
        <f t="shared" si="784"/>
        <v>0</v>
      </c>
      <c r="P1004" s="1013"/>
    </row>
    <row r="1005" spans="2:16" x14ac:dyDescent="0.25">
      <c r="B1005" s="1011"/>
      <c r="C1005" s="35"/>
      <c r="D1005" s="119" t="s">
        <v>97</v>
      </c>
      <c r="E1005" s="99">
        <v>0</v>
      </c>
      <c r="F1005" s="9">
        <f t="shared" si="781"/>
        <v>0</v>
      </c>
      <c r="G1005" s="9">
        <v>0</v>
      </c>
      <c r="H1005" s="10">
        <v>0</v>
      </c>
      <c r="I1005" s="6">
        <f t="shared" si="782"/>
        <v>0</v>
      </c>
      <c r="J1005" s="4">
        <f t="shared" ref="J1005:J1007" si="785">G1005+J940</f>
        <v>0</v>
      </c>
      <c r="K1005" s="4">
        <f t="shared" ref="K1005:K1007" si="786">H1005+K940</f>
        <v>0</v>
      </c>
      <c r="L1005" s="33" t="e">
        <f t="shared" ref="L1005:L1007" si="787">+J1005/E1005</f>
        <v>#DIV/0!</v>
      </c>
      <c r="M1005" s="106">
        <v>19.688600000000001</v>
      </c>
      <c r="N1005" s="36">
        <f>M1005*G1005</f>
        <v>0</v>
      </c>
      <c r="O1005" s="88">
        <f t="shared" si="784"/>
        <v>0</v>
      </c>
      <c r="P1005" s="1013"/>
    </row>
    <row r="1006" spans="2:16" x14ac:dyDescent="0.25">
      <c r="B1006" s="1011"/>
      <c r="C1006" s="35"/>
      <c r="D1006" s="119" t="s">
        <v>61</v>
      </c>
      <c r="E1006" s="99">
        <v>0</v>
      </c>
      <c r="F1006" s="9">
        <f t="shared" si="781"/>
        <v>0</v>
      </c>
      <c r="G1006" s="9">
        <v>0</v>
      </c>
      <c r="H1006" s="10">
        <v>0</v>
      </c>
      <c r="I1006" s="6">
        <f t="shared" si="782"/>
        <v>60000</v>
      </c>
      <c r="J1006" s="4">
        <f t="shared" si="785"/>
        <v>60000</v>
      </c>
      <c r="K1006" s="4">
        <f t="shared" si="786"/>
        <v>0</v>
      </c>
      <c r="L1006" s="33" t="e">
        <f t="shared" si="787"/>
        <v>#DIV/0!</v>
      </c>
      <c r="M1006" s="106">
        <v>1.2824</v>
      </c>
      <c r="N1006" s="151">
        <f>M1006*G1006</f>
        <v>0</v>
      </c>
      <c r="O1006" s="88">
        <f>M1006*J1006</f>
        <v>76944</v>
      </c>
      <c r="P1006" s="1013"/>
    </row>
    <row r="1007" spans="2:16" ht="15.75" thickBot="1" x14ac:dyDescent="0.3">
      <c r="B1007" s="1011"/>
      <c r="C1007" s="82"/>
      <c r="D1007" s="120" t="s">
        <v>60</v>
      </c>
      <c r="E1007" s="108">
        <v>0</v>
      </c>
      <c r="F1007" s="12">
        <v>0</v>
      </c>
      <c r="G1007" s="12">
        <v>12960</v>
      </c>
      <c r="H1007" s="13">
        <v>182</v>
      </c>
      <c r="I1007" s="21">
        <f t="shared" si="782"/>
        <v>96284</v>
      </c>
      <c r="J1007" s="4">
        <f t="shared" si="785"/>
        <v>95040</v>
      </c>
      <c r="K1007" s="4">
        <f t="shared" si="786"/>
        <v>1244</v>
      </c>
      <c r="L1007" s="81" t="e">
        <f t="shared" si="787"/>
        <v>#DIV/0!</v>
      </c>
      <c r="M1007" s="107">
        <v>18.2316</v>
      </c>
      <c r="N1007" s="75"/>
      <c r="O1007" s="89">
        <f t="shared" ref="O1007" si="788">M1007*J1007</f>
        <v>1732731.264</v>
      </c>
      <c r="P1007" s="1015"/>
    </row>
    <row r="1008" spans="2:16" ht="15.75" thickBot="1" x14ac:dyDescent="0.3">
      <c r="B1008" s="995" t="s">
        <v>105</v>
      </c>
      <c r="C1008" s="996"/>
      <c r="D1008" s="996"/>
      <c r="E1008" s="124"/>
      <c r="F1008" s="125">
        <f>+G1008+H1008</f>
        <v>13142</v>
      </c>
      <c r="G1008" s="125">
        <f>SUM(G1003:G1007)</f>
        <v>12960</v>
      </c>
      <c r="H1008" s="126">
        <f>SUM(H1003:H1007)</f>
        <v>182</v>
      </c>
      <c r="I1008" s="121">
        <f>J1008+K1008</f>
        <v>156284</v>
      </c>
      <c r="J1008" s="122">
        <f>SUM(J1003:J1007)</f>
        <v>155040</v>
      </c>
      <c r="K1008" s="123">
        <f>SUM(K1003:K1007)</f>
        <v>1244</v>
      </c>
      <c r="L1008" s="138"/>
      <c r="M1008" s="139"/>
      <c r="N1008" s="140"/>
      <c r="O1008" s="141">
        <f>SUM(O1003:O1007)</f>
        <v>1809675.264</v>
      </c>
      <c r="P1008" s="217"/>
    </row>
    <row r="1009" spans="2:16" ht="15.75" thickBot="1" x14ac:dyDescent="0.3">
      <c r="B1009" s="995" t="s">
        <v>98</v>
      </c>
      <c r="C1009" s="996"/>
      <c r="D1009" s="996"/>
      <c r="E1009" s="1018"/>
      <c r="F1009" s="1018"/>
      <c r="G1009" s="1018"/>
      <c r="H1009" s="1018"/>
      <c r="I1009" s="996"/>
      <c r="J1009" s="996"/>
      <c r="K1009" s="996"/>
      <c r="L1009" s="996"/>
      <c r="M1009" s="996"/>
      <c r="N1009" s="1019"/>
      <c r="O1009" s="83">
        <f>O1002+O1008</f>
        <v>9725317.6960000005</v>
      </c>
      <c r="P1009" s="217"/>
    </row>
    <row r="1010" spans="2:16" x14ac:dyDescent="0.25">
      <c r="B1010" s="1010" t="s">
        <v>62</v>
      </c>
      <c r="C1010" s="37" t="s">
        <v>63</v>
      </c>
      <c r="D1010" s="28" t="s">
        <v>64</v>
      </c>
      <c r="E1010" s="38">
        <v>0</v>
      </c>
      <c r="F1010" s="14">
        <f>+G1010+H1010</f>
        <v>0</v>
      </c>
      <c r="G1010" s="14">
        <v>0</v>
      </c>
      <c r="H1010" s="5">
        <v>0</v>
      </c>
      <c r="I1010" s="17">
        <f t="shared" ref="I1010:I1016" si="789">J1010+K1010</f>
        <v>0</v>
      </c>
      <c r="J1010" s="4">
        <f>G1010+J945</f>
        <v>0</v>
      </c>
      <c r="K1010" s="4">
        <f>H1010+K945</f>
        <v>0</v>
      </c>
      <c r="L1010" s="30" t="e">
        <f>+J1010/E1010</f>
        <v>#DIV/0!</v>
      </c>
      <c r="M1010" s="146">
        <v>2.2141000000000002</v>
      </c>
      <c r="N1010" s="15">
        <f>+M1010*G1010</f>
        <v>0</v>
      </c>
      <c r="O1010" s="90">
        <f>+M1010*J1010</f>
        <v>0</v>
      </c>
      <c r="P1010" s="1021"/>
    </row>
    <row r="1011" spans="2:16" x14ac:dyDescent="0.25">
      <c r="B1011" s="1011"/>
      <c r="C1011" s="39"/>
      <c r="D1011" s="22" t="s">
        <v>65</v>
      </c>
      <c r="E1011" s="3">
        <v>0</v>
      </c>
      <c r="F1011" s="9">
        <f t="shared" ref="F1011:F1016" si="790">+G1011+H1011</f>
        <v>0</v>
      </c>
      <c r="G1011" s="4">
        <v>0</v>
      </c>
      <c r="H1011" s="8">
        <v>0</v>
      </c>
      <c r="I1011" s="6">
        <f t="shared" si="789"/>
        <v>0</v>
      </c>
      <c r="J1011" s="4">
        <f>+G1011+J946</f>
        <v>0</v>
      </c>
      <c r="K1011" s="4">
        <f>+H1011+K946</f>
        <v>0</v>
      </c>
      <c r="L1011" s="40" t="e">
        <f t="shared" ref="L1011:L1012" si="791">+J1011/E1011</f>
        <v>#DIV/0!</v>
      </c>
      <c r="M1011" s="145">
        <v>2.4565999999999999</v>
      </c>
      <c r="N1011" s="11">
        <f t="shared" ref="N1011:N1013" si="792">+M1011*G1011</f>
        <v>0</v>
      </c>
      <c r="O1011" s="91">
        <f t="shared" ref="O1011:O1013" si="793">+M1011*J1011</f>
        <v>0</v>
      </c>
      <c r="P1011" s="1022"/>
    </row>
    <row r="1012" spans="2:16" x14ac:dyDescent="0.25">
      <c r="B1012" s="1011"/>
      <c r="C1012" s="39"/>
      <c r="D1012" s="23" t="s">
        <v>126</v>
      </c>
      <c r="E1012" s="3">
        <v>0</v>
      </c>
      <c r="F1012" s="9">
        <f t="shared" si="790"/>
        <v>0</v>
      </c>
      <c r="G1012" s="4">
        <v>0</v>
      </c>
      <c r="H1012" s="8">
        <v>0</v>
      </c>
      <c r="I1012" s="6">
        <f t="shared" si="789"/>
        <v>0</v>
      </c>
      <c r="J1012" s="4">
        <f t="shared" ref="J1012:J1013" si="794">+G1012+J947</f>
        <v>0</v>
      </c>
      <c r="K1012" s="4">
        <f t="shared" ref="K1012:K1016" si="795">+H1012+K947</f>
        <v>0</v>
      </c>
      <c r="L1012" s="40" t="e">
        <f t="shared" si="791"/>
        <v>#DIV/0!</v>
      </c>
      <c r="M1012" s="145">
        <v>2.2907000000000002</v>
      </c>
      <c r="N1012" s="11">
        <f t="shared" si="792"/>
        <v>0</v>
      </c>
      <c r="O1012" s="91">
        <f t="shared" si="793"/>
        <v>0</v>
      </c>
      <c r="P1012" s="1022"/>
    </row>
    <row r="1013" spans="2:16" x14ac:dyDescent="0.25">
      <c r="B1013" s="1011"/>
      <c r="C1013" s="39"/>
      <c r="D1013" s="22" t="s">
        <v>131</v>
      </c>
      <c r="E1013" s="3"/>
      <c r="F1013" s="9">
        <f t="shared" si="790"/>
        <v>0</v>
      </c>
      <c r="G1013" s="4">
        <v>0</v>
      </c>
      <c r="H1013" s="8">
        <v>0</v>
      </c>
      <c r="I1013" s="6">
        <f t="shared" si="789"/>
        <v>0</v>
      </c>
      <c r="J1013" s="4">
        <f t="shared" si="794"/>
        <v>0</v>
      </c>
      <c r="K1013" s="4">
        <f t="shared" si="795"/>
        <v>0</v>
      </c>
      <c r="L1013" s="33"/>
      <c r="M1013" s="150">
        <v>2.544</v>
      </c>
      <c r="N1013" s="11">
        <f t="shared" si="792"/>
        <v>0</v>
      </c>
      <c r="O1013" s="91">
        <f t="shared" si="793"/>
        <v>0</v>
      </c>
      <c r="P1013" s="1022"/>
    </row>
    <row r="1014" spans="2:16" x14ac:dyDescent="0.25">
      <c r="B1014" s="1011"/>
      <c r="C1014" s="39" t="s">
        <v>66</v>
      </c>
      <c r="D1014" s="22" t="s">
        <v>133</v>
      </c>
      <c r="E1014" s="3">
        <v>0</v>
      </c>
      <c r="F1014" s="9">
        <f t="shared" si="790"/>
        <v>0</v>
      </c>
      <c r="G1014" s="4">
        <v>0</v>
      </c>
      <c r="H1014" s="8">
        <v>0</v>
      </c>
      <c r="I1014" s="6">
        <f t="shared" si="789"/>
        <v>567947</v>
      </c>
      <c r="J1014" s="4">
        <f>+G1014+J949</f>
        <v>552750</v>
      </c>
      <c r="K1014" s="4">
        <f t="shared" si="795"/>
        <v>15197</v>
      </c>
      <c r="L1014" s="33" t="e">
        <f>+J1014/E1014</f>
        <v>#DIV/0!</v>
      </c>
      <c r="M1014" s="144">
        <v>2.2141000000000002</v>
      </c>
      <c r="N1014" s="7">
        <f>+M1014*G1014</f>
        <v>0</v>
      </c>
      <c r="O1014" s="85">
        <f>+M1014*J1014</f>
        <v>1223843.7750000001</v>
      </c>
      <c r="P1014" s="1022"/>
    </row>
    <row r="1015" spans="2:16" x14ac:dyDescent="0.25">
      <c r="B1015" s="1011"/>
      <c r="C1015" s="39"/>
      <c r="D1015" s="22" t="s">
        <v>65</v>
      </c>
      <c r="E1015" s="3">
        <v>0</v>
      </c>
      <c r="F1015" s="9">
        <f t="shared" si="790"/>
        <v>0</v>
      </c>
      <c r="G1015" s="4">
        <v>0</v>
      </c>
      <c r="H1015" s="8">
        <v>0</v>
      </c>
      <c r="I1015" s="6">
        <f t="shared" si="789"/>
        <v>0</v>
      </c>
      <c r="J1015" s="4">
        <f t="shared" ref="J1015:J1016" si="796">+G1015+J950</f>
        <v>0</v>
      </c>
      <c r="K1015" s="4">
        <f t="shared" si="795"/>
        <v>0</v>
      </c>
      <c r="L1015" s="40" t="e">
        <f t="shared" ref="L1015:L1016" si="797">+J1015/E1015</f>
        <v>#DIV/0!</v>
      </c>
      <c r="M1015" s="145">
        <v>2.4565999999999999</v>
      </c>
      <c r="N1015" s="11">
        <f t="shared" ref="N1015:N1016" si="798">+M1015*G1015</f>
        <v>0</v>
      </c>
      <c r="O1015" s="91">
        <f t="shared" ref="O1015" si="799">+M1015*J1015</f>
        <v>0</v>
      </c>
      <c r="P1015" s="1022"/>
    </row>
    <row r="1016" spans="2:16" ht="15.75" thickBot="1" x14ac:dyDescent="0.3">
      <c r="B1016" s="1011"/>
      <c r="C1016" s="39"/>
      <c r="D1016" s="22" t="s">
        <v>126</v>
      </c>
      <c r="E1016" s="3">
        <v>0</v>
      </c>
      <c r="F1016" s="9">
        <f t="shared" si="790"/>
        <v>0</v>
      </c>
      <c r="G1016" s="4">
        <v>0</v>
      </c>
      <c r="H1016" s="8">
        <v>0</v>
      </c>
      <c r="I1016" s="6">
        <f t="shared" si="789"/>
        <v>0</v>
      </c>
      <c r="J1016" s="4">
        <f t="shared" si="796"/>
        <v>0</v>
      </c>
      <c r="K1016" s="4">
        <f t="shared" si="795"/>
        <v>0</v>
      </c>
      <c r="L1016" s="40" t="e">
        <f t="shared" si="797"/>
        <v>#DIV/0!</v>
      </c>
      <c r="M1016" s="145">
        <v>2.2907000000000002</v>
      </c>
      <c r="N1016" s="11">
        <f t="shared" si="798"/>
        <v>0</v>
      </c>
      <c r="O1016" s="154">
        <f>+M1016*J1016</f>
        <v>0</v>
      </c>
      <c r="P1016" s="1023"/>
    </row>
    <row r="1017" spans="2:16" ht="15.75" thickBot="1" x14ac:dyDescent="0.3">
      <c r="B1017" s="1011"/>
      <c r="C1017" s="41" t="s">
        <v>29</v>
      </c>
      <c r="D1017" s="27" t="str">
        <f>+C1017</f>
        <v>TOTAL 1/2</v>
      </c>
      <c r="E1017" s="42">
        <f>SUM(E1010:E1016)</f>
        <v>0</v>
      </c>
      <c r="F1017" s="43">
        <f>SUM(F1010:F1016)</f>
        <v>0</v>
      </c>
      <c r="G1017" s="43">
        <f>SUM(G1010:G1016)</f>
        <v>0</v>
      </c>
      <c r="H1017" s="44">
        <f>SUM(H1010:H1016)</f>
        <v>0</v>
      </c>
      <c r="I1017" s="45">
        <f>SUM(I1014:I1016)</f>
        <v>567947</v>
      </c>
      <c r="J1017" s="43">
        <f>SUM(J1010:J1016)</f>
        <v>552750</v>
      </c>
      <c r="K1017" s="43">
        <f>SUM(K1010:K1016)</f>
        <v>15197</v>
      </c>
      <c r="L1017" s="46" t="e">
        <f>+J1017/E1017</f>
        <v>#DIV/0!</v>
      </c>
      <c r="M1017" s="47"/>
      <c r="N1017" s="48">
        <f>SUM(N1014:N1016)</f>
        <v>0</v>
      </c>
      <c r="O1017" s="49">
        <f>SUM(O1010:O1016)</f>
        <v>1223843.7750000001</v>
      </c>
      <c r="P1017" s="218"/>
    </row>
    <row r="1018" spans="2:16" x14ac:dyDescent="0.25">
      <c r="B1018" s="1011"/>
      <c r="C1018" s="1024" t="s">
        <v>67</v>
      </c>
      <c r="D1018" s="22" t="s">
        <v>64</v>
      </c>
      <c r="E1018" s="3">
        <v>0</v>
      </c>
      <c r="F1018" s="4">
        <f>G1018+H1018</f>
        <v>0</v>
      </c>
      <c r="G1018" s="4">
        <v>0</v>
      </c>
      <c r="H1018" s="8">
        <v>0</v>
      </c>
      <c r="I1018" s="16">
        <f>J1018+K1018</f>
        <v>109220</v>
      </c>
      <c r="J1018" s="4">
        <f>G1018+J953</f>
        <v>105750</v>
      </c>
      <c r="K1018" s="4">
        <f>H1018+K953</f>
        <v>3470</v>
      </c>
      <c r="L1018" s="50" t="e">
        <f>+J1018/E1018</f>
        <v>#DIV/0!</v>
      </c>
      <c r="M1018" s="144">
        <v>4.1712999999999996</v>
      </c>
      <c r="N1018" s="7">
        <f>+M1018*G1018</f>
        <v>0</v>
      </c>
      <c r="O1018" s="93">
        <f>+M1018*J1018</f>
        <v>441114.97499999998</v>
      </c>
      <c r="P1018" s="1021"/>
    </row>
    <row r="1019" spans="2:16" x14ac:dyDescent="0.25">
      <c r="B1019" s="1011"/>
      <c r="C1019" s="1025"/>
      <c r="D1019" s="22" t="s">
        <v>65</v>
      </c>
      <c r="E1019" s="3">
        <v>0</v>
      </c>
      <c r="F1019" s="4">
        <f>G1019+H1019</f>
        <v>31370</v>
      </c>
      <c r="G1019" s="4">
        <v>30000</v>
      </c>
      <c r="H1019" s="8">
        <v>1370</v>
      </c>
      <c r="I1019" s="6">
        <f>+R2063+F1019</f>
        <v>31370</v>
      </c>
      <c r="J1019" s="4">
        <f>G1019+J954</f>
        <v>176500</v>
      </c>
      <c r="K1019" s="4">
        <f>H1019+K954</f>
        <v>6080</v>
      </c>
      <c r="L1019" s="51" t="e">
        <f t="shared" ref="L1019:L1023" si="800">+J1019/E1019</f>
        <v>#DIV/0!</v>
      </c>
      <c r="M1019" s="145">
        <v>4.8285999999999998</v>
      </c>
      <c r="N1019" s="11">
        <f t="shared" ref="N1019:N1021" si="801">+M1019*G1019</f>
        <v>144858</v>
      </c>
      <c r="O1019" s="94">
        <f t="shared" ref="O1019:O1021" si="802">+M1019*J1019</f>
        <v>852247.89999999991</v>
      </c>
      <c r="P1019" s="1022"/>
    </row>
    <row r="1020" spans="2:16" x14ac:dyDescent="0.25">
      <c r="B1020" s="1011"/>
      <c r="C1020" s="1025"/>
      <c r="D1020" s="22" t="s">
        <v>127</v>
      </c>
      <c r="E1020" s="3"/>
      <c r="F1020" s="4">
        <f>G1020+H1020</f>
        <v>0</v>
      </c>
      <c r="G1020" s="4">
        <v>0</v>
      </c>
      <c r="H1020" s="8">
        <v>0</v>
      </c>
      <c r="I1020" s="6">
        <f>+R2064+F1020</f>
        <v>0</v>
      </c>
      <c r="J1020" s="4">
        <f t="shared" ref="J1020:J1021" si="803">G1020+J955</f>
        <v>0</v>
      </c>
      <c r="K1020" s="4">
        <f t="shared" ref="K1020:K1021" si="804">H1020+K955</f>
        <v>0</v>
      </c>
      <c r="L1020" s="51" t="e">
        <f t="shared" si="800"/>
        <v>#DIV/0!</v>
      </c>
      <c r="M1020" s="144">
        <v>4.5023</v>
      </c>
      <c r="N1020" s="11">
        <f t="shared" si="801"/>
        <v>0</v>
      </c>
      <c r="O1020" s="94">
        <f t="shared" si="802"/>
        <v>0</v>
      </c>
      <c r="P1020" s="1022"/>
    </row>
    <row r="1021" spans="2:16" ht="15.75" thickBot="1" x14ac:dyDescent="0.3">
      <c r="B1021" s="1011"/>
      <c r="C1021" s="1025"/>
      <c r="D1021" s="22" t="s">
        <v>111</v>
      </c>
      <c r="E1021" s="3">
        <v>0</v>
      </c>
      <c r="F1021" s="4">
        <f t="shared" ref="F1021" si="805">G1021+H1021</f>
        <v>0</v>
      </c>
      <c r="G1021" s="4">
        <v>0</v>
      </c>
      <c r="H1021" s="8">
        <v>0</v>
      </c>
      <c r="I1021" s="6">
        <f>+R2064+F1021</f>
        <v>0</v>
      </c>
      <c r="J1021" s="4">
        <f t="shared" si="803"/>
        <v>0</v>
      </c>
      <c r="K1021" s="4">
        <f t="shared" si="804"/>
        <v>0</v>
      </c>
      <c r="L1021" s="51" t="e">
        <f t="shared" si="800"/>
        <v>#DIV/0!</v>
      </c>
      <c r="M1021" s="144">
        <v>4.4065000000000003</v>
      </c>
      <c r="N1021" s="11">
        <f t="shared" si="801"/>
        <v>0</v>
      </c>
      <c r="O1021" s="94">
        <f t="shared" si="802"/>
        <v>0</v>
      </c>
      <c r="P1021" s="1022"/>
    </row>
    <row r="1022" spans="2:16" ht="15.75" thickBot="1" x14ac:dyDescent="0.3">
      <c r="B1022" s="1011"/>
      <c r="C1022" s="41" t="s">
        <v>31</v>
      </c>
      <c r="D1022" s="18" t="str">
        <f>+C1022</f>
        <v>TOTAL 4/4</v>
      </c>
      <c r="E1022" s="42">
        <f t="shared" ref="E1022:K1022" si="806">SUM(E1018:E1021)</f>
        <v>0</v>
      </c>
      <c r="F1022" s="43">
        <f t="shared" si="806"/>
        <v>31370</v>
      </c>
      <c r="G1022" s="43">
        <f t="shared" si="806"/>
        <v>30000</v>
      </c>
      <c r="H1022" s="44">
        <f t="shared" si="806"/>
        <v>1370</v>
      </c>
      <c r="I1022" s="45">
        <f t="shared" si="806"/>
        <v>140590</v>
      </c>
      <c r="J1022" s="43">
        <f t="shared" si="806"/>
        <v>282250</v>
      </c>
      <c r="K1022" s="43">
        <f t="shared" si="806"/>
        <v>9550</v>
      </c>
      <c r="L1022" s="46" t="e">
        <f t="shared" si="800"/>
        <v>#DIV/0!</v>
      </c>
      <c r="M1022" s="47"/>
      <c r="N1022" s="48">
        <f>SUM(N1018:N1021)</f>
        <v>144858</v>
      </c>
      <c r="O1022" s="92">
        <f>SUM(O1018:O1021)</f>
        <v>1293362.875</v>
      </c>
      <c r="P1022" s="1023"/>
    </row>
    <row r="1023" spans="2:16" ht="15.75" thickBot="1" x14ac:dyDescent="0.3">
      <c r="B1023" s="1020"/>
      <c r="C1023" s="41" t="s">
        <v>68</v>
      </c>
      <c r="D1023" s="27" t="s">
        <v>64</v>
      </c>
      <c r="E1023" s="25">
        <v>0</v>
      </c>
      <c r="F1023" s="20">
        <f>G1023+H1023</f>
        <v>0</v>
      </c>
      <c r="G1023" s="20">
        <v>0</v>
      </c>
      <c r="H1023" s="24">
        <v>0</v>
      </c>
      <c r="I1023" s="19">
        <f>J1023+K1023</f>
        <v>0</v>
      </c>
      <c r="J1023" s="4">
        <f>G1023+J958</f>
        <v>0</v>
      </c>
      <c r="K1023" s="4">
        <f>H1023+K958</f>
        <v>0</v>
      </c>
      <c r="L1023" s="52" t="e">
        <f t="shared" si="800"/>
        <v>#DIV/0!</v>
      </c>
      <c r="M1023" s="149">
        <v>1.4086000000000001</v>
      </c>
      <c r="N1023" s="26">
        <f t="shared" ref="N1023" si="807">+M1023*G1023</f>
        <v>0</v>
      </c>
      <c r="O1023" s="95">
        <f t="shared" ref="O1023" si="808">+M1023*J1023</f>
        <v>0</v>
      </c>
      <c r="P1023" s="53"/>
    </row>
    <row r="1024" spans="2:16" ht="15.75" thickBot="1" x14ac:dyDescent="0.3">
      <c r="B1024" s="995" t="s">
        <v>95</v>
      </c>
      <c r="C1024" s="996"/>
      <c r="D1024" s="996"/>
      <c r="E1024" s="996"/>
      <c r="F1024" s="996"/>
      <c r="G1024" s="996"/>
      <c r="H1024" s="996"/>
      <c r="I1024" s="110">
        <f>J1024+K1024</f>
        <v>859747</v>
      </c>
      <c r="J1024" s="110">
        <f>J1017+J1022+J1023</f>
        <v>835000</v>
      </c>
      <c r="K1024" s="110">
        <f>K1017+K1022+K1023</f>
        <v>24747</v>
      </c>
      <c r="L1024" s="111"/>
      <c r="M1024" s="112"/>
      <c r="N1024" s="109"/>
      <c r="O1024" s="77">
        <f>+O1023+O1022+O1017</f>
        <v>2517206.6500000004</v>
      </c>
      <c r="P1024" s="84"/>
    </row>
    <row r="1025" spans="2:16" x14ac:dyDescent="0.25">
      <c r="B1025" s="997" t="s">
        <v>69</v>
      </c>
      <c r="C1025" s="1000" t="s">
        <v>70</v>
      </c>
      <c r="D1025" s="54" t="s">
        <v>71</v>
      </c>
      <c r="E1025" s="55">
        <v>0</v>
      </c>
      <c r="F1025" s="56">
        <f>G1025+H1025</f>
        <v>10089</v>
      </c>
      <c r="G1025" s="56">
        <v>10000</v>
      </c>
      <c r="H1025" s="57">
        <v>89</v>
      </c>
      <c r="I1025" s="78">
        <f>J1025+K1025</f>
        <v>47042</v>
      </c>
      <c r="J1025" s="4">
        <f>G1025+J960</f>
        <v>46600</v>
      </c>
      <c r="K1025" s="4">
        <f>H1025+K960</f>
        <v>442</v>
      </c>
      <c r="L1025" s="58" t="e">
        <f t="shared" ref="L1025" si="809">+J1025/E1025</f>
        <v>#DIV/0!</v>
      </c>
      <c r="M1025" s="59">
        <v>32.946300000000001</v>
      </c>
      <c r="N1025" s="60">
        <f>+M1025*G1025</f>
        <v>329463</v>
      </c>
      <c r="O1025" s="60">
        <f>M1025*J1025</f>
        <v>1535297.58</v>
      </c>
      <c r="P1025" s="1002"/>
    </row>
    <row r="1026" spans="2:16" x14ac:dyDescent="0.25">
      <c r="B1026" s="998"/>
      <c r="C1026" s="1001"/>
      <c r="D1026" s="61" t="s">
        <v>72</v>
      </c>
      <c r="E1026" s="62">
        <v>0</v>
      </c>
      <c r="F1026" s="63">
        <f>G1026+H1026</f>
        <v>0</v>
      </c>
      <c r="G1026" s="63">
        <v>0</v>
      </c>
      <c r="H1026" s="64">
        <v>0</v>
      </c>
      <c r="I1026" s="79">
        <f>J1026+K1026</f>
        <v>31833</v>
      </c>
      <c r="J1026" s="4">
        <f>G1026+J961</f>
        <v>31420</v>
      </c>
      <c r="K1026" s="4">
        <f>H1026+K961</f>
        <v>413</v>
      </c>
      <c r="L1026" s="65" t="e">
        <f>+J1026/E1026</f>
        <v>#DIV/0!</v>
      </c>
      <c r="M1026" s="66">
        <v>35.398400000000002</v>
      </c>
      <c r="N1026" s="67">
        <f>+M1026*G1026</f>
        <v>0</v>
      </c>
      <c r="O1026" s="67">
        <f>M1026*J1026</f>
        <v>1112217.7280000001</v>
      </c>
      <c r="P1026" s="1003"/>
    </row>
    <row r="1027" spans="2:16" x14ac:dyDescent="0.25">
      <c r="B1027" s="998"/>
      <c r="C1027" s="1001"/>
      <c r="D1027" s="61" t="s">
        <v>73</v>
      </c>
      <c r="E1027" s="62">
        <v>0</v>
      </c>
      <c r="F1027" s="63">
        <f t="shared" ref="F1027:F1030" si="810">G1027+H1027</f>
        <v>0</v>
      </c>
      <c r="G1027" s="63">
        <v>0</v>
      </c>
      <c r="H1027" s="64">
        <v>0</v>
      </c>
      <c r="I1027" s="79">
        <f t="shared" ref="I1027:I1036" si="811">J1027+K1027</f>
        <v>0</v>
      </c>
      <c r="J1027" s="4">
        <f t="shared" ref="J1027:J1052" si="812">G1027+J962</f>
        <v>0</v>
      </c>
      <c r="K1027" s="4">
        <f t="shared" ref="K1027:K1031" si="813">H1027+K962</f>
        <v>0</v>
      </c>
      <c r="L1027" s="65" t="e">
        <f t="shared" ref="L1027:L1040" si="814">+J1027/E1027</f>
        <v>#DIV/0!</v>
      </c>
      <c r="M1027" s="66">
        <v>32.946300000000001</v>
      </c>
      <c r="N1027" s="67">
        <f t="shared" ref="N1027:N1047" si="815">+M1027*G1027</f>
        <v>0</v>
      </c>
      <c r="O1027" s="67">
        <f t="shared" ref="O1027:O1035" si="816">M1027*J1027</f>
        <v>0</v>
      </c>
      <c r="P1027" s="1003"/>
    </row>
    <row r="1028" spans="2:16" x14ac:dyDescent="0.25">
      <c r="B1028" s="998"/>
      <c r="C1028" s="1001" t="s">
        <v>74</v>
      </c>
      <c r="D1028" s="61" t="s">
        <v>75</v>
      </c>
      <c r="E1028" s="62">
        <v>0</v>
      </c>
      <c r="F1028" s="63">
        <f t="shared" si="810"/>
        <v>4980</v>
      </c>
      <c r="G1028" s="63">
        <v>4800</v>
      </c>
      <c r="H1028" s="64">
        <v>180</v>
      </c>
      <c r="I1028" s="79">
        <f t="shared" si="811"/>
        <v>34515</v>
      </c>
      <c r="J1028" s="4">
        <f t="shared" si="812"/>
        <v>33600</v>
      </c>
      <c r="K1028" s="4">
        <f t="shared" si="813"/>
        <v>915</v>
      </c>
      <c r="L1028" s="65" t="e">
        <f t="shared" si="814"/>
        <v>#DIV/0!</v>
      </c>
      <c r="M1028" s="66">
        <v>55.4758</v>
      </c>
      <c r="N1028" s="67">
        <f t="shared" si="815"/>
        <v>266283.84000000003</v>
      </c>
      <c r="O1028" s="67">
        <f t="shared" si="816"/>
        <v>1863986.88</v>
      </c>
      <c r="P1028" s="1003"/>
    </row>
    <row r="1029" spans="2:16" x14ac:dyDescent="0.25">
      <c r="B1029" s="998"/>
      <c r="C1029" s="1001"/>
      <c r="D1029" s="61" t="s">
        <v>134</v>
      </c>
      <c r="E1029" s="62">
        <v>0</v>
      </c>
      <c r="F1029" s="63">
        <f t="shared" si="810"/>
        <v>0</v>
      </c>
      <c r="G1029" s="63">
        <v>0</v>
      </c>
      <c r="H1029" s="64">
        <v>0</v>
      </c>
      <c r="I1029" s="79">
        <f t="shared" si="811"/>
        <v>0</v>
      </c>
      <c r="J1029" s="4">
        <f t="shared" si="812"/>
        <v>0</v>
      </c>
      <c r="K1029" s="4">
        <f t="shared" si="813"/>
        <v>0</v>
      </c>
      <c r="L1029" s="65" t="e">
        <f t="shared" si="814"/>
        <v>#DIV/0!</v>
      </c>
      <c r="M1029" s="66">
        <v>53.515999999999998</v>
      </c>
      <c r="N1029" s="67">
        <f t="shared" si="815"/>
        <v>0</v>
      </c>
      <c r="O1029" s="67">
        <f t="shared" si="816"/>
        <v>0</v>
      </c>
      <c r="P1029" s="1003"/>
    </row>
    <row r="1030" spans="2:16" x14ac:dyDescent="0.25">
      <c r="B1030" s="998"/>
      <c r="C1030" s="1001"/>
      <c r="D1030" s="61" t="s">
        <v>72</v>
      </c>
      <c r="E1030" s="62">
        <v>0</v>
      </c>
      <c r="F1030" s="63">
        <f t="shared" si="810"/>
        <v>0</v>
      </c>
      <c r="G1030" s="63">
        <v>0</v>
      </c>
      <c r="H1030" s="64">
        <v>0</v>
      </c>
      <c r="I1030" s="79">
        <f t="shared" si="811"/>
        <v>9804</v>
      </c>
      <c r="J1030" s="4">
        <f t="shared" si="812"/>
        <v>9600</v>
      </c>
      <c r="K1030" s="4">
        <f t="shared" si="813"/>
        <v>204</v>
      </c>
      <c r="L1030" s="65" t="e">
        <f t="shared" si="814"/>
        <v>#DIV/0!</v>
      </c>
      <c r="M1030" s="66">
        <v>58.836300000000001</v>
      </c>
      <c r="N1030" s="67">
        <f t="shared" si="815"/>
        <v>0</v>
      </c>
      <c r="O1030" s="67">
        <f t="shared" si="816"/>
        <v>564828.48</v>
      </c>
      <c r="P1030" s="1003"/>
    </row>
    <row r="1031" spans="2:16" x14ac:dyDescent="0.25">
      <c r="B1031" s="998"/>
      <c r="C1031" s="1005" t="s">
        <v>76</v>
      </c>
      <c r="D1031" s="61" t="s">
        <v>77</v>
      </c>
      <c r="E1031" s="62">
        <v>0</v>
      </c>
      <c r="F1031" s="63">
        <f>G1031+H1031</f>
        <v>0</v>
      </c>
      <c r="G1031" s="63">
        <v>0</v>
      </c>
      <c r="H1031" s="64">
        <v>0</v>
      </c>
      <c r="I1031" s="79">
        <f t="shared" si="811"/>
        <v>13295</v>
      </c>
      <c r="J1031" s="4">
        <f t="shared" si="812"/>
        <v>13000</v>
      </c>
      <c r="K1031" s="4">
        <f t="shared" si="813"/>
        <v>295</v>
      </c>
      <c r="L1031" s="65" t="e">
        <f t="shared" si="814"/>
        <v>#DIV/0!</v>
      </c>
      <c r="M1031" s="66">
        <v>25.687200000000001</v>
      </c>
      <c r="N1031" s="67">
        <f t="shared" si="815"/>
        <v>0</v>
      </c>
      <c r="O1031" s="67">
        <f t="shared" si="816"/>
        <v>333933.60000000003</v>
      </c>
      <c r="P1031" s="1003"/>
    </row>
    <row r="1032" spans="2:16" x14ac:dyDescent="0.25">
      <c r="B1032" s="998"/>
      <c r="C1032" s="1006"/>
      <c r="D1032" s="61" t="s">
        <v>117</v>
      </c>
      <c r="E1032" s="62">
        <v>0</v>
      </c>
      <c r="F1032" s="63">
        <f>G1032+H1032</f>
        <v>0</v>
      </c>
      <c r="G1032" s="63">
        <v>0</v>
      </c>
      <c r="H1032" s="64">
        <v>0</v>
      </c>
      <c r="I1032" s="79">
        <f t="shared" si="811"/>
        <v>0</v>
      </c>
      <c r="J1032" s="4">
        <f t="shared" si="812"/>
        <v>0</v>
      </c>
      <c r="K1032" s="4">
        <f>H1032+K967</f>
        <v>0</v>
      </c>
      <c r="L1032" s="65" t="e">
        <f t="shared" si="814"/>
        <v>#DIV/0!</v>
      </c>
      <c r="M1032" s="66">
        <v>25.033899999999999</v>
      </c>
      <c r="N1032" s="67">
        <f t="shared" si="815"/>
        <v>0</v>
      </c>
      <c r="O1032" s="67">
        <f t="shared" si="816"/>
        <v>0</v>
      </c>
      <c r="P1032" s="1003"/>
    </row>
    <row r="1033" spans="2:16" x14ac:dyDescent="0.25">
      <c r="B1033" s="998"/>
      <c r="C1033" s="1005" t="s">
        <v>78</v>
      </c>
      <c r="D1033" s="61" t="s">
        <v>79</v>
      </c>
      <c r="E1033" s="62">
        <v>0</v>
      </c>
      <c r="F1033" s="63">
        <f t="shared" ref="F1033:F1052" si="817">G1033+H1033</f>
        <v>0</v>
      </c>
      <c r="G1033" s="63">
        <v>0</v>
      </c>
      <c r="H1033" s="64">
        <v>0</v>
      </c>
      <c r="I1033" s="79">
        <f t="shared" si="811"/>
        <v>16343</v>
      </c>
      <c r="J1033" s="4">
        <f t="shared" si="812"/>
        <v>16000</v>
      </c>
      <c r="K1033" s="4">
        <f t="shared" ref="K1033:K1052" si="818">H1033+K968</f>
        <v>343</v>
      </c>
      <c r="L1033" s="65" t="e">
        <f t="shared" si="814"/>
        <v>#DIV/0!</v>
      </c>
      <c r="M1033" s="66">
        <v>41.992699999999999</v>
      </c>
      <c r="N1033" s="67">
        <f t="shared" si="815"/>
        <v>0</v>
      </c>
      <c r="O1033" s="67">
        <f t="shared" si="816"/>
        <v>671883.2</v>
      </c>
      <c r="P1033" s="1003"/>
    </row>
    <row r="1034" spans="2:16" x14ac:dyDescent="0.25">
      <c r="B1034" s="998"/>
      <c r="C1034" s="1006"/>
      <c r="D1034" s="61" t="s">
        <v>72</v>
      </c>
      <c r="E1034" s="62">
        <v>0</v>
      </c>
      <c r="F1034" s="63">
        <f t="shared" si="817"/>
        <v>0</v>
      </c>
      <c r="G1034" s="63">
        <v>0</v>
      </c>
      <c r="H1034" s="64">
        <v>0</v>
      </c>
      <c r="I1034" s="79">
        <f t="shared" si="811"/>
        <v>0</v>
      </c>
      <c r="J1034" s="4">
        <f t="shared" si="812"/>
        <v>0</v>
      </c>
      <c r="K1034" s="4">
        <f t="shared" si="818"/>
        <v>0</v>
      </c>
      <c r="L1034" s="65" t="e">
        <f t="shared" si="814"/>
        <v>#DIV/0!</v>
      </c>
      <c r="M1034" s="66">
        <v>42.283799999999999</v>
      </c>
      <c r="N1034" s="67">
        <f t="shared" si="815"/>
        <v>0</v>
      </c>
      <c r="O1034" s="67">
        <f t="shared" si="816"/>
        <v>0</v>
      </c>
      <c r="P1034" s="1003"/>
    </row>
    <row r="1035" spans="2:16" x14ac:dyDescent="0.25">
      <c r="B1035" s="998"/>
      <c r="C1035" s="216" t="s">
        <v>80</v>
      </c>
      <c r="D1035" s="61" t="s">
        <v>81</v>
      </c>
      <c r="E1035" s="62">
        <v>0</v>
      </c>
      <c r="F1035" s="63">
        <f t="shared" si="817"/>
        <v>0</v>
      </c>
      <c r="G1035" s="63">
        <v>0</v>
      </c>
      <c r="H1035" s="64">
        <v>0</v>
      </c>
      <c r="I1035" s="79">
        <f t="shared" si="811"/>
        <v>24803</v>
      </c>
      <c r="J1035" s="4">
        <f t="shared" si="812"/>
        <v>24000</v>
      </c>
      <c r="K1035" s="4">
        <f t="shared" si="818"/>
        <v>803</v>
      </c>
      <c r="L1035" s="65" t="e">
        <f t="shared" si="814"/>
        <v>#DIV/0!</v>
      </c>
      <c r="M1035" s="66">
        <v>4.3535000000000004</v>
      </c>
      <c r="N1035" s="67">
        <f t="shared" si="815"/>
        <v>0</v>
      </c>
      <c r="O1035" s="67">
        <f t="shared" si="816"/>
        <v>104484.00000000001</v>
      </c>
      <c r="P1035" s="1003"/>
    </row>
    <row r="1036" spans="2:16" x14ac:dyDescent="0.25">
      <c r="B1036" s="998"/>
      <c r="C1036" s="1001" t="s">
        <v>82</v>
      </c>
      <c r="D1036" s="61" t="s">
        <v>77</v>
      </c>
      <c r="E1036" s="62">
        <v>0</v>
      </c>
      <c r="F1036" s="63">
        <f t="shared" si="817"/>
        <v>0</v>
      </c>
      <c r="G1036" s="63">
        <v>0</v>
      </c>
      <c r="H1036" s="64">
        <v>0</v>
      </c>
      <c r="I1036" s="79">
        <f t="shared" si="811"/>
        <v>0</v>
      </c>
      <c r="J1036" s="4">
        <f t="shared" si="812"/>
        <v>0</v>
      </c>
      <c r="K1036" s="4">
        <f t="shared" si="818"/>
        <v>0</v>
      </c>
      <c r="L1036" s="65" t="e">
        <f t="shared" si="814"/>
        <v>#DIV/0!</v>
      </c>
      <c r="M1036" s="66">
        <v>4.6184000000000003</v>
      </c>
      <c r="N1036" s="67">
        <f t="shared" si="815"/>
        <v>0</v>
      </c>
      <c r="O1036" s="67">
        <f>M1036*J1036</f>
        <v>0</v>
      </c>
      <c r="P1036" s="1003"/>
    </row>
    <row r="1037" spans="2:16" x14ac:dyDescent="0.25">
      <c r="B1037" s="998"/>
      <c r="C1037" s="1001"/>
      <c r="D1037" s="61" t="s">
        <v>119</v>
      </c>
      <c r="E1037" s="62">
        <v>0</v>
      </c>
      <c r="F1037" s="63">
        <f t="shared" si="817"/>
        <v>20139</v>
      </c>
      <c r="G1037" s="63">
        <v>19800</v>
      </c>
      <c r="H1037" s="64">
        <v>339</v>
      </c>
      <c r="I1037" s="79">
        <f>J1037+K1037</f>
        <v>29721</v>
      </c>
      <c r="J1037" s="4">
        <f t="shared" si="812"/>
        <v>29000</v>
      </c>
      <c r="K1037" s="4">
        <f t="shared" si="818"/>
        <v>721</v>
      </c>
      <c r="L1037" s="65" t="e">
        <f t="shared" si="814"/>
        <v>#DIV/0!</v>
      </c>
      <c r="M1037" s="153">
        <v>4.6184000000000003</v>
      </c>
      <c r="N1037" s="67">
        <f t="shared" si="815"/>
        <v>91444.32</v>
      </c>
      <c r="O1037" s="67">
        <f>M1037*J1037</f>
        <v>133933.6</v>
      </c>
      <c r="P1037" s="1003"/>
    </row>
    <row r="1038" spans="2:16" x14ac:dyDescent="0.25">
      <c r="B1038" s="998"/>
      <c r="C1038" s="1001"/>
      <c r="D1038" s="61" t="s">
        <v>123</v>
      </c>
      <c r="E1038" s="62">
        <v>0</v>
      </c>
      <c r="F1038" s="63">
        <f t="shared" si="817"/>
        <v>0</v>
      </c>
      <c r="G1038" s="63">
        <v>0</v>
      </c>
      <c r="H1038" s="64">
        <v>0</v>
      </c>
      <c r="I1038" s="79">
        <f t="shared" ref="I1038:I1052" si="819">J1038+K1038</f>
        <v>0</v>
      </c>
      <c r="J1038" s="4">
        <f t="shared" si="812"/>
        <v>0</v>
      </c>
      <c r="K1038" s="4">
        <f t="shared" si="818"/>
        <v>0</v>
      </c>
      <c r="L1038" s="65" t="e">
        <f t="shared" si="814"/>
        <v>#DIV/0!</v>
      </c>
      <c r="M1038" s="153">
        <v>4.6184000000000003</v>
      </c>
      <c r="N1038" s="67">
        <f t="shared" si="815"/>
        <v>0</v>
      </c>
      <c r="O1038" s="67">
        <f t="shared" ref="O1038:O1043" si="820">M1038*J1038</f>
        <v>0</v>
      </c>
      <c r="P1038" s="1003"/>
    </row>
    <row r="1039" spans="2:16" x14ac:dyDescent="0.25">
      <c r="B1039" s="998"/>
      <c r="C1039" s="1001"/>
      <c r="D1039" s="61" t="s">
        <v>124</v>
      </c>
      <c r="E1039" s="62">
        <v>0</v>
      </c>
      <c r="F1039" s="63">
        <f t="shared" si="817"/>
        <v>0</v>
      </c>
      <c r="G1039" s="63">
        <v>0</v>
      </c>
      <c r="H1039" s="64">
        <v>0</v>
      </c>
      <c r="I1039" s="79">
        <f t="shared" si="819"/>
        <v>281684</v>
      </c>
      <c r="J1039" s="4">
        <f t="shared" si="812"/>
        <v>274275</v>
      </c>
      <c r="K1039" s="4">
        <f t="shared" si="818"/>
        <v>7409</v>
      </c>
      <c r="L1039" s="65" t="e">
        <f t="shared" si="814"/>
        <v>#DIV/0!</v>
      </c>
      <c r="M1039" s="153">
        <v>4.7636000000000003</v>
      </c>
      <c r="N1039" s="67">
        <f t="shared" si="815"/>
        <v>0</v>
      </c>
      <c r="O1039" s="67">
        <f t="shared" si="820"/>
        <v>1306536.3900000001</v>
      </c>
      <c r="P1039" s="1003"/>
    </row>
    <row r="1040" spans="2:16" x14ac:dyDescent="0.25">
      <c r="B1040" s="998"/>
      <c r="C1040" s="1001"/>
      <c r="D1040" s="61" t="s">
        <v>83</v>
      </c>
      <c r="E1040" s="62">
        <v>0</v>
      </c>
      <c r="F1040" s="63">
        <f t="shared" si="817"/>
        <v>0</v>
      </c>
      <c r="G1040" s="63">
        <v>0</v>
      </c>
      <c r="H1040" s="64">
        <v>0</v>
      </c>
      <c r="I1040" s="79">
        <f t="shared" si="819"/>
        <v>0</v>
      </c>
      <c r="J1040" s="4">
        <f t="shared" si="812"/>
        <v>0</v>
      </c>
      <c r="K1040" s="4">
        <f t="shared" si="818"/>
        <v>0</v>
      </c>
      <c r="L1040" s="65" t="e">
        <f t="shared" si="814"/>
        <v>#DIV/0!</v>
      </c>
      <c r="M1040" s="66">
        <v>4.8738000000000001</v>
      </c>
      <c r="N1040" s="67">
        <f t="shared" si="815"/>
        <v>0</v>
      </c>
      <c r="O1040" s="67">
        <f t="shared" si="820"/>
        <v>0</v>
      </c>
      <c r="P1040" s="1003"/>
    </row>
    <row r="1041" spans="2:16" x14ac:dyDescent="0.25">
      <c r="B1041" s="998"/>
      <c r="C1041" s="216" t="s">
        <v>128</v>
      </c>
      <c r="D1041" s="61" t="s">
        <v>124</v>
      </c>
      <c r="E1041" s="62"/>
      <c r="F1041" s="63">
        <f t="shared" si="817"/>
        <v>0</v>
      </c>
      <c r="G1041" s="63">
        <v>0</v>
      </c>
      <c r="H1041" s="64">
        <v>0</v>
      </c>
      <c r="I1041" s="79">
        <f t="shared" si="819"/>
        <v>0</v>
      </c>
      <c r="J1041" s="4">
        <f t="shared" si="812"/>
        <v>0</v>
      </c>
      <c r="K1041" s="4">
        <f t="shared" si="818"/>
        <v>0</v>
      </c>
      <c r="L1041" s="65"/>
      <c r="M1041" s="66">
        <v>4.8738000000000001</v>
      </c>
      <c r="N1041" s="67">
        <f t="shared" si="815"/>
        <v>0</v>
      </c>
      <c r="O1041" s="67">
        <f t="shared" si="820"/>
        <v>0</v>
      </c>
      <c r="P1041" s="1003"/>
    </row>
    <row r="1042" spans="2:16" x14ac:dyDescent="0.25">
      <c r="B1042" s="998"/>
      <c r="C1042" s="1001" t="s">
        <v>84</v>
      </c>
      <c r="D1042" s="61" t="s">
        <v>77</v>
      </c>
      <c r="E1042" s="62">
        <v>0</v>
      </c>
      <c r="F1042" s="63">
        <f t="shared" si="817"/>
        <v>0</v>
      </c>
      <c r="G1042" s="63">
        <v>0</v>
      </c>
      <c r="H1042" s="64">
        <v>0</v>
      </c>
      <c r="I1042" s="79">
        <f t="shared" si="819"/>
        <v>197600</v>
      </c>
      <c r="J1042" s="4">
        <f t="shared" si="812"/>
        <v>194950</v>
      </c>
      <c r="K1042" s="4">
        <f t="shared" si="818"/>
        <v>2650</v>
      </c>
      <c r="L1042" s="65" t="e">
        <f t="shared" ref="L1042:L1052" si="821">+J1042/E1042</f>
        <v>#DIV/0!</v>
      </c>
      <c r="M1042" s="66">
        <v>4.9344999999999999</v>
      </c>
      <c r="N1042" s="67">
        <f t="shared" si="815"/>
        <v>0</v>
      </c>
      <c r="O1042" s="67">
        <f t="shared" si="820"/>
        <v>961980.77500000002</v>
      </c>
      <c r="P1042" s="1003"/>
    </row>
    <row r="1043" spans="2:16" x14ac:dyDescent="0.25">
      <c r="B1043" s="998"/>
      <c r="C1043" s="1001"/>
      <c r="D1043" s="61" t="s">
        <v>135</v>
      </c>
      <c r="E1043" s="62"/>
      <c r="F1043" s="63">
        <f t="shared" si="817"/>
        <v>25559</v>
      </c>
      <c r="G1043" s="63">
        <v>25200</v>
      </c>
      <c r="H1043" s="64">
        <v>359</v>
      </c>
      <c r="I1043" s="79">
        <f t="shared" si="819"/>
        <v>87137</v>
      </c>
      <c r="J1043" s="4">
        <f t="shared" si="812"/>
        <v>83700</v>
      </c>
      <c r="K1043" s="4">
        <f t="shared" si="818"/>
        <v>3437</v>
      </c>
      <c r="L1043" s="65" t="e">
        <f t="shared" si="821"/>
        <v>#DIV/0!</v>
      </c>
      <c r="M1043" s="66">
        <v>4.9344999999999999</v>
      </c>
      <c r="N1043" s="67">
        <f t="shared" si="815"/>
        <v>124349.4</v>
      </c>
      <c r="O1043" s="67">
        <f t="shared" si="820"/>
        <v>413017.64999999997</v>
      </c>
      <c r="P1043" s="1003"/>
    </row>
    <row r="1044" spans="2:16" x14ac:dyDescent="0.25">
      <c r="B1044" s="998"/>
      <c r="C1044" s="1001"/>
      <c r="D1044" s="61" t="s">
        <v>129</v>
      </c>
      <c r="E1044" s="62">
        <v>0</v>
      </c>
      <c r="F1044" s="63">
        <f t="shared" si="817"/>
        <v>0</v>
      </c>
      <c r="G1044" s="155">
        <v>0</v>
      </c>
      <c r="H1044" s="156">
        <v>0</v>
      </c>
      <c r="I1044" s="157">
        <f t="shared" si="819"/>
        <v>0</v>
      </c>
      <c r="J1044" s="4">
        <f t="shared" si="812"/>
        <v>0</v>
      </c>
      <c r="K1044" s="4">
        <f t="shared" si="818"/>
        <v>0</v>
      </c>
      <c r="L1044" s="158" t="e">
        <f t="shared" si="821"/>
        <v>#DIV/0!</v>
      </c>
      <c r="M1044" s="66">
        <v>4.9344999999999999</v>
      </c>
      <c r="N1044" s="159">
        <f t="shared" si="815"/>
        <v>0</v>
      </c>
      <c r="O1044" s="67">
        <f>M1044*J1044</f>
        <v>0</v>
      </c>
      <c r="P1044" s="1003"/>
    </row>
    <row r="1045" spans="2:16" x14ac:dyDescent="0.25">
      <c r="B1045" s="998"/>
      <c r="C1045" s="1001" t="s">
        <v>85</v>
      </c>
      <c r="D1045" s="61" t="s">
        <v>77</v>
      </c>
      <c r="E1045" s="62">
        <v>0</v>
      </c>
      <c r="F1045" s="63">
        <f t="shared" si="817"/>
        <v>0</v>
      </c>
      <c r="G1045" s="63">
        <v>0</v>
      </c>
      <c r="H1045" s="64">
        <v>0</v>
      </c>
      <c r="I1045" s="79">
        <f t="shared" si="819"/>
        <v>138276</v>
      </c>
      <c r="J1045" s="4">
        <f t="shared" si="812"/>
        <v>130950</v>
      </c>
      <c r="K1045" s="4">
        <f t="shared" si="818"/>
        <v>7326</v>
      </c>
      <c r="L1045" s="65" t="e">
        <f t="shared" si="821"/>
        <v>#DIV/0!</v>
      </c>
      <c r="M1045" s="148">
        <v>5.5069999999999997</v>
      </c>
      <c r="N1045" s="67">
        <f t="shared" si="815"/>
        <v>0</v>
      </c>
      <c r="O1045" s="67">
        <f>M1045*J1045</f>
        <v>721141.64999999991</v>
      </c>
      <c r="P1045" s="1003"/>
    </row>
    <row r="1046" spans="2:16" x14ac:dyDescent="0.25">
      <c r="B1046" s="998"/>
      <c r="C1046" s="1001"/>
      <c r="D1046" s="61" t="s">
        <v>112</v>
      </c>
      <c r="E1046" s="62">
        <v>0</v>
      </c>
      <c r="F1046" s="63">
        <f t="shared" si="817"/>
        <v>15714</v>
      </c>
      <c r="G1046" s="63">
        <v>15300</v>
      </c>
      <c r="H1046" s="64">
        <v>414</v>
      </c>
      <c r="I1046" s="79">
        <f t="shared" si="819"/>
        <v>111458</v>
      </c>
      <c r="J1046" s="4">
        <f t="shared" si="812"/>
        <v>107550</v>
      </c>
      <c r="K1046" s="4">
        <f t="shared" si="818"/>
        <v>3908</v>
      </c>
      <c r="L1046" s="65" t="e">
        <f t="shared" si="821"/>
        <v>#DIV/0!</v>
      </c>
      <c r="M1046" s="147">
        <v>5.6550000000000002</v>
      </c>
      <c r="N1046" s="67">
        <f t="shared" si="815"/>
        <v>86521.5</v>
      </c>
      <c r="O1046" s="67">
        <f>M1046*J1046</f>
        <v>608195.25</v>
      </c>
      <c r="P1046" s="1003"/>
    </row>
    <row r="1047" spans="2:16" x14ac:dyDescent="0.25">
      <c r="B1047" s="998"/>
      <c r="C1047" s="1001"/>
      <c r="D1047" s="61" t="s">
        <v>118</v>
      </c>
      <c r="E1047" s="62">
        <v>0</v>
      </c>
      <c r="F1047" s="63">
        <f t="shared" si="817"/>
        <v>0</v>
      </c>
      <c r="G1047" s="63">
        <v>0</v>
      </c>
      <c r="H1047" s="64">
        <v>0</v>
      </c>
      <c r="I1047" s="79">
        <f t="shared" si="819"/>
        <v>0</v>
      </c>
      <c r="J1047" s="4">
        <f t="shared" si="812"/>
        <v>0</v>
      </c>
      <c r="K1047" s="4">
        <f t="shared" si="818"/>
        <v>0</v>
      </c>
      <c r="L1047" s="65" t="e">
        <f t="shared" si="821"/>
        <v>#DIV/0!</v>
      </c>
      <c r="M1047" s="152">
        <v>5.6550000000000002</v>
      </c>
      <c r="N1047" s="67">
        <f t="shared" si="815"/>
        <v>0</v>
      </c>
      <c r="O1047" s="67">
        <f>M1047*J1047</f>
        <v>0</v>
      </c>
      <c r="P1047" s="1003"/>
    </row>
    <row r="1048" spans="2:16" x14ac:dyDescent="0.25">
      <c r="B1048" s="998"/>
      <c r="C1048" s="1001"/>
      <c r="D1048" s="61" t="s">
        <v>121</v>
      </c>
      <c r="E1048" s="62">
        <v>0</v>
      </c>
      <c r="F1048" s="63">
        <f t="shared" si="817"/>
        <v>0</v>
      </c>
      <c r="G1048" s="63">
        <v>0</v>
      </c>
      <c r="H1048" s="64">
        <v>0</v>
      </c>
      <c r="I1048" s="79">
        <f t="shared" si="819"/>
        <v>28324</v>
      </c>
      <c r="J1048" s="4">
        <f t="shared" si="812"/>
        <v>26710</v>
      </c>
      <c r="K1048" s="4">
        <f t="shared" si="818"/>
        <v>1614</v>
      </c>
      <c r="L1048" s="65" t="e">
        <f t="shared" si="821"/>
        <v>#DIV/0!</v>
      </c>
      <c r="M1048" s="66">
        <v>5.7885299999999997</v>
      </c>
      <c r="N1048" s="67">
        <f>+M1048*G1048</f>
        <v>0</v>
      </c>
      <c r="O1048" s="67">
        <f>M1048*J1048</f>
        <v>154611.63629999998</v>
      </c>
      <c r="P1048" s="1003"/>
    </row>
    <row r="1049" spans="2:16" x14ac:dyDescent="0.25">
      <c r="B1049" s="998"/>
      <c r="C1049" s="1001"/>
      <c r="D1049" s="61" t="s">
        <v>136</v>
      </c>
      <c r="E1049" s="62">
        <v>0</v>
      </c>
      <c r="F1049" s="63">
        <f t="shared" si="817"/>
        <v>0</v>
      </c>
      <c r="G1049" s="63">
        <v>0</v>
      </c>
      <c r="H1049" s="64">
        <v>0</v>
      </c>
      <c r="I1049" s="79">
        <f t="shared" si="819"/>
        <v>0</v>
      </c>
      <c r="J1049" s="4">
        <f t="shared" si="812"/>
        <v>0</v>
      </c>
      <c r="K1049" s="4">
        <f t="shared" si="818"/>
        <v>0</v>
      </c>
      <c r="L1049" s="65" t="e">
        <f t="shared" si="821"/>
        <v>#DIV/0!</v>
      </c>
      <c r="M1049" s="152">
        <v>5.6550000000000002</v>
      </c>
      <c r="N1049" s="67">
        <f t="shared" ref="N1049:N1051" si="822">+M1049*G1049</f>
        <v>0</v>
      </c>
      <c r="O1049" s="67">
        <f t="shared" ref="O1049:O1052" si="823">M1049*J1049</f>
        <v>0</v>
      </c>
      <c r="P1049" s="1003"/>
    </row>
    <row r="1050" spans="2:16" x14ac:dyDescent="0.25">
      <c r="B1050" s="998"/>
      <c r="C1050" s="216" t="s">
        <v>86</v>
      </c>
      <c r="D1050" s="61" t="s">
        <v>77</v>
      </c>
      <c r="E1050" s="62">
        <v>0</v>
      </c>
      <c r="F1050" s="63">
        <f t="shared" si="817"/>
        <v>0</v>
      </c>
      <c r="G1050" s="63">
        <v>0</v>
      </c>
      <c r="H1050" s="64">
        <v>0</v>
      </c>
      <c r="I1050" s="79">
        <f t="shared" si="819"/>
        <v>0</v>
      </c>
      <c r="J1050" s="4">
        <f t="shared" si="812"/>
        <v>0</v>
      </c>
      <c r="K1050" s="4">
        <f t="shared" si="818"/>
        <v>0</v>
      </c>
      <c r="L1050" s="65" t="e">
        <f t="shared" si="821"/>
        <v>#DIV/0!</v>
      </c>
      <c r="M1050" s="66">
        <v>3.2963</v>
      </c>
      <c r="N1050" s="67">
        <f t="shared" si="822"/>
        <v>0</v>
      </c>
      <c r="O1050" s="67">
        <f t="shared" si="823"/>
        <v>0</v>
      </c>
      <c r="P1050" s="1003"/>
    </row>
    <row r="1051" spans="2:16" x14ac:dyDescent="0.25">
      <c r="B1051" s="998"/>
      <c r="C1051" s="216" t="s">
        <v>87</v>
      </c>
      <c r="D1051" s="61" t="s">
        <v>77</v>
      </c>
      <c r="E1051" s="62">
        <v>0</v>
      </c>
      <c r="F1051" s="63">
        <f t="shared" si="817"/>
        <v>0</v>
      </c>
      <c r="G1051" s="63">
        <v>0</v>
      </c>
      <c r="H1051" s="64">
        <v>0</v>
      </c>
      <c r="I1051" s="79">
        <f t="shared" si="819"/>
        <v>0</v>
      </c>
      <c r="J1051" s="4">
        <f t="shared" si="812"/>
        <v>0</v>
      </c>
      <c r="K1051" s="4">
        <f t="shared" si="818"/>
        <v>0</v>
      </c>
      <c r="L1051" s="65" t="e">
        <f t="shared" si="821"/>
        <v>#DIV/0!</v>
      </c>
      <c r="M1051" s="66">
        <v>3.2963</v>
      </c>
      <c r="N1051" s="67">
        <f t="shared" si="822"/>
        <v>0</v>
      </c>
      <c r="O1051" s="67">
        <f t="shared" si="823"/>
        <v>0</v>
      </c>
      <c r="P1051" s="1003"/>
    </row>
    <row r="1052" spans="2:16" ht="15.75" thickBot="1" x14ac:dyDescent="0.3">
      <c r="B1052" s="998"/>
      <c r="C1052" s="68" t="s">
        <v>88</v>
      </c>
      <c r="D1052" s="69" t="s">
        <v>89</v>
      </c>
      <c r="E1052" s="70">
        <v>0</v>
      </c>
      <c r="F1052" s="71">
        <f t="shared" si="817"/>
        <v>0</v>
      </c>
      <c r="G1052" s="71">
        <v>0</v>
      </c>
      <c r="H1052" s="72">
        <v>0</v>
      </c>
      <c r="I1052" s="80">
        <f t="shared" si="819"/>
        <v>65030</v>
      </c>
      <c r="J1052" s="4">
        <f t="shared" si="812"/>
        <v>65000</v>
      </c>
      <c r="K1052" s="4">
        <f t="shared" si="818"/>
        <v>30</v>
      </c>
      <c r="L1052" s="65" t="e">
        <f t="shared" si="821"/>
        <v>#DIV/0!</v>
      </c>
      <c r="M1052" s="73">
        <v>2.3201000000000001</v>
      </c>
      <c r="N1052" s="74">
        <f t="shared" ref="N1052" si="824">M1052*G1052</f>
        <v>0</v>
      </c>
      <c r="O1052" s="74">
        <f t="shared" si="823"/>
        <v>150806.5</v>
      </c>
      <c r="P1052" s="1004"/>
    </row>
    <row r="1053" spans="2:16" ht="15.75" thickBot="1" x14ac:dyDescent="0.3">
      <c r="B1053" s="999"/>
      <c r="C1053" s="1007" t="s">
        <v>99</v>
      </c>
      <c r="D1053" s="1008"/>
      <c r="E1053" s="1008"/>
      <c r="F1053" s="1008"/>
      <c r="G1053" s="1008"/>
      <c r="H1053" s="1009"/>
      <c r="I1053" s="116">
        <f>J1053+K1053</f>
        <v>1116865</v>
      </c>
      <c r="J1053" s="115">
        <f>SUM(J1025:J1052)</f>
        <v>1086355</v>
      </c>
      <c r="K1053" s="115">
        <f>SUM(K1025:K1052)</f>
        <v>30510</v>
      </c>
      <c r="L1053" s="114"/>
      <c r="M1053" s="113"/>
      <c r="N1053" s="114"/>
      <c r="O1053" s="97">
        <f>SUM(O1025:O1052)</f>
        <v>10636854.919299999</v>
      </c>
      <c r="P1053" s="96"/>
    </row>
    <row r="1054" spans="2:16" ht="15.75" thickBot="1" x14ac:dyDescent="0.3">
      <c r="B1054" s="100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2"/>
    </row>
    <row r="1055" spans="2:16" ht="15.75" thickBot="1" x14ac:dyDescent="0.3">
      <c r="B1055" s="992" t="s">
        <v>100</v>
      </c>
      <c r="C1055" s="993"/>
      <c r="D1055" s="993"/>
      <c r="E1055" s="993"/>
      <c r="F1055" s="993"/>
      <c r="G1055" s="993"/>
      <c r="H1055" s="993"/>
      <c r="I1055" s="993"/>
      <c r="J1055" s="993"/>
      <c r="K1055" s="993"/>
      <c r="L1055" s="993"/>
      <c r="M1055" s="993"/>
      <c r="N1055" s="994"/>
      <c r="O1055" s="103">
        <f>+O1053+O1024+O1009</f>
        <v>22879379.265299998</v>
      </c>
      <c r="P1055" s="96"/>
    </row>
  </sheetData>
  <mergeCells count="546">
    <mergeCell ref="B1055:N1055"/>
    <mergeCell ref="B1024:H1024"/>
    <mergeCell ref="B1025:B1053"/>
    <mergeCell ref="C1025:C1027"/>
    <mergeCell ref="P1025:P1052"/>
    <mergeCell ref="C1028:C1030"/>
    <mergeCell ref="C1031:C1032"/>
    <mergeCell ref="C1033:C1034"/>
    <mergeCell ref="C1036:C1040"/>
    <mergeCell ref="C1042:C1044"/>
    <mergeCell ref="C1045:C1049"/>
    <mergeCell ref="C1053:H1053"/>
    <mergeCell ref="B995:B1007"/>
    <mergeCell ref="P995:P1007"/>
    <mergeCell ref="C1002:D1002"/>
    <mergeCell ref="B1008:D1008"/>
    <mergeCell ref="B1009:N1009"/>
    <mergeCell ref="B1010:B1023"/>
    <mergeCell ref="P1010:P1016"/>
    <mergeCell ref="C1018:C1021"/>
    <mergeCell ref="P1018:P1022"/>
    <mergeCell ref="B992:B994"/>
    <mergeCell ref="C992:C994"/>
    <mergeCell ref="D992:D994"/>
    <mergeCell ref="E992:L992"/>
    <mergeCell ref="M992:O992"/>
    <mergeCell ref="P992:P994"/>
    <mergeCell ref="E993:E994"/>
    <mergeCell ref="F993:H993"/>
    <mergeCell ref="I993:K993"/>
    <mergeCell ref="L993:L994"/>
    <mergeCell ref="M993:M994"/>
    <mergeCell ref="N993:N994"/>
    <mergeCell ref="O993:O994"/>
    <mergeCell ref="B990:N990"/>
    <mergeCell ref="B959:H959"/>
    <mergeCell ref="B960:B988"/>
    <mergeCell ref="C960:C962"/>
    <mergeCell ref="P960:P987"/>
    <mergeCell ref="C963:C965"/>
    <mergeCell ref="C966:C967"/>
    <mergeCell ref="C968:C969"/>
    <mergeCell ref="C971:C975"/>
    <mergeCell ref="C977:C979"/>
    <mergeCell ref="C980:C984"/>
    <mergeCell ref="C988:H988"/>
    <mergeCell ref="B930:B942"/>
    <mergeCell ref="P930:P942"/>
    <mergeCell ref="C937:D937"/>
    <mergeCell ref="B943:D943"/>
    <mergeCell ref="B944:N944"/>
    <mergeCell ref="B945:B958"/>
    <mergeCell ref="P945:P951"/>
    <mergeCell ref="C953:C956"/>
    <mergeCell ref="P953:P957"/>
    <mergeCell ref="B927:B929"/>
    <mergeCell ref="C927:C929"/>
    <mergeCell ref="D927:D929"/>
    <mergeCell ref="E927:L927"/>
    <mergeCell ref="M927:O927"/>
    <mergeCell ref="P927:P929"/>
    <mergeCell ref="E928:E929"/>
    <mergeCell ref="F928:H928"/>
    <mergeCell ref="I928:K928"/>
    <mergeCell ref="L928:L929"/>
    <mergeCell ref="M928:M929"/>
    <mergeCell ref="N928:N929"/>
    <mergeCell ref="O928:O929"/>
    <mergeCell ref="B925:N925"/>
    <mergeCell ref="B894:H894"/>
    <mergeCell ref="B895:B923"/>
    <mergeCell ref="C895:C897"/>
    <mergeCell ref="P895:P922"/>
    <mergeCell ref="C898:C900"/>
    <mergeCell ref="C901:C902"/>
    <mergeCell ref="C903:C904"/>
    <mergeCell ref="C906:C910"/>
    <mergeCell ref="C912:C914"/>
    <mergeCell ref="C915:C919"/>
    <mergeCell ref="C923:H923"/>
    <mergeCell ref="B865:B877"/>
    <mergeCell ref="P865:P877"/>
    <mergeCell ref="C872:D872"/>
    <mergeCell ref="B878:D878"/>
    <mergeCell ref="B879:N879"/>
    <mergeCell ref="B880:B893"/>
    <mergeCell ref="P880:P886"/>
    <mergeCell ref="C888:C891"/>
    <mergeCell ref="P888:P892"/>
    <mergeCell ref="B862:B864"/>
    <mergeCell ref="C862:C864"/>
    <mergeCell ref="D862:D864"/>
    <mergeCell ref="E862:L862"/>
    <mergeCell ref="M862:O862"/>
    <mergeCell ref="P862:P864"/>
    <mergeCell ref="E863:E864"/>
    <mergeCell ref="F863:H863"/>
    <mergeCell ref="I863:K863"/>
    <mergeCell ref="L863:L864"/>
    <mergeCell ref="M863:M864"/>
    <mergeCell ref="N863:N864"/>
    <mergeCell ref="O863:O864"/>
    <mergeCell ref="B860:N860"/>
    <mergeCell ref="B829:H829"/>
    <mergeCell ref="B830:B858"/>
    <mergeCell ref="C830:C832"/>
    <mergeCell ref="P830:P857"/>
    <mergeCell ref="C833:C835"/>
    <mergeCell ref="C836:C837"/>
    <mergeCell ref="C838:C839"/>
    <mergeCell ref="C841:C845"/>
    <mergeCell ref="C847:C849"/>
    <mergeCell ref="C850:C854"/>
    <mergeCell ref="C858:H858"/>
    <mergeCell ref="B800:B812"/>
    <mergeCell ref="P800:P812"/>
    <mergeCell ref="C807:D807"/>
    <mergeCell ref="B813:D813"/>
    <mergeCell ref="B814:N814"/>
    <mergeCell ref="B815:B828"/>
    <mergeCell ref="P815:P821"/>
    <mergeCell ref="C823:C826"/>
    <mergeCell ref="P823:P827"/>
    <mergeCell ref="B797:B799"/>
    <mergeCell ref="C797:C799"/>
    <mergeCell ref="D797:D799"/>
    <mergeCell ref="E797:L797"/>
    <mergeCell ref="M797:O797"/>
    <mergeCell ref="P797:P799"/>
    <mergeCell ref="E798:E799"/>
    <mergeCell ref="F798:H798"/>
    <mergeCell ref="I798:K798"/>
    <mergeCell ref="L798:L799"/>
    <mergeCell ref="M798:M799"/>
    <mergeCell ref="N798:N799"/>
    <mergeCell ref="O798:O799"/>
    <mergeCell ref="B795:N795"/>
    <mergeCell ref="B764:H764"/>
    <mergeCell ref="B765:B793"/>
    <mergeCell ref="C765:C767"/>
    <mergeCell ref="P765:P792"/>
    <mergeCell ref="C768:C770"/>
    <mergeCell ref="C771:C772"/>
    <mergeCell ref="C773:C774"/>
    <mergeCell ref="C776:C780"/>
    <mergeCell ref="C782:C784"/>
    <mergeCell ref="C785:C789"/>
    <mergeCell ref="C793:H793"/>
    <mergeCell ref="B735:B747"/>
    <mergeCell ref="P735:P747"/>
    <mergeCell ref="C742:D742"/>
    <mergeCell ref="B748:D748"/>
    <mergeCell ref="B749:N749"/>
    <mergeCell ref="B750:B763"/>
    <mergeCell ref="P750:P756"/>
    <mergeCell ref="C758:C761"/>
    <mergeCell ref="P758:P762"/>
    <mergeCell ref="B732:B734"/>
    <mergeCell ref="C732:C734"/>
    <mergeCell ref="D732:D734"/>
    <mergeCell ref="E732:L732"/>
    <mergeCell ref="M732:O732"/>
    <mergeCell ref="P732:P734"/>
    <mergeCell ref="E733:E734"/>
    <mergeCell ref="F733:H733"/>
    <mergeCell ref="I733:K733"/>
    <mergeCell ref="L733:L734"/>
    <mergeCell ref="M733:M734"/>
    <mergeCell ref="N733:N734"/>
    <mergeCell ref="O733:O734"/>
    <mergeCell ref="B600:N600"/>
    <mergeCell ref="B569:H569"/>
    <mergeCell ref="B570:B598"/>
    <mergeCell ref="C570:C572"/>
    <mergeCell ref="P570:P597"/>
    <mergeCell ref="C573:C575"/>
    <mergeCell ref="C576:C577"/>
    <mergeCell ref="C578:C579"/>
    <mergeCell ref="C581:C585"/>
    <mergeCell ref="C587:C589"/>
    <mergeCell ref="C590:C594"/>
    <mergeCell ref="C598:H598"/>
    <mergeCell ref="B540:B552"/>
    <mergeCell ref="P540:P552"/>
    <mergeCell ref="C547:D547"/>
    <mergeCell ref="B553:D553"/>
    <mergeCell ref="B554:N554"/>
    <mergeCell ref="B555:B568"/>
    <mergeCell ref="P555:P561"/>
    <mergeCell ref="C563:C566"/>
    <mergeCell ref="P563:P567"/>
    <mergeCell ref="B537:B539"/>
    <mergeCell ref="C537:C539"/>
    <mergeCell ref="D537:D539"/>
    <mergeCell ref="E537:L537"/>
    <mergeCell ref="M537:O537"/>
    <mergeCell ref="P537:P539"/>
    <mergeCell ref="E538:E539"/>
    <mergeCell ref="F538:H538"/>
    <mergeCell ref="I538:K538"/>
    <mergeCell ref="L538:L539"/>
    <mergeCell ref="M538:M539"/>
    <mergeCell ref="N538:N539"/>
    <mergeCell ref="O538:O539"/>
    <mergeCell ref="B535:N535"/>
    <mergeCell ref="B504:H504"/>
    <mergeCell ref="B505:B533"/>
    <mergeCell ref="C505:C507"/>
    <mergeCell ref="P505:P532"/>
    <mergeCell ref="C508:C510"/>
    <mergeCell ref="C511:C512"/>
    <mergeCell ref="C513:C514"/>
    <mergeCell ref="C516:C520"/>
    <mergeCell ref="C522:C524"/>
    <mergeCell ref="C525:C529"/>
    <mergeCell ref="C533:H533"/>
    <mergeCell ref="B475:B487"/>
    <mergeCell ref="P475:P487"/>
    <mergeCell ref="C482:D482"/>
    <mergeCell ref="B488:D488"/>
    <mergeCell ref="B489:N489"/>
    <mergeCell ref="B490:B503"/>
    <mergeCell ref="P490:P496"/>
    <mergeCell ref="C498:C501"/>
    <mergeCell ref="P498:P502"/>
    <mergeCell ref="B470:N470"/>
    <mergeCell ref="B472:B474"/>
    <mergeCell ref="C472:C474"/>
    <mergeCell ref="D472:D474"/>
    <mergeCell ref="E472:L472"/>
    <mergeCell ref="M472:O472"/>
    <mergeCell ref="P472:P474"/>
    <mergeCell ref="E473:E474"/>
    <mergeCell ref="F473:H473"/>
    <mergeCell ref="I473:K473"/>
    <mergeCell ref="L473:L474"/>
    <mergeCell ref="M473:M474"/>
    <mergeCell ref="N473:N474"/>
    <mergeCell ref="O473:O474"/>
    <mergeCell ref="B439:H439"/>
    <mergeCell ref="B440:B468"/>
    <mergeCell ref="C440:C442"/>
    <mergeCell ref="P440:P467"/>
    <mergeCell ref="C443:C445"/>
    <mergeCell ref="C446:C447"/>
    <mergeCell ref="C448:C449"/>
    <mergeCell ref="C451:C455"/>
    <mergeCell ref="C457:C459"/>
    <mergeCell ref="C460:C464"/>
    <mergeCell ref="C468:H468"/>
    <mergeCell ref="B410:B422"/>
    <mergeCell ref="P410:P422"/>
    <mergeCell ref="C417:D417"/>
    <mergeCell ref="B423:D423"/>
    <mergeCell ref="B424:N424"/>
    <mergeCell ref="B425:B438"/>
    <mergeCell ref="P425:P431"/>
    <mergeCell ref="C433:C436"/>
    <mergeCell ref="P433:P437"/>
    <mergeCell ref="B407:B409"/>
    <mergeCell ref="C407:C409"/>
    <mergeCell ref="D407:D409"/>
    <mergeCell ref="E407:L407"/>
    <mergeCell ref="M407:O407"/>
    <mergeCell ref="P407:P409"/>
    <mergeCell ref="E408:E409"/>
    <mergeCell ref="F408:H408"/>
    <mergeCell ref="I408:K408"/>
    <mergeCell ref="L408:L409"/>
    <mergeCell ref="M408:M409"/>
    <mergeCell ref="N408:N409"/>
    <mergeCell ref="O408:O409"/>
    <mergeCell ref="B405:N405"/>
    <mergeCell ref="B374:H374"/>
    <mergeCell ref="B375:B403"/>
    <mergeCell ref="C375:C377"/>
    <mergeCell ref="P375:P402"/>
    <mergeCell ref="C378:C380"/>
    <mergeCell ref="C381:C382"/>
    <mergeCell ref="C383:C384"/>
    <mergeCell ref="C386:C390"/>
    <mergeCell ref="C392:C394"/>
    <mergeCell ref="C395:C399"/>
    <mergeCell ref="C403:H403"/>
    <mergeCell ref="B345:B357"/>
    <mergeCell ref="P345:P357"/>
    <mergeCell ref="C352:D352"/>
    <mergeCell ref="B358:D358"/>
    <mergeCell ref="B359:N359"/>
    <mergeCell ref="B360:B373"/>
    <mergeCell ref="P360:P366"/>
    <mergeCell ref="C368:C371"/>
    <mergeCell ref="P368:P372"/>
    <mergeCell ref="B342:B344"/>
    <mergeCell ref="C342:C344"/>
    <mergeCell ref="D342:D344"/>
    <mergeCell ref="E342:L342"/>
    <mergeCell ref="M342:O342"/>
    <mergeCell ref="P342:P344"/>
    <mergeCell ref="E343:E344"/>
    <mergeCell ref="F343:H343"/>
    <mergeCell ref="I343:K343"/>
    <mergeCell ref="L343:L344"/>
    <mergeCell ref="M343:M344"/>
    <mergeCell ref="N343:N344"/>
    <mergeCell ref="O343:O344"/>
    <mergeCell ref="B210:N210"/>
    <mergeCell ref="B180:B208"/>
    <mergeCell ref="C180:C182"/>
    <mergeCell ref="P180:P207"/>
    <mergeCell ref="C183:C185"/>
    <mergeCell ref="C186:C187"/>
    <mergeCell ref="C188:C189"/>
    <mergeCell ref="C191:C195"/>
    <mergeCell ref="C197:C199"/>
    <mergeCell ref="C200:C204"/>
    <mergeCell ref="C208:H208"/>
    <mergeCell ref="B165:B178"/>
    <mergeCell ref="P165:P171"/>
    <mergeCell ref="C173:C176"/>
    <mergeCell ref="P173:P177"/>
    <mergeCell ref="B179:H179"/>
    <mergeCell ref="B150:B162"/>
    <mergeCell ref="P150:P162"/>
    <mergeCell ref="C157:D157"/>
    <mergeCell ref="B163:D163"/>
    <mergeCell ref="B164:N164"/>
    <mergeCell ref="P147:P149"/>
    <mergeCell ref="E148:E149"/>
    <mergeCell ref="F148:H148"/>
    <mergeCell ref="I148:K148"/>
    <mergeCell ref="L148:L149"/>
    <mergeCell ref="M148:M149"/>
    <mergeCell ref="N148:N149"/>
    <mergeCell ref="O148:O149"/>
    <mergeCell ref="B147:B149"/>
    <mergeCell ref="C147:C149"/>
    <mergeCell ref="D147:D149"/>
    <mergeCell ref="E147:L147"/>
    <mergeCell ref="M147:O147"/>
    <mergeCell ref="P35:P41"/>
    <mergeCell ref="C43:C46"/>
    <mergeCell ref="P43:P47"/>
    <mergeCell ref="B80:N80"/>
    <mergeCell ref="B49:H49"/>
    <mergeCell ref="B50:B78"/>
    <mergeCell ref="C50:C52"/>
    <mergeCell ref="P50:P77"/>
    <mergeCell ref="C53:C55"/>
    <mergeCell ref="C56:C57"/>
    <mergeCell ref="C58:C59"/>
    <mergeCell ref="C61:C65"/>
    <mergeCell ref="C67:C69"/>
    <mergeCell ref="C70:C74"/>
    <mergeCell ref="C78:H78"/>
    <mergeCell ref="P20:P32"/>
    <mergeCell ref="C27:D27"/>
    <mergeCell ref="B33:D33"/>
    <mergeCell ref="B34:N34"/>
    <mergeCell ref="P17:P19"/>
    <mergeCell ref="E18:E19"/>
    <mergeCell ref="F18:H18"/>
    <mergeCell ref="I18:K18"/>
    <mergeCell ref="L18:L19"/>
    <mergeCell ref="M18:M19"/>
    <mergeCell ref="N18:N19"/>
    <mergeCell ref="O18:O19"/>
    <mergeCell ref="B13:O13"/>
    <mergeCell ref="B14:O14"/>
    <mergeCell ref="B17:B19"/>
    <mergeCell ref="C17:C19"/>
    <mergeCell ref="D17:D19"/>
    <mergeCell ref="E17:L17"/>
    <mergeCell ref="M17:O17"/>
    <mergeCell ref="B82:B84"/>
    <mergeCell ref="C82:C84"/>
    <mergeCell ref="D82:D84"/>
    <mergeCell ref="E82:L82"/>
    <mergeCell ref="M82:O82"/>
    <mergeCell ref="B20:B32"/>
    <mergeCell ref="B35:B48"/>
    <mergeCell ref="P82:P84"/>
    <mergeCell ref="E83:E84"/>
    <mergeCell ref="F83:H83"/>
    <mergeCell ref="I83:K83"/>
    <mergeCell ref="L83:L84"/>
    <mergeCell ref="M83:M84"/>
    <mergeCell ref="N83:N84"/>
    <mergeCell ref="O83:O84"/>
    <mergeCell ref="B85:B97"/>
    <mergeCell ref="P85:P97"/>
    <mergeCell ref="C92:D92"/>
    <mergeCell ref="B98:D98"/>
    <mergeCell ref="B99:N99"/>
    <mergeCell ref="B100:B113"/>
    <mergeCell ref="P100:P106"/>
    <mergeCell ref="C108:C111"/>
    <mergeCell ref="P108:P112"/>
    <mergeCell ref="B114:H114"/>
    <mergeCell ref="B145:N145"/>
    <mergeCell ref="B115:B143"/>
    <mergeCell ref="C115:C117"/>
    <mergeCell ref="P115:P142"/>
    <mergeCell ref="C118:C120"/>
    <mergeCell ref="C121:C122"/>
    <mergeCell ref="C123:C124"/>
    <mergeCell ref="C126:C130"/>
    <mergeCell ref="C132:C134"/>
    <mergeCell ref="C135:C139"/>
    <mergeCell ref="C143:H143"/>
    <mergeCell ref="B212:B214"/>
    <mergeCell ref="C212:C214"/>
    <mergeCell ref="D212:D214"/>
    <mergeCell ref="E212:L212"/>
    <mergeCell ref="M212:O212"/>
    <mergeCell ref="P212:P214"/>
    <mergeCell ref="E213:E214"/>
    <mergeCell ref="F213:H213"/>
    <mergeCell ref="I213:K213"/>
    <mergeCell ref="L213:L214"/>
    <mergeCell ref="M213:M214"/>
    <mergeCell ref="N213:N214"/>
    <mergeCell ref="O213:O214"/>
    <mergeCell ref="B215:B227"/>
    <mergeCell ref="P215:P227"/>
    <mergeCell ref="C222:D222"/>
    <mergeCell ref="B228:D228"/>
    <mergeCell ref="B229:N229"/>
    <mergeCell ref="B230:B243"/>
    <mergeCell ref="P230:P236"/>
    <mergeCell ref="C238:C241"/>
    <mergeCell ref="P238:P242"/>
    <mergeCell ref="B275:N275"/>
    <mergeCell ref="B244:H244"/>
    <mergeCell ref="B245:B273"/>
    <mergeCell ref="C245:C247"/>
    <mergeCell ref="P245:P272"/>
    <mergeCell ref="C248:C250"/>
    <mergeCell ref="C251:C252"/>
    <mergeCell ref="C253:C254"/>
    <mergeCell ref="C256:C260"/>
    <mergeCell ref="C262:C264"/>
    <mergeCell ref="C265:C269"/>
    <mergeCell ref="C273:H273"/>
    <mergeCell ref="B277:B279"/>
    <mergeCell ref="C277:C279"/>
    <mergeCell ref="D277:D279"/>
    <mergeCell ref="E277:L277"/>
    <mergeCell ref="M277:O277"/>
    <mergeCell ref="P277:P279"/>
    <mergeCell ref="E278:E279"/>
    <mergeCell ref="F278:H278"/>
    <mergeCell ref="I278:K278"/>
    <mergeCell ref="L278:L279"/>
    <mergeCell ref="M278:M279"/>
    <mergeCell ref="N278:N279"/>
    <mergeCell ref="O278:O279"/>
    <mergeCell ref="B280:B292"/>
    <mergeCell ref="P280:P292"/>
    <mergeCell ref="C287:D287"/>
    <mergeCell ref="B293:D293"/>
    <mergeCell ref="B294:N294"/>
    <mergeCell ref="B295:B308"/>
    <mergeCell ref="P295:P301"/>
    <mergeCell ref="C303:C306"/>
    <mergeCell ref="P303:P307"/>
    <mergeCell ref="B340:N340"/>
    <mergeCell ref="B309:H309"/>
    <mergeCell ref="B310:B338"/>
    <mergeCell ref="C310:C312"/>
    <mergeCell ref="P310:P337"/>
    <mergeCell ref="C313:C315"/>
    <mergeCell ref="C316:C317"/>
    <mergeCell ref="C318:C319"/>
    <mergeCell ref="C321:C325"/>
    <mergeCell ref="C327:C329"/>
    <mergeCell ref="C330:C334"/>
    <mergeCell ref="C338:H338"/>
    <mergeCell ref="B602:B604"/>
    <mergeCell ref="C602:C604"/>
    <mergeCell ref="D602:D604"/>
    <mergeCell ref="E602:L602"/>
    <mergeCell ref="M602:O602"/>
    <mergeCell ref="P602:P604"/>
    <mergeCell ref="E603:E604"/>
    <mergeCell ref="F603:H603"/>
    <mergeCell ref="I603:K603"/>
    <mergeCell ref="L603:L604"/>
    <mergeCell ref="M603:M604"/>
    <mergeCell ref="N603:N604"/>
    <mergeCell ref="O603:O604"/>
    <mergeCell ref="B605:B617"/>
    <mergeCell ref="P605:P617"/>
    <mergeCell ref="C612:D612"/>
    <mergeCell ref="B618:D618"/>
    <mergeCell ref="B619:N619"/>
    <mergeCell ref="B620:B633"/>
    <mergeCell ref="P620:P626"/>
    <mergeCell ref="C628:C631"/>
    <mergeCell ref="P628:P632"/>
    <mergeCell ref="B665:N665"/>
    <mergeCell ref="B634:H634"/>
    <mergeCell ref="B635:B663"/>
    <mergeCell ref="C635:C637"/>
    <mergeCell ref="P635:P662"/>
    <mergeCell ref="C638:C640"/>
    <mergeCell ref="C641:C642"/>
    <mergeCell ref="C643:C644"/>
    <mergeCell ref="C646:C650"/>
    <mergeCell ref="C652:C654"/>
    <mergeCell ref="C655:C659"/>
    <mergeCell ref="C663:H663"/>
    <mergeCell ref="B667:B669"/>
    <mergeCell ref="C667:C669"/>
    <mergeCell ref="D667:D669"/>
    <mergeCell ref="E667:L667"/>
    <mergeCell ref="M667:O667"/>
    <mergeCell ref="P667:P669"/>
    <mergeCell ref="E668:E669"/>
    <mergeCell ref="F668:H668"/>
    <mergeCell ref="I668:K668"/>
    <mergeCell ref="L668:L669"/>
    <mergeCell ref="M668:M669"/>
    <mergeCell ref="N668:N669"/>
    <mergeCell ref="O668:O669"/>
    <mergeCell ref="B670:B682"/>
    <mergeCell ref="P670:P682"/>
    <mergeCell ref="C677:D677"/>
    <mergeCell ref="B683:D683"/>
    <mergeCell ref="B684:N684"/>
    <mergeCell ref="B685:B698"/>
    <mergeCell ref="P685:P691"/>
    <mergeCell ref="C693:C696"/>
    <mergeCell ref="P693:P697"/>
    <mergeCell ref="B730:N730"/>
    <mergeCell ref="B699:H699"/>
    <mergeCell ref="B700:B728"/>
    <mergeCell ref="C700:C702"/>
    <mergeCell ref="P700:P727"/>
    <mergeCell ref="C703:C705"/>
    <mergeCell ref="C706:C707"/>
    <mergeCell ref="C708:C709"/>
    <mergeCell ref="C711:C715"/>
    <mergeCell ref="C717:C719"/>
    <mergeCell ref="C720:C724"/>
    <mergeCell ref="C728:H728"/>
  </mergeCells>
  <conditionalFormatting sqref="F35">
    <cfRule type="cellIs" dxfId="31" priority="31" operator="equal">
      <formula>0</formula>
    </cfRule>
  </conditionalFormatting>
  <conditionalFormatting sqref="F36:F41">
    <cfRule type="cellIs" dxfId="30" priority="32" operator="equal">
      <formula>0</formula>
    </cfRule>
  </conditionalFormatting>
  <conditionalFormatting sqref="F100">
    <cfRule type="cellIs" dxfId="29" priority="29" operator="equal">
      <formula>0</formula>
    </cfRule>
  </conditionalFormatting>
  <conditionalFormatting sqref="F101:F106">
    <cfRule type="cellIs" dxfId="28" priority="30" operator="equal">
      <formula>0</formula>
    </cfRule>
  </conditionalFormatting>
  <conditionalFormatting sqref="F165">
    <cfRule type="cellIs" dxfId="27" priority="27" operator="equal">
      <formula>0</formula>
    </cfRule>
  </conditionalFormatting>
  <conditionalFormatting sqref="F166:F171">
    <cfRule type="cellIs" dxfId="26" priority="28" operator="equal">
      <formula>0</formula>
    </cfRule>
  </conditionalFormatting>
  <conditionalFormatting sqref="F230">
    <cfRule type="cellIs" dxfId="25" priority="25" operator="equal">
      <formula>0</formula>
    </cfRule>
  </conditionalFormatting>
  <conditionalFormatting sqref="F231:F236">
    <cfRule type="cellIs" dxfId="24" priority="26" operator="equal">
      <formula>0</formula>
    </cfRule>
  </conditionalFormatting>
  <conditionalFormatting sqref="F295">
    <cfRule type="cellIs" dxfId="23" priority="23" operator="equal">
      <formula>0</formula>
    </cfRule>
  </conditionalFormatting>
  <conditionalFormatting sqref="F296:F301">
    <cfRule type="cellIs" dxfId="22" priority="24" operator="equal">
      <formula>0</formula>
    </cfRule>
  </conditionalFormatting>
  <conditionalFormatting sqref="F360">
    <cfRule type="cellIs" dxfId="21" priority="21" operator="equal">
      <formula>0</formula>
    </cfRule>
  </conditionalFormatting>
  <conditionalFormatting sqref="F361:F366">
    <cfRule type="cellIs" dxfId="20" priority="22" operator="equal">
      <formula>0</formula>
    </cfRule>
  </conditionalFormatting>
  <conditionalFormatting sqref="F425">
    <cfRule type="cellIs" dxfId="19" priority="19" operator="equal">
      <formula>0</formula>
    </cfRule>
  </conditionalFormatting>
  <conditionalFormatting sqref="F426:F431">
    <cfRule type="cellIs" dxfId="18" priority="20" operator="equal">
      <formula>0</formula>
    </cfRule>
  </conditionalFormatting>
  <conditionalFormatting sqref="F490">
    <cfRule type="cellIs" dxfId="17" priority="17" operator="equal">
      <formula>0</formula>
    </cfRule>
  </conditionalFormatting>
  <conditionalFormatting sqref="F491:F496">
    <cfRule type="cellIs" dxfId="16" priority="18" operator="equal">
      <formula>0</formula>
    </cfRule>
  </conditionalFormatting>
  <conditionalFormatting sqref="F555">
    <cfRule type="cellIs" dxfId="15" priority="15" operator="equal">
      <formula>0</formula>
    </cfRule>
  </conditionalFormatting>
  <conditionalFormatting sqref="F556:F561">
    <cfRule type="cellIs" dxfId="14" priority="16" operator="equal">
      <formula>0</formula>
    </cfRule>
  </conditionalFormatting>
  <conditionalFormatting sqref="F620">
    <cfRule type="cellIs" dxfId="13" priority="13" operator="equal">
      <formula>0</formula>
    </cfRule>
  </conditionalFormatting>
  <conditionalFormatting sqref="F621:F626">
    <cfRule type="cellIs" dxfId="12" priority="14" operator="equal">
      <formula>0</formula>
    </cfRule>
  </conditionalFormatting>
  <conditionalFormatting sqref="F685">
    <cfRule type="cellIs" dxfId="11" priority="11" operator="equal">
      <formula>0</formula>
    </cfRule>
  </conditionalFormatting>
  <conditionalFormatting sqref="F686:F691">
    <cfRule type="cellIs" dxfId="10" priority="12" operator="equal">
      <formula>0</formula>
    </cfRule>
  </conditionalFormatting>
  <conditionalFormatting sqref="F750">
    <cfRule type="cellIs" dxfId="9" priority="9" operator="equal">
      <formula>0</formula>
    </cfRule>
  </conditionalFormatting>
  <conditionalFormatting sqref="F751:F756">
    <cfRule type="cellIs" dxfId="8" priority="10" operator="equal">
      <formula>0</formula>
    </cfRule>
  </conditionalFormatting>
  <conditionalFormatting sqref="F815">
    <cfRule type="cellIs" dxfId="7" priority="7" operator="equal">
      <formula>0</formula>
    </cfRule>
  </conditionalFormatting>
  <conditionalFormatting sqref="F816:F821">
    <cfRule type="cellIs" dxfId="6" priority="8" operator="equal">
      <formula>0</formula>
    </cfRule>
  </conditionalFormatting>
  <conditionalFormatting sqref="F880">
    <cfRule type="cellIs" dxfId="5" priority="5" operator="equal">
      <formula>0</formula>
    </cfRule>
  </conditionalFormatting>
  <conditionalFormatting sqref="F881:F886">
    <cfRule type="cellIs" dxfId="4" priority="6" operator="equal">
      <formula>0</formula>
    </cfRule>
  </conditionalFormatting>
  <conditionalFormatting sqref="F945">
    <cfRule type="cellIs" dxfId="3" priority="3" operator="equal">
      <formula>0</formula>
    </cfRule>
  </conditionalFormatting>
  <conditionalFormatting sqref="F946:F951">
    <cfRule type="cellIs" dxfId="2" priority="4" operator="equal">
      <formula>0</formula>
    </cfRule>
  </conditionalFormatting>
  <conditionalFormatting sqref="F1010">
    <cfRule type="cellIs" dxfId="1" priority="1" operator="equal">
      <formula>0</formula>
    </cfRule>
  </conditionalFormatting>
  <conditionalFormatting sqref="F1011:F1016"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01 Prod Physique Boites</vt:lpstr>
      <vt:lpstr>02 Prod Valorisée Boites</vt:lpstr>
      <vt:lpstr>03 Prod Accessoires</vt:lpstr>
      <vt:lpstr>04 Ventes</vt:lpstr>
      <vt:lpstr>05 Activité Consolidée</vt:lpstr>
      <vt:lpstr>06 TRS</vt:lpstr>
      <vt:lpstr>07 Graphique</vt:lpstr>
      <vt:lpstr>REFERENCE PU</vt:lpstr>
      <vt:lpstr>'01 Prod Physique Boites'!Zone_d_impression</vt:lpstr>
      <vt:lpstr>'02 Prod Valorisée Boites'!Zone_d_impression</vt:lpstr>
      <vt:lpstr>'03 Prod Accessoires'!Zone_d_impression</vt:lpstr>
      <vt:lpstr>'04 Ventes'!Zone_d_impression</vt:lpstr>
      <vt:lpstr>'05 Activité Consolidée'!Zone_d_impression</vt:lpstr>
      <vt:lpstr>'06 TRS'!Zone_d_impression</vt:lpstr>
      <vt:lpstr>'07 Graphique'!Zone_d_impression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2022-02-09T12:55:37Z</dcterms:modified>
</cp:coreProperties>
</file>