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A942ECD-67AD-402C-831A-041C4825C7FB}" xr6:coauthVersionLast="47" xr6:coauthVersionMax="47" xr10:uidLastSave="{00000000-0000-0000-0000-000000000000}"/>
  <bookViews>
    <workbookView xWindow="-110" yWindow="-110" windowWidth="19420" windowHeight="10560" activeTab="4" xr2:uid="{93738342-9865-40C0-A4D8-9C49DAABBB6A}"/>
  </bookViews>
  <sheets>
    <sheet name="AAPL" sheetId="2" r:id="rId1"/>
    <sheet name="Analysis" sheetId="1" r:id="rId2"/>
    <sheet name="Binomial" sheetId="3" r:id="rId3"/>
    <sheet name="Black Scholes" sheetId="4" r:id="rId4"/>
    <sheet name="Delta Neutral Portfolio" sheetId="5" r:id="rId5"/>
  </sheets>
  <definedNames>
    <definedName name="ExternalData_1" localSheetId="0" hidden="1">AAPL!$A$2:$B$255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4" l="1"/>
  <c r="F8" i="4"/>
  <c r="F9" i="4"/>
  <c r="F10" i="4"/>
  <c r="F11" i="4"/>
  <c r="F12" i="4"/>
  <c r="F13" i="4"/>
  <c r="F14" i="4"/>
  <c r="F15" i="4"/>
  <c r="F16" i="4"/>
  <c r="F17" i="4"/>
  <c r="F6" i="4"/>
  <c r="B17" i="5"/>
  <c r="B16" i="5"/>
  <c r="B15" i="5"/>
  <c r="B14" i="5"/>
  <c r="B13" i="5"/>
  <c r="B12" i="5"/>
  <c r="B11" i="5"/>
  <c r="B10" i="5"/>
  <c r="B9" i="5"/>
  <c r="B8" i="5"/>
  <c r="B7" i="5"/>
  <c r="B6" i="5"/>
  <c r="I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4" i="2"/>
  <c r="C256" i="2" s="1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4" i="4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16" i="1"/>
  <c r="B15" i="1"/>
  <c r="B14" i="1"/>
  <c r="B13" i="1"/>
  <c r="B12" i="1"/>
  <c r="B11" i="1"/>
  <c r="B10" i="1"/>
  <c r="B9" i="1"/>
  <c r="B8" i="1"/>
  <c r="B7" i="1"/>
  <c r="B6" i="1"/>
  <c r="B5" i="1"/>
  <c r="I3" i="2"/>
  <c r="F3" i="2"/>
  <c r="C10" i="1" s="1"/>
  <c r="C8" i="1" l="1"/>
  <c r="C12" i="1"/>
  <c r="C16" i="1"/>
  <c r="C5" i="1"/>
  <c r="C9" i="1"/>
  <c r="C13" i="1"/>
  <c r="C14" i="4"/>
  <c r="C6" i="1"/>
  <c r="C14" i="1"/>
  <c r="C7" i="1"/>
  <c r="C11" i="1"/>
  <c r="C15" i="1"/>
  <c r="D13" i="1" l="1"/>
  <c r="D14" i="1"/>
  <c r="F14" i="1" s="1"/>
  <c r="C16" i="4"/>
  <c r="D12" i="1"/>
  <c r="F12" i="1" s="1"/>
  <c r="D7" i="1"/>
  <c r="C8" i="4"/>
  <c r="D8" i="4" s="1"/>
  <c r="C12" i="4"/>
  <c r="D12" i="4" s="1"/>
  <c r="E12" i="4" s="1"/>
  <c r="D9" i="1"/>
  <c r="F9" i="1" s="1"/>
  <c r="D10" i="1"/>
  <c r="D15" i="1"/>
  <c r="D8" i="1"/>
  <c r="C17" i="4"/>
  <c r="C7" i="4"/>
  <c r="C6" i="4"/>
  <c r="D6" i="4" s="1"/>
  <c r="E6" i="4" s="1"/>
  <c r="C11" i="4"/>
  <c r="D11" i="4" s="1"/>
  <c r="C10" i="4"/>
  <c r="D10" i="4" s="1"/>
  <c r="E10" i="4" s="1"/>
  <c r="C13" i="4"/>
  <c r="D13" i="4" s="1"/>
  <c r="E13" i="4" s="1"/>
  <c r="D5" i="1"/>
  <c r="F5" i="1" s="1"/>
  <c r="C9" i="4"/>
  <c r="D9" i="4" s="1"/>
  <c r="E9" i="4" s="1"/>
  <c r="D16" i="1"/>
  <c r="F16" i="1" s="1"/>
  <c r="D6" i="1"/>
  <c r="F6" i="1" s="1"/>
  <c r="D11" i="1"/>
  <c r="C15" i="4"/>
  <c r="D15" i="4" s="1"/>
  <c r="E15" i="4" s="1"/>
  <c r="D7" i="4"/>
  <c r="E7" i="4" s="1"/>
  <c r="D14" i="4"/>
  <c r="E14" i="4" s="1"/>
  <c r="E8" i="4"/>
  <c r="F11" i="1"/>
  <c r="E11" i="1"/>
  <c r="F10" i="1"/>
  <c r="E10" i="1"/>
  <c r="F15" i="1"/>
  <c r="E15" i="1"/>
  <c r="E14" i="1"/>
  <c r="F13" i="1"/>
  <c r="E13" i="1"/>
  <c r="F7" i="1"/>
  <c r="E7" i="1"/>
  <c r="E5" i="1" l="1"/>
  <c r="G5" i="1" s="1"/>
  <c r="E12" i="1"/>
  <c r="H12" i="1" s="1"/>
  <c r="I12" i="1" s="1"/>
  <c r="E9" i="1"/>
  <c r="G9" i="1" s="1"/>
  <c r="E16" i="1"/>
  <c r="G16" i="1" s="1"/>
  <c r="D17" i="4"/>
  <c r="E17" i="4" s="1"/>
  <c r="E6" i="1"/>
  <c r="H6" i="1" s="1"/>
  <c r="I6" i="1" s="1"/>
  <c r="E8" i="1"/>
  <c r="F8" i="1"/>
  <c r="D16" i="4"/>
  <c r="E16" i="4" s="1"/>
  <c r="E11" i="4"/>
  <c r="G7" i="1"/>
  <c r="H7" i="1"/>
  <c r="I7" i="1" s="1"/>
  <c r="S10" i="3"/>
  <c r="I10" i="3"/>
  <c r="D10" i="3"/>
  <c r="X10" i="3"/>
  <c r="N10" i="3"/>
  <c r="X8" i="3"/>
  <c r="S8" i="3"/>
  <c r="N8" i="3"/>
  <c r="I8" i="3"/>
  <c r="D8" i="3"/>
  <c r="X14" i="3"/>
  <c r="S14" i="3"/>
  <c r="N14" i="3"/>
  <c r="D14" i="3"/>
  <c r="I14" i="3"/>
  <c r="G14" i="1"/>
  <c r="H14" i="1"/>
  <c r="I14" i="1" s="1"/>
  <c r="G12" i="1"/>
  <c r="N9" i="3"/>
  <c r="D9" i="3"/>
  <c r="X9" i="3"/>
  <c r="S9" i="3"/>
  <c r="I9" i="3"/>
  <c r="G13" i="1"/>
  <c r="H13" i="1"/>
  <c r="I13" i="1" s="1"/>
  <c r="G10" i="1"/>
  <c r="H10" i="1"/>
  <c r="I10" i="1" s="1"/>
  <c r="H9" i="1"/>
  <c r="I9" i="1" s="1"/>
  <c r="X19" i="3"/>
  <c r="N19" i="3"/>
  <c r="S19" i="3"/>
  <c r="I19" i="3"/>
  <c r="D19" i="3"/>
  <c r="D12" i="3"/>
  <c r="X12" i="3"/>
  <c r="N12" i="3"/>
  <c r="S12" i="3"/>
  <c r="I12" i="3"/>
  <c r="G11" i="1"/>
  <c r="H11" i="1"/>
  <c r="I11" i="1" s="1"/>
  <c r="X17" i="3"/>
  <c r="D17" i="3"/>
  <c r="S17" i="3"/>
  <c r="I17" i="3"/>
  <c r="N17" i="3"/>
  <c r="G15" i="1"/>
  <c r="H15" i="1"/>
  <c r="I15" i="1" s="1"/>
  <c r="D15" i="3"/>
  <c r="I15" i="3"/>
  <c r="X15" i="3"/>
  <c r="N15" i="3"/>
  <c r="S15" i="3"/>
  <c r="S18" i="3"/>
  <c r="I18" i="3"/>
  <c r="D18" i="3"/>
  <c r="X18" i="3"/>
  <c r="N18" i="3"/>
  <c r="N16" i="3"/>
  <c r="D16" i="3"/>
  <c r="X16" i="3"/>
  <c r="I16" i="3"/>
  <c r="S16" i="3"/>
  <c r="D13" i="3"/>
  <c r="S13" i="3"/>
  <c r="I13" i="3"/>
  <c r="X13" i="3"/>
  <c r="N13" i="3"/>
  <c r="H5" i="1"/>
  <c r="I5" i="1" s="1"/>
  <c r="G6" i="1" l="1"/>
  <c r="H16" i="1"/>
  <c r="I16" i="1" s="1"/>
  <c r="N11" i="3"/>
  <c r="X11" i="3"/>
  <c r="S11" i="3"/>
  <c r="D11" i="3"/>
  <c r="I11" i="3"/>
  <c r="H8" i="1"/>
  <c r="I8" i="1" s="1"/>
  <c r="G8" i="1"/>
  <c r="E12" i="3"/>
  <c r="F12" i="3" s="1"/>
  <c r="G12" i="3" s="1"/>
  <c r="Y12" i="3"/>
  <c r="Z12" i="3" s="1"/>
  <c r="AA12" i="3" s="1"/>
  <c r="T12" i="3"/>
  <c r="U12" i="3" s="1"/>
  <c r="V12" i="3" s="1"/>
  <c r="J12" i="3"/>
  <c r="K12" i="3" s="1"/>
  <c r="L12" i="3" s="1"/>
  <c r="O12" i="3"/>
  <c r="P12" i="3" s="1"/>
  <c r="Q12" i="3" s="1"/>
  <c r="J8" i="3"/>
  <c r="K8" i="3" s="1"/>
  <c r="L8" i="3" s="1"/>
  <c r="T8" i="3"/>
  <c r="U8" i="3" s="1"/>
  <c r="V8" i="3" s="1"/>
  <c r="E8" i="3"/>
  <c r="Y8" i="3"/>
  <c r="O8" i="3"/>
  <c r="P8" i="3" s="1"/>
  <c r="Q8" i="3" s="1"/>
  <c r="T18" i="3"/>
  <c r="U18" i="3" s="1"/>
  <c r="V18" i="3" s="1"/>
  <c r="O18" i="3"/>
  <c r="P18" i="3" s="1"/>
  <c r="Q18" i="3" s="1"/>
  <c r="J18" i="3"/>
  <c r="K18" i="3" s="1"/>
  <c r="L18" i="3" s="1"/>
  <c r="E18" i="3"/>
  <c r="F18" i="3" s="1"/>
  <c r="G18" i="3" s="1"/>
  <c r="Y18" i="3"/>
  <c r="Z18" i="3" s="1"/>
  <c r="AA18" i="3" s="1"/>
  <c r="Y13" i="3"/>
  <c r="Z13" i="3" s="1"/>
  <c r="AA13" i="3" s="1"/>
  <c r="E13" i="3"/>
  <c r="F13" i="3" s="1"/>
  <c r="G13" i="3" s="1"/>
  <c r="T13" i="3"/>
  <c r="U13" i="3" s="1"/>
  <c r="V13" i="3" s="1"/>
  <c r="O13" i="3"/>
  <c r="P13" i="3" s="1"/>
  <c r="Q13" i="3" s="1"/>
  <c r="J13" i="3"/>
  <c r="K13" i="3" s="1"/>
  <c r="L13" i="3" s="1"/>
  <c r="Z8" i="3"/>
  <c r="AA8" i="3" s="1"/>
  <c r="E15" i="3"/>
  <c r="F15" i="3" s="1"/>
  <c r="G15" i="3" s="1"/>
  <c r="T15" i="3"/>
  <c r="O15" i="3"/>
  <c r="J15" i="3"/>
  <c r="K15" i="3" s="1"/>
  <c r="L15" i="3" s="1"/>
  <c r="Y15" i="3"/>
  <c r="Z15" i="3" s="1"/>
  <c r="AA15" i="3" s="1"/>
  <c r="Y16" i="3"/>
  <c r="Z16" i="3" s="1"/>
  <c r="AA16" i="3" s="1"/>
  <c r="T16" i="3"/>
  <c r="U16" i="3" s="1"/>
  <c r="V16" i="3" s="1"/>
  <c r="O16" i="3"/>
  <c r="P16" i="3" s="1"/>
  <c r="Q16" i="3" s="1"/>
  <c r="J16" i="3"/>
  <c r="K16" i="3" s="1"/>
  <c r="L16" i="3" s="1"/>
  <c r="E16" i="3"/>
  <c r="F16" i="3" s="1"/>
  <c r="G16" i="3" s="1"/>
  <c r="T19" i="3"/>
  <c r="Y19" i="3"/>
  <c r="Z19" i="3" s="1"/>
  <c r="AA19" i="3" s="1"/>
  <c r="O19" i="3"/>
  <c r="P19" i="3" s="1"/>
  <c r="Q19" i="3" s="1"/>
  <c r="E19" i="3"/>
  <c r="F19" i="3" s="1"/>
  <c r="G19" i="3" s="1"/>
  <c r="J19" i="3"/>
  <c r="E17" i="3"/>
  <c r="F17" i="3" s="1"/>
  <c r="G17" i="3" s="1"/>
  <c r="Y17" i="3"/>
  <c r="Z17" i="3" s="1"/>
  <c r="AA17" i="3" s="1"/>
  <c r="T17" i="3"/>
  <c r="U17" i="3" s="1"/>
  <c r="V17" i="3" s="1"/>
  <c r="O17" i="3"/>
  <c r="P17" i="3" s="1"/>
  <c r="Q17" i="3" s="1"/>
  <c r="J17" i="3"/>
  <c r="K17" i="3" s="1"/>
  <c r="L17" i="3" s="1"/>
  <c r="E9" i="3"/>
  <c r="F9" i="3" s="1"/>
  <c r="G9" i="3" s="1"/>
  <c r="J9" i="3"/>
  <c r="K9" i="3" s="1"/>
  <c r="L9" i="3" s="1"/>
  <c r="Y9" i="3"/>
  <c r="Z9" i="3" s="1"/>
  <c r="AA9" i="3" s="1"/>
  <c r="T9" i="3"/>
  <c r="U9" i="3" s="1"/>
  <c r="V9" i="3" s="1"/>
  <c r="O9" i="3"/>
  <c r="P9" i="3" s="1"/>
  <c r="Q9" i="3" s="1"/>
  <c r="U15" i="3"/>
  <c r="V15" i="3" s="1"/>
  <c r="P15" i="3"/>
  <c r="Q15" i="3" s="1"/>
  <c r="T14" i="3"/>
  <c r="U14" i="3" s="1"/>
  <c r="V14" i="3" s="1"/>
  <c r="O14" i="3"/>
  <c r="P14" i="3" s="1"/>
  <c r="Q14" i="3" s="1"/>
  <c r="J14" i="3"/>
  <c r="K14" i="3" s="1"/>
  <c r="L14" i="3" s="1"/>
  <c r="E14" i="3"/>
  <c r="F14" i="3" s="1"/>
  <c r="G14" i="3" s="1"/>
  <c r="Y14" i="3"/>
  <c r="Z14" i="3" s="1"/>
  <c r="AA14" i="3" s="1"/>
  <c r="E10" i="3"/>
  <c r="F10" i="3" s="1"/>
  <c r="G10" i="3" s="1"/>
  <c r="T10" i="3"/>
  <c r="U10" i="3" s="1"/>
  <c r="V10" i="3" s="1"/>
  <c r="Y10" i="3"/>
  <c r="Z10" i="3" s="1"/>
  <c r="AA10" i="3" s="1"/>
  <c r="O10" i="3"/>
  <c r="P10" i="3" s="1"/>
  <c r="Q10" i="3" s="1"/>
  <c r="J10" i="3"/>
  <c r="K10" i="3" s="1"/>
  <c r="L10" i="3" s="1"/>
  <c r="K19" i="3" l="1"/>
  <c r="L19" i="3" s="1"/>
  <c r="U19" i="3"/>
  <c r="V19" i="3" s="1"/>
  <c r="C6" i="5" a="1"/>
  <c r="F8" i="3"/>
  <c r="G8" i="3" s="1"/>
  <c r="O11" i="3"/>
  <c r="P11" i="3" s="1"/>
  <c r="Q11" i="3" s="1"/>
  <c r="J11" i="3"/>
  <c r="K11" i="3" s="1"/>
  <c r="L11" i="3" s="1"/>
  <c r="Y11" i="3"/>
  <c r="Z11" i="3" s="1"/>
  <c r="AA11" i="3" s="1"/>
  <c r="E11" i="3"/>
  <c r="D6" i="5" s="1" a="1"/>
  <c r="D6" i="5" s="1"/>
  <c r="T11" i="3"/>
  <c r="U11" i="3" s="1"/>
  <c r="V11" i="3" s="1"/>
  <c r="E6" i="5" a="1"/>
  <c r="E6" i="5" s="1"/>
  <c r="C6" i="5" l="1"/>
  <c r="G6" i="5" s="1"/>
  <c r="G7" i="5"/>
  <c r="G11" i="5"/>
  <c r="G15" i="5"/>
  <c r="G14" i="5"/>
  <c r="G8" i="5"/>
  <c r="G12" i="5"/>
  <c r="G16" i="5"/>
  <c r="G9" i="5"/>
  <c r="G13" i="5"/>
  <c r="G17" i="5"/>
  <c r="G10" i="5"/>
  <c r="F11" i="3"/>
  <c r="G1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63BC8C-61BD-4C2D-BE5A-5B6D1FE22617}" keepAlive="1" name="Query - AAPL (2)" description="Connection to the 'AAPL (2)' query in the workbook." type="5" refreshedVersion="7" background="1" saveData="1">
    <dbPr connection="Provider=Microsoft.Mashup.OleDb.1;Data Source=$Workbook$;Location=&quot;AAPL (2)&quot;;Extended Properties=&quot;&quot;" command="SELECT * FROM [AAPL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<sst xmlns="http://schemas.openxmlformats.org/spreadsheetml/2006/main" count="67" uniqueCount="48">
  <si>
    <t>Date</t>
  </si>
  <si>
    <t>Close</t>
  </si>
  <si>
    <t>Log return</t>
  </si>
  <si>
    <t>Volatility (Std dev)</t>
  </si>
  <si>
    <t>S(0)</t>
  </si>
  <si>
    <t>10 years’ US treasury rate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</si>
  <si>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</si>
  <si>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</si>
  <si>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</si>
  <si>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</si>
  <si>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</si>
  <si>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</si>
  <si>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</si>
  <si>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</si>
  <si>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</si>
  <si>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</si>
  <si>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 year</t>
  </si>
  <si>
    <t>1 month</t>
  </si>
  <si>
    <t>u</t>
  </si>
  <si>
    <t>d</t>
  </si>
  <si>
    <t>Su(T)</t>
  </si>
  <si>
    <t>Sd(T)</t>
  </si>
  <si>
    <t>C(0)</t>
  </si>
  <si>
    <t>p tilda</t>
  </si>
  <si>
    <t>1 - (p tilda)</t>
  </si>
  <si>
    <t>P(0)</t>
  </si>
  <si>
    <t>d1</t>
  </si>
  <si>
    <t>d2</t>
  </si>
  <si>
    <t>Date of Maturity</t>
  </si>
  <si>
    <t>Max(Su(T)-K, 0)</t>
  </si>
  <si>
    <t>Max(Sd(T)-K, 0)</t>
  </si>
  <si>
    <t>Duration of Maturity</t>
  </si>
  <si>
    <t>Using Black Scholes</t>
  </si>
  <si>
    <t>Delta Neutral Portfolio (for 1 step binomial model)</t>
  </si>
  <si>
    <t>V1(u)</t>
  </si>
  <si>
    <t>V1(d)</t>
  </si>
  <si>
    <t>S1(u)</t>
  </si>
  <si>
    <t>S1(d)</t>
  </si>
  <si>
    <t>Analysis</t>
  </si>
  <si>
    <t>One Step Binomial Model</t>
  </si>
  <si>
    <t>Strike prices</t>
  </si>
  <si>
    <t xml:space="preserve">AAPL (18 Apr., '23 - 18 Apr. '24) </t>
  </si>
  <si>
    <t>Current Stock Price</t>
  </si>
  <si>
    <t>Estimating Volatility from Historical Data</t>
  </si>
  <si>
    <t>r</t>
  </si>
  <si>
    <t xml:space="preserve"> Date Of Maturity</t>
  </si>
  <si>
    <t>∆0</t>
  </si>
  <si>
    <r>
      <t xml:space="preserve"> </t>
    </r>
    <r>
      <rPr>
        <sz val="11"/>
        <color theme="1"/>
        <rFont val="Calibri"/>
        <family val="2"/>
      </rPr>
      <t>Δt</t>
    </r>
    <r>
      <rPr>
        <sz val="11"/>
        <color theme="1"/>
        <rFont val="Calibri"/>
        <family val="2"/>
        <scheme val="minor"/>
      </rPr>
      <t>(In Year)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</si>
</sst>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71" formatCode="0.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 (Body)"/>
    </font>
    <font>
      <i/>
      <sz val="11"/>
      <color rgb="FF7F7F7F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theme="5" tint="0.79998168889431442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0" fillId="0" borderId="4" xfId="0" applyBorder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NumberFormat="1"/>
    <xf numFmtId="0" fontId="0" fillId="0" borderId="7" xfId="0" applyBorder="1"/>
    <xf numFmtId="0" fontId="0" fillId="0" borderId="8" xfId="0" applyBorder="1"/>
    <xf numFmtId="14" fontId="0" fillId="0" borderId="1" xfId="0" applyNumberFormat="1" applyBorder="1"/>
    <xf numFmtId="0" fontId="0" fillId="0" borderId="9" xfId="0" applyBorder="1"/>
    <xf numFmtId="14" fontId="0" fillId="0" borderId="4" xfId="0" applyNumberFormat="1" applyBorder="1"/>
    <xf numFmtId="0" fontId="0" fillId="0" borderId="10" xfId="0" applyBorder="1"/>
    <xf numFmtId="0" fontId="0" fillId="0" borderId="12" xfId="0" applyBorder="1"/>
    <xf numFmtId="14" fontId="0" fillId="8" borderId="1" xfId="0" applyNumberForma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0" fontId="0" fillId="10" borderId="1" xfId="0" applyFill="1" applyBorder="1"/>
    <xf numFmtId="0" fontId="0" fillId="9" borderId="1" xfId="0" applyFill="1" applyBorder="1" applyAlignment="1">
      <alignment horizontal="center" wrapText="1"/>
    </xf>
    <xf numFmtId="164" fontId="0" fillId="9" borderId="1" xfId="1" applyNumberFormat="1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71" fontId="0" fillId="0" borderId="1" xfId="0" applyNumberFormat="1" applyBorder="1"/>
    <xf numFmtId="0" fontId="4" fillId="0" borderId="11" xfId="2" applyBorder="1" applyAlignment="1">
      <alignment horizontal="left"/>
    </xf>
    <xf numFmtId="0" fontId="4" fillId="0" borderId="0" xfId="2" applyBorder="1" applyAlignment="1">
      <alignment horizontal="left"/>
    </xf>
    <xf numFmtId="0" fontId="4" fillId="0" borderId="11" xfId="2" applyBorder="1" applyAlignment="1">
      <alignment horizontal="left" wrapText="1"/>
    </xf>
    <xf numFmtId="0" fontId="4" fillId="0" borderId="0" xfId="2" applyBorder="1" applyAlignment="1">
      <alignment horizontal="left" wrapText="1"/>
    </xf>
    <xf numFmtId="0" fontId="4" fillId="0" borderId="11" xfId="2" applyBorder="1" applyAlignment="1">
      <alignment wrapText="1"/>
    </xf>
    <xf numFmtId="0" fontId="6" fillId="11" borderId="1" xfId="0" applyFont="1" applyFill="1" applyBorder="1" applyAlignment="1">
      <alignment horizontal="center" wrapText="1"/>
    </xf>
    <xf numFmtId="14" fontId="0" fillId="13" borderId="1" xfId="0" applyNumberFormat="1" applyFont="1" applyFill="1" applyBorder="1"/>
    <xf numFmtId="14" fontId="0" fillId="14" borderId="1" xfId="0" applyNumberFormat="1" applyFont="1" applyFill="1" applyBorder="1"/>
  </cellXfs>
  <cellStyles count="3">
    <cellStyle name="Explanatory Text" xfId="2" builtinId="53"/>
    <cellStyle name="Normal" xfId="0" builtinId="0"/>
    <cellStyle name="Percent" xfId="1" builtinId="5"/>
  </cellStyles>
  <dxfs count="1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8</xdr:row>
      <xdr:rowOff>139700</xdr:rowOff>
    </xdr:from>
    <xdr:to>
      <xdr:col>9</xdr:col>
      <xdr:colOff>44450</xdr:colOff>
      <xdr:row>13</xdr:row>
      <xdr:rowOff>19050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5714E76-ACB2-4D59-AB6D-06C05ABC3783}"/>
                </a:ext>
              </a:extLst>
            </xdr:cNvPr>
            <xdr:cNvSpPr txBox="1"/>
          </xdr:nvSpPr>
          <xdr:spPr>
            <a:xfrm>
              <a:off x="4457700" y="1612900"/>
              <a:ext cx="2089150" cy="800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Log return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𝑅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−1</m:t>
                                    </m:r>
                                  </m:e>
                                </m:d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5714E76-ACB2-4D59-AB6D-06C05ABC3783}"/>
                </a:ext>
              </a:extLst>
            </xdr:cNvPr>
            <xdr:cNvSpPr txBox="1"/>
          </xdr:nvSpPr>
          <xdr:spPr>
            <a:xfrm>
              <a:off x="4457700" y="1612900"/>
              <a:ext cx="2089150" cy="800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Log return</a:t>
              </a: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𝑅(𝑖)=ln⁡(𝑆(𝑖)/𝑆(𝑖−1) )</a:t>
              </a:r>
              <a:endParaRPr lang="en-IN" sz="1100"/>
            </a:p>
          </xdr:txBody>
        </xdr:sp>
      </mc:Fallback>
    </mc:AlternateContent>
    <xdr:clientData/>
  </xdr:twoCellAnchor>
  <xdr:twoCellAnchor>
    <xdr:from>
      <xdr:col>6</xdr:col>
      <xdr:colOff>6350</xdr:colOff>
      <xdr:row>13</xdr:row>
      <xdr:rowOff>88900</xdr:rowOff>
    </xdr:from>
    <xdr:to>
      <xdr:col>9</xdr:col>
      <xdr:colOff>12700</xdr:colOff>
      <xdr:row>21</xdr:row>
      <xdr:rowOff>146050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3542AEE-4B03-4F15-B699-3337F894EA0C}"/>
                </a:ext>
              </a:extLst>
            </xdr:cNvPr>
            <xdr:cNvSpPr txBox="1"/>
          </xdr:nvSpPr>
          <xdr:spPr>
            <a:xfrm>
              <a:off x="4451350" y="2482850"/>
              <a:ext cx="2063750" cy="1530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n-NO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Annual volatility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n-NO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𝜎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IN">
                <a:effectLst/>
              </a:endParaRPr>
            </a:p>
            <a:p>
              <a:r>
                <a:rPr lang="en-IN" sz="1100" i="1"/>
                <a:t>where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𝑅</m:t>
                                    </m:r>
                                  </m:e>
                                </m:acc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3542AEE-4B03-4F15-B699-3337F894EA0C}"/>
                </a:ext>
              </a:extLst>
            </xdr:cNvPr>
            <xdr:cNvSpPr txBox="1"/>
          </xdr:nvSpPr>
          <xdr:spPr>
            <a:xfrm>
              <a:off x="4451350" y="2482850"/>
              <a:ext cx="2063750" cy="1530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n-NO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Annual volatility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n-NO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=𝑠/√𝑡</a:t>
              </a:r>
              <a:endParaRPr lang="en-IN">
                <a:effectLst/>
              </a:endParaRPr>
            </a:p>
            <a:p>
              <a:r>
                <a:rPr lang="en-IN" sz="1100" i="1"/>
                <a:t>where</a:t>
              </a: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𝑠=√(1/(𝑛−1) ∑_(𝑖=1)^𝑛▒〖(𝑅(𝑖)−𝑅 ̅)〗^2 )</a:t>
              </a:r>
              <a:endParaRPr lang="en-IN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612775</xdr:colOff>
      <xdr:row>8</xdr:row>
      <xdr:rowOff>34925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B73DAA-2DBF-407B-BB72-20740175459D}"/>
            </a:ext>
          </a:extLst>
        </xdr:cNvPr>
        <xdr:cNvSpPr txBox="1"/>
      </xdr:nvSpPr>
      <xdr:spPr>
        <a:xfrm>
          <a:off x="5413375" y="1552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9</xdr:col>
      <xdr:colOff>603250</xdr:colOff>
      <xdr:row>2</xdr:row>
      <xdr:rowOff>165100</xdr:rowOff>
    </xdr:from>
    <xdr:to>
      <xdr:col>13</xdr:col>
      <xdr:colOff>241300</xdr:colOff>
      <xdr:row>11</xdr:row>
      <xdr:rowOff>158750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6513F99-C5B2-4C16-9913-E561A26FBAF0}"/>
                </a:ext>
              </a:extLst>
            </xdr:cNvPr>
            <xdr:cNvSpPr txBox="1"/>
          </xdr:nvSpPr>
          <xdr:spPr>
            <a:xfrm>
              <a:off x="8051800" y="577850"/>
              <a:ext cx="2101850" cy="1651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i="1"/>
                <a:t>Up</a:t>
              </a:r>
              <a:r>
                <a:rPr lang="en-IN" sz="1100" i="1" baseline="0"/>
                <a:t> and down factor: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𝑢</m:t>
                    </m:r>
                    <m:r>
                      <a:rPr 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</m:t>
                        </m:r>
                      </m:den>
                    </m:f>
                    <m:r>
                      <a:rPr lang="en-US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1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en-US" sz="110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</m:rad>
                      </m:sup>
                    </m:sSup>
                  </m:oMath>
                </m:oMathPara>
              </a14:m>
              <a:endParaRPr lang="en-IN" sz="1100" i="1"/>
            </a:p>
            <a:p>
              <a:r>
                <a:rPr lang="en-IN" sz="1100" i="1"/>
                <a:t>Future</a:t>
              </a:r>
              <a:r>
                <a:rPr lang="en-IN" sz="1100" i="1" baseline="0"/>
                <a:t> Stock Values:</a:t>
              </a:r>
              <a:endParaRPr lang="en-IN" sz="1100" i="1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𝑆𝑢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𝑢</m:t>
                    </m:r>
                  </m:oMath>
                </m:oMathPara>
              </a14:m>
              <a:endParaRPr lang="en-IN" sz="1100" i="1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𝑆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𝑇</m:t>
                        </m:r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𝑆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</m:oMath>
                </m:oMathPara>
              </a14:m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i="1">
                  <a:effectLst/>
                </a:rPr>
                <a:t>Risk-neutral</a:t>
              </a:r>
              <a:r>
                <a:rPr lang="en-IN" i="1" baseline="0">
                  <a:effectLst/>
                </a:rPr>
                <a:t> Probability: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</m:t>
                    </m:r>
                    <m:r>
                      <a:rPr lang="en-US" sz="11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tilde</m:t>
                    </m:r>
                    <m:r>
                      <a:rPr lang="en-US" sz="1100" i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ⅇ</m:t>
                            </m:r>
                          </m:e>
                          <m:sup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𝑢</m:t>
                        </m:r>
                        <m:r>
                          <a:rPr lang="en-US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</m:t>
                        </m:r>
                      </m:den>
                    </m:f>
                  </m:oMath>
                </m:oMathPara>
              </a14:m>
              <a:endParaRPr lang="en-IN" i="1">
                <a:effectLst/>
              </a:endParaRPr>
            </a:p>
            <a:p>
              <a:endParaRPr lang="en-IN" sz="1100" i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6513F99-C5B2-4C16-9913-E561A26FBAF0}"/>
                </a:ext>
              </a:extLst>
            </xdr:cNvPr>
            <xdr:cNvSpPr txBox="1"/>
          </xdr:nvSpPr>
          <xdr:spPr>
            <a:xfrm>
              <a:off x="8051800" y="577850"/>
              <a:ext cx="2101850" cy="1651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i="1"/>
                <a:t>Up</a:t>
              </a:r>
              <a:r>
                <a:rPr lang="en-IN" sz="1100" i="1" baseline="0"/>
                <a:t> and down factor:</a:t>
              </a:r>
            </a:p>
            <a:p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𝑢=1/d=𝑒^(𝜎√∆𝑡)</a:t>
              </a:r>
              <a:endParaRPr lang="en-IN" sz="1100" i="1"/>
            </a:p>
            <a:p>
              <a:r>
                <a:rPr lang="en-IN" sz="1100" i="1"/>
                <a:t>Future</a:t>
              </a:r>
              <a:r>
                <a:rPr lang="en-IN" sz="1100" i="1" baseline="0"/>
                <a:t> Stock Values:</a:t>
              </a:r>
              <a:endParaRPr lang="en-IN" sz="1100" i="1"/>
            </a:p>
            <a:p>
              <a:r>
                <a:rPr lang="en-US" sz="1100" b="0" i="0">
                  <a:latin typeface="Cambria Math" panose="02040503050406030204" pitchFamily="18" charset="0"/>
                </a:rPr>
                <a:t>𝑆𝑢(𝑇)=𝑆(0)∗𝑢</a:t>
              </a:r>
              <a:endParaRPr lang="en-IN" sz="1100" i="1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(𝑇)=𝑆(0)∗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i="1">
                  <a:effectLst/>
                </a:rPr>
                <a:t>Risk-neutral</a:t>
              </a:r>
              <a:r>
                <a:rPr lang="en-IN" i="1" baseline="0">
                  <a:effectLst/>
                </a:rPr>
                <a:t> Probability: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 tilde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=(ⅇ^𝑟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𝑡−𝑑)/(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𝑢−𝑑)</a:t>
              </a:r>
              <a:endParaRPr lang="en-IN" i="1">
                <a:effectLst/>
              </a:endParaRPr>
            </a:p>
            <a:p>
              <a:endParaRPr lang="en-IN" sz="1100" i="1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20</xdr:row>
      <xdr:rowOff>6350</xdr:rowOff>
    </xdr:from>
    <xdr:to>
      <xdr:col>8</xdr:col>
      <xdr:colOff>844550</xdr:colOff>
      <xdr:row>25</xdr:row>
      <xdr:rowOff>171450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2649C0-EDF0-4775-86DE-38801E8CB97A}"/>
                </a:ext>
              </a:extLst>
            </xdr:cNvPr>
            <xdr:cNvSpPr txBox="1"/>
          </xdr:nvSpPr>
          <xdr:spPr>
            <a:xfrm>
              <a:off x="2241550" y="3689350"/>
              <a:ext cx="4572000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i="1"/>
                <a:t>Call</a:t>
              </a:r>
              <a:r>
                <a:rPr lang="en-IN" sz="1100" i="1" baseline="0"/>
                <a:t>-Option value: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𝐶</m:t>
                    </m:r>
                    <m:d>
                      <m:d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𝑂</m:t>
                        </m:r>
                      </m:e>
                    </m:d>
                    <m:r>
                      <a:rPr lang="en-US" sz="1100" i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𝑢</m:t>
                            </m:r>
                          </m:sub>
                        </m:sSub>
                        <m:r>
                          <a:rPr lang="en-US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𝑆𝑢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 – 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𝐾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</m:sup>
                        </m:sSup>
                        <m:r>
                          <m:rPr>
                            <m:nor/>
                          </m:r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</m:t>
                            </m:r>
                          </m:sub>
                        </m:sSub>
                        <m:r>
                          <a:rPr lang="en-US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𝑆𝑑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 – 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𝐾</m:t>
                            </m:r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</m:sup>
                        </m:sSup>
                        <m:r>
                          <m:rPr>
                            <m:nor/>
                          </m:r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sSup>
                          <m:sSupPr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ⅇ</m:t>
                            </m:r>
                          </m:e>
                          <m:sup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𝑟𝑡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100" i="1"/>
            </a:p>
            <a:p>
              <a:r>
                <a:rPr lang="en-IN" sz="1100" i="1"/>
                <a:t>Put-Option value (Using Put-Call Parity):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𝐶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𝑆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𝑘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𝑟𝑇</m:t>
                        </m:r>
                      </m:sup>
                    </m:sSup>
                  </m:oMath>
                </m:oMathPara>
              </a14:m>
              <a:endParaRPr lang="en-IN" sz="1100" i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2649C0-EDF0-4775-86DE-38801E8CB97A}"/>
                </a:ext>
              </a:extLst>
            </xdr:cNvPr>
            <xdr:cNvSpPr txBox="1"/>
          </xdr:nvSpPr>
          <xdr:spPr>
            <a:xfrm>
              <a:off x="2241550" y="3689350"/>
              <a:ext cx="4572000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i="1"/>
                <a:t>Call</a:t>
              </a:r>
              <a:r>
                <a:rPr lang="en-IN" sz="1100" i="1" baseline="0"/>
                <a:t>-Option value:</a:t>
              </a:r>
            </a:p>
            <a:p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𝐶(𝑂)=(𝑝_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𝑢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×〖(𝑆𝑢(𝑇) – 𝐾)〗^+ " " +𝑝_𝑑×〖(𝑆𝑑(𝑇) – 𝐾)〗^+ " " )/ⅇ^𝑟𝑡 </a:t>
              </a:r>
              <a:endParaRPr lang="en-IN" sz="1100" i="1"/>
            </a:p>
            <a:p>
              <a:r>
                <a:rPr lang="en-IN" sz="1100" i="1"/>
                <a:t>Put-Option value (Using Put-Call Parity):</a:t>
              </a:r>
            </a:p>
            <a:p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(0)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(0)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)−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𝑘𝑒^(−𝑟𝑇)</a:t>
              </a:r>
              <a:endParaRPr lang="en-IN" sz="1100" i="1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2</xdr:row>
      <xdr:rowOff>88900</xdr:rowOff>
    </xdr:from>
    <xdr:to>
      <xdr:col>11</xdr:col>
      <xdr:colOff>38100</xdr:colOff>
      <xdr:row>14</xdr:row>
      <xdr:rowOff>57150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AA4DA62-1180-4267-9741-DEF04B41F682}"/>
                </a:ext>
              </a:extLst>
            </xdr:cNvPr>
            <xdr:cNvSpPr txBox="1"/>
          </xdr:nvSpPr>
          <xdr:spPr>
            <a:xfrm>
              <a:off x="4711700" y="457200"/>
              <a:ext cx="2495550" cy="21780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Value of Call Option:</a:t>
              </a:r>
              <a:endParaRPr lang="en-IN" i="1">
                <a:effectLst/>
              </a:endParaRPr>
            </a:p>
            <a:p>
              <a:pPr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𝐶</m:t>
                    </m:r>
                    <m:d>
                      <m:d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1100" i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i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𝑁</m:t>
                    </m:r>
                    <m:d>
                      <m:d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</m:t>
                        </m:r>
                      </m:num>
                      <m:den>
                        <m:sSup>
                          <m:sSupPr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ⅇ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rt</m:t>
                            </m:r>
                          </m:sup>
                        </m:sSup>
                      </m:den>
                    </m:f>
                    <m:r>
                      <a:rPr lang="en-US" sz="1100" i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𝑁</m:t>
                    </m:r>
                    <m:d>
                      <m:d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IN">
                <a:effectLst/>
              </a:endParaRPr>
            </a:p>
            <a:p>
              <a:pPr rtl="0" eaLnBrk="1" latinLnBrk="0" hangingPunct="1"/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 Calculate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IN" i="1">
                <a:effectLst/>
              </a:endParaRPr>
            </a:p>
            <a:p>
              <a:pPr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US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e>
                                      <m:sub>
                                        <m:r>
                                          <a:rPr lang="en-US" sz="1100" i="0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den>
                                </m:f>
                              </m:e>
                            </m:d>
                          </m:e>
                        </m:func>
                        <m:r>
                          <a:rPr lang="en-US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US" sz="1100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+0.5</m:t>
                            </m:r>
                            <m:sSup>
                              <m:sSupPr>
                                <m:ctrlP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US" sz="110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IN">
                <a:effectLst/>
              </a:endParaRPr>
            </a:p>
            <a:p>
              <a:pPr algn="ctr" rtl="0" eaLnBrk="1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sz="11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𝜎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𝑡</m:t>
                      </m:r>
                    </m:e>
                  </m:rad>
                </m:oMath>
              </a14:m>
              <a:endParaRPr lang="en-IN">
                <a:effectLst/>
              </a:endParaRPr>
            </a:p>
            <a:p>
              <a:endParaRPr lang="en-IN" sz="1100" i="1"/>
            </a:p>
            <a:p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Put-Option value (Using Put-Call Parity):</a:t>
              </a:r>
              <a:endParaRPr lang="en-IN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𝐶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𝑆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𝑘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𝑟𝑇</m:t>
                        </m:r>
                      </m:sup>
                    </m:sSup>
                  </m:oMath>
                </m:oMathPara>
              </a14:m>
              <a:endParaRPr lang="en-IN">
                <a:effectLst/>
              </a:endParaRPr>
            </a:p>
            <a:p>
              <a:endParaRPr lang="en-IN" sz="1100" i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AA4DA62-1180-4267-9741-DEF04B41F682}"/>
                </a:ext>
              </a:extLst>
            </xdr:cNvPr>
            <xdr:cNvSpPr txBox="1"/>
          </xdr:nvSpPr>
          <xdr:spPr>
            <a:xfrm>
              <a:off x="4711700" y="457200"/>
              <a:ext cx="2495550" cy="21780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Value of Call Option:</a:t>
              </a:r>
              <a:endParaRPr lang="en-IN" i="1">
                <a:effectLst/>
              </a:endParaRPr>
            </a:p>
            <a:p>
              <a:pPr rtl="0" eaLnBrk="1" latinLnBrk="0" hangingPunct="1"/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𝐶(0)=𝑆_0×𝑁(𝑑_1 )−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𝐾/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ⅇ^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rt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×𝑁(𝑑_2 )</a:t>
              </a:r>
              <a:endParaRPr lang="en-IN">
                <a:effectLst/>
              </a:endParaRPr>
            </a:p>
            <a:p>
              <a:pPr rtl="0" eaLnBrk="1" latinLnBrk="0" hangingPunct="1"/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 Calculate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𝑑_1  </a:t>
              </a: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and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𝑑_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IN" i="1">
                <a:effectLst/>
              </a:endParaRPr>
            </a:p>
            <a:p>
              <a:pPr rtl="0" eaLnBrk="1" latinLnBrk="0" hangingPunct="1"/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𝑑_1=(ln⁡(𝑠_0/𝑘)+(𝑟+0.5𝜎^2 )𝑡)/(𝜎√𝑡)</a:t>
              </a:r>
              <a:endParaRPr lang="en-IN">
                <a:effectLst/>
              </a:endParaRPr>
            </a:p>
            <a:p>
              <a:pPr algn="ctr" rtl="0" eaLnBrk="1" latinLnBrk="0" hangingPunct="1"/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𝑑_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2=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𝑑_1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𝜎√𝑡</a:t>
              </a:r>
              <a:endParaRPr lang="en-IN">
                <a:effectLst/>
              </a:endParaRPr>
            </a:p>
            <a:p>
              <a:endParaRPr lang="en-IN" sz="1100" i="1"/>
            </a:p>
            <a:p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Put-Option value (Using Put-Call Parity):</a:t>
              </a:r>
              <a:endParaRPr lang="en-IN">
                <a:effectLst/>
              </a:endParaRPr>
            </a:p>
            <a:p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(0)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(0)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)−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𝑘𝑒^(−𝑟𝑇)</a:t>
              </a:r>
              <a:endParaRPr lang="en-IN">
                <a:effectLst/>
              </a:endParaRPr>
            </a:p>
            <a:p>
              <a:endParaRPr lang="en-IN" sz="1100" i="1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3</xdr:row>
      <xdr:rowOff>101600</xdr:rowOff>
    </xdr:from>
    <xdr:to>
      <xdr:col>13</xdr:col>
      <xdr:colOff>222250</xdr:colOff>
      <xdr:row>8</xdr:row>
      <xdr:rowOff>158750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0EEFC0C-84D3-4EFC-A31C-4E399710FB82}"/>
                </a:ext>
              </a:extLst>
            </xdr:cNvPr>
            <xdr:cNvSpPr txBox="1"/>
          </xdr:nvSpPr>
          <xdr:spPr>
            <a:xfrm>
              <a:off x="5568950" y="654050"/>
              <a:ext cx="3295650" cy="977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Delta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-Neutral Portfolio:</a:t>
              </a: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𝑢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 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𝑢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 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IN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𝑉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𝑢</m:t>
                      </m:r>
                    </m:e>
                  </m:d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𝐶𝑎𝑙𝑙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𝑝𝑎𝑦𝑜𝑓𝑓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𝑎𝑡</m:t>
                  </m:r>
                  <m:sSub>
                    <m:sSub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𝑢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𝑆𝑢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𝑇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– 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𝐾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</m:t>
                      </m:r>
                    </m:sup>
                  </m:sSup>
                </m:oMath>
              </a14:m>
              <a:endParaRPr lang="en-IN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𝑉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𝑑</m:t>
                      </m:r>
                    </m:e>
                  </m:d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𝐶𝑎𝑙𝑙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𝑝𝑎𝑦𝑜𝑓𝑓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𝑎𝑡</m:t>
                  </m:r>
                  <m:sSub>
                    <m:sSub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𝑑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𝑆𝑑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𝑇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– 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𝐾</m:t>
                      </m:r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</m:t>
                      </m:r>
                    </m:sup>
                  </m:sSup>
                </m:oMath>
              </a14:m>
              <a:endParaRPr lang="en-IN">
                <a:effectLst/>
              </a:endParaRPr>
            </a:p>
            <a:p>
              <a:endParaRPr lang="en-IN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0EEFC0C-84D3-4EFC-A31C-4E399710FB82}"/>
                </a:ext>
              </a:extLst>
            </xdr:cNvPr>
            <xdr:cNvSpPr txBox="1"/>
          </xdr:nvSpPr>
          <xdr:spPr>
            <a:xfrm>
              <a:off x="5568950" y="654050"/>
              <a:ext cx="3295650" cy="977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rtl="0" eaLnBrk="1" latinLnBrk="0" hangingPunct="1"/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Delta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-Neutral Portfolio:</a:t>
              </a: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∆_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0=  (𝑉_1 (𝑢)− 𝑉_1 (𝑑))/(𝑆_1 (𝑢)− 𝑆_1 (𝑑))</a:t>
              </a:r>
              <a:endParaRPr lang="en-IN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𝑉_1 (𝑢)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𝐶𝑎𝑙𝑙 𝑝𝑎𝑦𝑜𝑓𝑓 𝑎𝑡〖 𝑆〗_𝑢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〖(𝑆𝑢(𝑇) – 𝐾)〗^+</a:t>
              </a:r>
              <a:endParaRPr lang="en-IN">
                <a:effectLst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𝑉_1 (𝑑)=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𝐶𝑎𝑙𝑙 𝑝𝑎𝑦𝑜𝑓𝑓 𝑎𝑡〖 𝑆〗_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〖(𝑆𝑑(𝑇) – 𝐾)〗^+</a:t>
              </a:r>
              <a:endParaRPr lang="en-IN">
                <a:effectLst/>
              </a:endParaRPr>
            </a:p>
            <a:p>
              <a:endParaRPr lang="en-IN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8609F3-CD4B-4F51-B16B-37B2CD12CF2E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Date" tableColumnId="1"/>
      <queryTableField id="5" name="Close" tableColumnId="5"/>
      <queryTableField id="8" dataBound="0" tableColumnId="8"/>
    </queryTableFields>
    <queryTableDeletedFields count="5">
      <deletedField name="Open"/>
      <deletedField name="High"/>
      <deletedField name="Low"/>
      <deletedField name="Adj Close"/>
      <deletedField name="Volu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CA431-6340-415D-90C2-12B60A920FBD}" name="AAPL__2" displayName="AAPL__2" ref="A2:C256" tableType="queryTable" totalsRowCount="1">
  <autoFilter ref="A2:C255" xr:uid="{A50CA431-6340-415D-90C2-12B60A920FBD}">
    <filterColumn colId="0" hiddenButton="1"/>
    <filterColumn colId="1" hiddenButton="1"/>
    <filterColumn colId="2" hiddenButton="1"/>
  </autoFilter>
  <tableColumns count="3">
    <tableColumn id="1" xr3:uid="{545E0CFE-21DF-4C96-9793-10AF1D1F10B1}" uniqueName="1" name="Date" queryTableFieldId="1" dataDxfId="16" totalsRowDxfId="14"/>
    <tableColumn id="5" xr3:uid="{8233EAD2-FDA2-43AD-95A6-2742BB8C5B67}" uniqueName="5" name="Close" queryTableFieldId="5"/>
    <tableColumn id="8" xr3:uid="{1F16AB1A-A019-4FDD-8013-2924EED202E1}" uniqueName="8" name="Log return" totalsRowFunction="custom" queryTableFieldId="8" dataDxfId="15" totalsRowDxfId="13">
      <calculatedColumnFormula>LN(B3/B2)</calculatedColumnFormula>
      <totalsRowFormula>AVERAGE(C4:C255)</totalsRowFormula>
    </tableColumn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973A03-E041-9E4A-9DD4-787FD6070D6A}" name="Table5" displayName="Table5" ref="A4:I16" totalsRowShown="0" headerRowDxfId="0" headerRowBorderDxfId="11" tableBorderDxfId="12" totalsRowBorderDxfId="10">
  <autoFilter ref="A4:I16" xr:uid="{21973A03-E041-9E4A-9DD4-787FD6070D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0150C2F-26C0-2C4B-B422-DA67163280C1}" name="Duration of Maturity" dataDxfId="9"/>
    <tableColumn id="2" xr3:uid="{3FE7428F-D152-A045-8206-B3C47129686A}" name="Date of Maturity" dataDxfId="8"/>
    <tableColumn id="3" xr3:uid="{9426B2D3-BB82-B349-9F51-0457D6056BEB}" name=" Δt(In Year)" dataDxfId="7">
      <calculatedColumnFormula>(B5-AAPL!$F$3)/365</calculatedColumnFormula>
    </tableColumn>
    <tableColumn id="4" xr3:uid="{67FAB346-2240-124C-B42C-1BB2C66BA7DC}" name="u" dataDxfId="6">
      <calculatedColumnFormula>EXP(AAPL!$I$4*SQRT(Analysis!C5))</calculatedColumnFormula>
    </tableColumn>
    <tableColumn id="5" xr3:uid="{785D67AD-07BA-F641-A13F-392287C8B686}" name="d" dataDxfId="5">
      <calculatedColumnFormula>1/D5</calculatedColumnFormula>
    </tableColumn>
    <tableColumn id="6" xr3:uid="{647CA1D6-231D-F344-A456-8B12BA76D058}" name="Su(T)" dataDxfId="4">
      <calculatedColumnFormula>AAPL!$I$3*Analysis!D5</calculatedColumnFormula>
    </tableColumn>
    <tableColumn id="7" xr3:uid="{BEB969D0-EFE0-1C4B-A627-7CEA64B6771D}" name="Sd(T)" dataDxfId="3">
      <calculatedColumnFormula>AAPL!$I$3 * Analysis!E5</calculatedColumnFormula>
    </tableColumn>
    <tableColumn id="8" xr3:uid="{C060F770-BF96-5842-97FB-3DADF442021E}" name="p tilda" dataDxfId="2">
      <calculatedColumnFormula>(EXP(AAPL!$I$6 * Analysis!C5) - Analysis!E5)/(Analysis!D5 - Analysis!E5)</calculatedColumnFormula>
    </tableColumn>
    <tableColumn id="9" xr3:uid="{699DE19E-C220-7D45-9C30-6CC908A19B67}" name="1 - (p tilda)" dataDxfId="1">
      <calculatedColumnFormula>1-H5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AFE1-CD73-4B90-8D75-E04AEE586A83}">
  <dimension ref="A1:L256"/>
  <sheetViews>
    <sheetView workbookViewId="0">
      <selection activeCell="M8" sqref="M8"/>
    </sheetView>
  </sheetViews>
  <sheetFormatPr defaultColWidth="8.81640625" defaultRowHeight="14.5"/>
  <cols>
    <col min="1" max="1" width="10.1796875" bestFit="1" customWidth="1"/>
    <col min="2" max="2" width="10.81640625" bestFit="1" customWidth="1"/>
    <col min="3" max="3" width="11.81640625" bestFit="1" customWidth="1"/>
    <col min="4" max="4" width="11.81640625" customWidth="1"/>
    <col min="6" max="6" width="10.1796875" bestFit="1" customWidth="1"/>
    <col min="9" max="9" width="11.81640625" bestFit="1" customWidth="1"/>
  </cols>
  <sheetData>
    <row r="1" spans="1:12">
      <c r="A1" s="11" t="s">
        <v>41</v>
      </c>
      <c r="B1" s="11"/>
      <c r="C1" s="11"/>
    </row>
    <row r="2" spans="1:12">
      <c r="A2" t="s">
        <v>0</v>
      </c>
      <c r="B2" t="s">
        <v>1</v>
      </c>
      <c r="C2" t="s">
        <v>2</v>
      </c>
    </row>
    <row r="3" spans="1:12">
      <c r="A3" s="1">
        <v>45034</v>
      </c>
      <c r="B3">
        <v>166.470001</v>
      </c>
      <c r="F3" s="21">
        <f>A255</f>
        <v>45400</v>
      </c>
      <c r="G3" s="22" t="s">
        <v>4</v>
      </c>
      <c r="H3" s="22"/>
      <c r="I3" s="23">
        <f>B255</f>
        <v>167.029999</v>
      </c>
      <c r="J3" s="42" t="s">
        <v>42</v>
      </c>
      <c r="K3" s="43"/>
      <c r="L3" s="43"/>
    </row>
    <row r="4" spans="1:12" ht="14.5" customHeight="1">
      <c r="A4" s="1">
        <v>45035</v>
      </c>
      <c r="B4">
        <v>167.63000500000001</v>
      </c>
      <c r="C4">
        <f>LN(B4/B3)</f>
        <v>6.9440804577747123E-3</v>
      </c>
      <c r="G4" s="24" t="s">
        <v>3</v>
      </c>
      <c r="H4" s="24"/>
      <c r="I4" s="25">
        <f>_xlfn.STDEV.S(C4:C255) * SQRT(252)</f>
        <v>0.19631469855076822</v>
      </c>
      <c r="J4" s="44" t="s">
        <v>43</v>
      </c>
      <c r="K4" s="45"/>
      <c r="L4" s="45"/>
    </row>
    <row r="5" spans="1:12">
      <c r="A5" s="1">
        <v>45036</v>
      </c>
      <c r="B5">
        <v>166.64999399999999</v>
      </c>
      <c r="C5">
        <f t="shared" ref="C5:C68" si="0">LN(B5/B4)</f>
        <v>-5.8634307206349382E-3</v>
      </c>
      <c r="G5" s="24"/>
      <c r="H5" s="24"/>
      <c r="I5" s="25"/>
      <c r="J5" s="44"/>
      <c r="K5" s="45"/>
      <c r="L5" s="45"/>
    </row>
    <row r="6" spans="1:12">
      <c r="A6" s="1">
        <v>45037</v>
      </c>
      <c r="B6">
        <v>165.020004</v>
      </c>
      <c r="C6">
        <f t="shared" si="0"/>
        <v>-9.8290658344647053E-3</v>
      </c>
      <c r="G6" s="26" t="s">
        <v>5</v>
      </c>
      <c r="H6" s="26"/>
      <c r="I6" s="23">
        <v>4.6350000000000002E-2</v>
      </c>
      <c r="J6" s="46" t="s">
        <v>44</v>
      </c>
    </row>
    <row r="7" spans="1:12">
      <c r="A7" s="1">
        <v>45040</v>
      </c>
      <c r="B7">
        <v>165.33000200000001</v>
      </c>
      <c r="C7">
        <f t="shared" si="0"/>
        <v>1.8767857445887545E-3</v>
      </c>
      <c r="G7" s="26"/>
      <c r="H7" s="26"/>
      <c r="I7" s="27"/>
      <c r="J7" s="46"/>
    </row>
    <row r="8" spans="1:12">
      <c r="A8" s="1">
        <v>45041</v>
      </c>
      <c r="B8">
        <v>163.770004</v>
      </c>
      <c r="C8">
        <f t="shared" si="0"/>
        <v>-9.4804597739983672E-3</v>
      </c>
    </row>
    <row r="9" spans="1:12">
      <c r="A9" s="1">
        <v>45042</v>
      </c>
      <c r="B9">
        <v>163.759995</v>
      </c>
      <c r="C9">
        <f t="shared" si="0"/>
        <v>-6.1118065726306999E-5</v>
      </c>
    </row>
    <row r="10" spans="1:12">
      <c r="A10" s="1">
        <v>45043</v>
      </c>
      <c r="B10">
        <v>168.41000399999999</v>
      </c>
      <c r="C10">
        <f t="shared" si="0"/>
        <v>2.7999595398974082E-2</v>
      </c>
    </row>
    <row r="11" spans="1:12">
      <c r="A11" s="1">
        <v>45044</v>
      </c>
      <c r="B11">
        <v>169.679993</v>
      </c>
      <c r="C11">
        <f t="shared" si="0"/>
        <v>7.5127627827795392E-3</v>
      </c>
    </row>
    <row r="12" spans="1:12">
      <c r="A12" s="1">
        <v>45047</v>
      </c>
      <c r="B12">
        <v>169.58999600000001</v>
      </c>
      <c r="C12">
        <f t="shared" si="0"/>
        <v>-5.3053323328817819E-4</v>
      </c>
    </row>
    <row r="13" spans="1:12">
      <c r="A13" s="1">
        <v>45048</v>
      </c>
      <c r="B13">
        <v>168.53999300000001</v>
      </c>
      <c r="C13">
        <f t="shared" si="0"/>
        <v>-6.2106669579732572E-3</v>
      </c>
    </row>
    <row r="14" spans="1:12">
      <c r="A14" s="1">
        <v>45049</v>
      </c>
      <c r="B14">
        <v>167.449997</v>
      </c>
      <c r="C14">
        <f t="shared" si="0"/>
        <v>-6.4882874866216411E-3</v>
      </c>
    </row>
    <row r="15" spans="1:12">
      <c r="A15" s="1">
        <v>45050</v>
      </c>
      <c r="B15">
        <v>165.78999300000001</v>
      </c>
      <c r="C15">
        <f t="shared" si="0"/>
        <v>-9.9628962951328493E-3</v>
      </c>
    </row>
    <row r="16" spans="1:12">
      <c r="A16" s="1">
        <v>45051</v>
      </c>
      <c r="B16">
        <v>173.570007</v>
      </c>
      <c r="C16">
        <f t="shared" si="0"/>
        <v>4.5859131533054605E-2</v>
      </c>
    </row>
    <row r="17" spans="1:3">
      <c r="A17" s="1">
        <v>45054</v>
      </c>
      <c r="B17">
        <v>173.5</v>
      </c>
      <c r="C17">
        <f t="shared" si="0"/>
        <v>-4.0341717542558041E-4</v>
      </c>
    </row>
    <row r="18" spans="1:3">
      <c r="A18" s="1">
        <v>45055</v>
      </c>
      <c r="B18">
        <v>171.770004</v>
      </c>
      <c r="C18">
        <f t="shared" si="0"/>
        <v>-1.0021203451026649E-2</v>
      </c>
    </row>
    <row r="19" spans="1:3">
      <c r="A19" s="1">
        <v>45056</v>
      </c>
      <c r="B19">
        <v>173.55999800000001</v>
      </c>
      <c r="C19">
        <f t="shared" si="0"/>
        <v>1.0366953470870166E-2</v>
      </c>
    </row>
    <row r="20" spans="1:3">
      <c r="A20" s="1">
        <v>45057</v>
      </c>
      <c r="B20">
        <v>173.75</v>
      </c>
      <c r="C20">
        <f t="shared" si="0"/>
        <v>1.0941350381439602E-3</v>
      </c>
    </row>
    <row r="21" spans="1:3">
      <c r="A21" s="1">
        <v>45058</v>
      </c>
      <c r="B21">
        <v>172.570007</v>
      </c>
      <c r="C21">
        <f t="shared" si="0"/>
        <v>-6.8144926221650158E-3</v>
      </c>
    </row>
    <row r="22" spans="1:3">
      <c r="A22" s="1">
        <v>45061</v>
      </c>
      <c r="B22">
        <v>172.070007</v>
      </c>
      <c r="C22">
        <f t="shared" si="0"/>
        <v>-2.9015803765527867E-3</v>
      </c>
    </row>
    <row r="23" spans="1:3">
      <c r="A23" s="1">
        <v>45062</v>
      </c>
      <c r="B23">
        <v>172.070007</v>
      </c>
      <c r="C23">
        <f t="shared" si="0"/>
        <v>0</v>
      </c>
    </row>
    <row r="24" spans="1:3">
      <c r="A24" s="1">
        <v>45063</v>
      </c>
      <c r="B24">
        <v>172.69000199999999</v>
      </c>
      <c r="C24">
        <f t="shared" si="0"/>
        <v>3.596679731841352E-3</v>
      </c>
    </row>
    <row r="25" spans="1:3">
      <c r="A25" s="1">
        <v>45064</v>
      </c>
      <c r="B25">
        <v>175.050003</v>
      </c>
      <c r="C25">
        <f t="shared" si="0"/>
        <v>1.3573573360610179E-2</v>
      </c>
    </row>
    <row r="26" spans="1:3">
      <c r="A26" s="1">
        <v>45065</v>
      </c>
      <c r="B26">
        <v>175.16000399999999</v>
      </c>
      <c r="C26">
        <f t="shared" si="0"/>
        <v>6.2820023082610214E-4</v>
      </c>
    </row>
    <row r="27" spans="1:3">
      <c r="A27" s="1">
        <v>45068</v>
      </c>
      <c r="B27">
        <v>174.199997</v>
      </c>
      <c r="C27">
        <f t="shared" si="0"/>
        <v>-5.4958175726434232E-3</v>
      </c>
    </row>
    <row r="28" spans="1:3">
      <c r="A28" s="1">
        <v>45069</v>
      </c>
      <c r="B28">
        <v>171.55999800000001</v>
      </c>
      <c r="C28">
        <f t="shared" si="0"/>
        <v>-1.5270999205867254E-2</v>
      </c>
    </row>
    <row r="29" spans="1:3">
      <c r="A29" s="1">
        <v>45070</v>
      </c>
      <c r="B29">
        <v>171.83999600000001</v>
      </c>
      <c r="C29">
        <f t="shared" si="0"/>
        <v>1.6307400520816481E-3</v>
      </c>
    </row>
    <row r="30" spans="1:3">
      <c r="A30" s="1">
        <v>45071</v>
      </c>
      <c r="B30">
        <v>172.990005</v>
      </c>
      <c r="C30">
        <f t="shared" si="0"/>
        <v>6.6700302192582136E-3</v>
      </c>
    </row>
    <row r="31" spans="1:3">
      <c r="A31" s="1">
        <v>45072</v>
      </c>
      <c r="B31">
        <v>175.429993</v>
      </c>
      <c r="C31">
        <f t="shared" si="0"/>
        <v>1.400624477684701E-2</v>
      </c>
    </row>
    <row r="32" spans="1:3">
      <c r="A32" s="1">
        <v>45076</v>
      </c>
      <c r="B32">
        <v>177.300003</v>
      </c>
      <c r="C32">
        <f t="shared" si="0"/>
        <v>1.0603166961498604E-2</v>
      </c>
    </row>
    <row r="33" spans="1:3">
      <c r="A33" s="1">
        <v>45077</v>
      </c>
      <c r="B33">
        <v>177.25</v>
      </c>
      <c r="C33">
        <f t="shared" si="0"/>
        <v>-2.8206458839893543E-4</v>
      </c>
    </row>
    <row r="34" spans="1:3">
      <c r="A34" s="1">
        <v>45078</v>
      </c>
      <c r="B34">
        <v>180.08999600000001</v>
      </c>
      <c r="C34">
        <f t="shared" si="0"/>
        <v>1.5895538308507647E-2</v>
      </c>
    </row>
    <row r="35" spans="1:3">
      <c r="A35" s="1">
        <v>45079</v>
      </c>
      <c r="B35">
        <v>180.949997</v>
      </c>
      <c r="C35">
        <f t="shared" si="0"/>
        <v>4.7640297098411957E-3</v>
      </c>
    </row>
    <row r="36" spans="1:3">
      <c r="A36" s="1">
        <v>45082</v>
      </c>
      <c r="B36">
        <v>179.58000200000001</v>
      </c>
      <c r="C36">
        <f t="shared" si="0"/>
        <v>-7.5999312008255271E-3</v>
      </c>
    </row>
    <row r="37" spans="1:3">
      <c r="A37" s="1">
        <v>45083</v>
      </c>
      <c r="B37">
        <v>179.21000699999999</v>
      </c>
      <c r="C37">
        <f t="shared" si="0"/>
        <v>-2.062460614143427E-3</v>
      </c>
    </row>
    <row r="38" spans="1:3">
      <c r="A38" s="1">
        <v>45084</v>
      </c>
      <c r="B38">
        <v>177.820007</v>
      </c>
      <c r="C38">
        <f t="shared" si="0"/>
        <v>-7.786499556973912E-3</v>
      </c>
    </row>
    <row r="39" spans="1:3">
      <c r="A39" s="1">
        <v>45085</v>
      </c>
      <c r="B39">
        <v>180.570007</v>
      </c>
      <c r="C39">
        <f t="shared" si="0"/>
        <v>1.5346710935275025E-2</v>
      </c>
    </row>
    <row r="40" spans="1:3">
      <c r="A40" s="1">
        <v>45086</v>
      </c>
      <c r="B40">
        <v>180.96000699999999</v>
      </c>
      <c r="C40">
        <f t="shared" si="0"/>
        <v>2.1574980564734057E-3</v>
      </c>
    </row>
    <row r="41" spans="1:3">
      <c r="A41" s="1">
        <v>45089</v>
      </c>
      <c r="B41">
        <v>183.78999300000001</v>
      </c>
      <c r="C41">
        <f t="shared" si="0"/>
        <v>1.5517712340043654E-2</v>
      </c>
    </row>
    <row r="42" spans="1:3">
      <c r="A42" s="1">
        <v>45090</v>
      </c>
      <c r="B42">
        <v>183.30999800000001</v>
      </c>
      <c r="C42">
        <f t="shared" si="0"/>
        <v>-2.6150655696411062E-3</v>
      </c>
    </row>
    <row r="43" spans="1:3">
      <c r="A43" s="1">
        <v>45091</v>
      </c>
      <c r="B43">
        <v>183.949997</v>
      </c>
      <c r="C43">
        <f t="shared" si="0"/>
        <v>3.4852674212099179E-3</v>
      </c>
    </row>
    <row r="44" spans="1:3">
      <c r="A44" s="1">
        <v>45092</v>
      </c>
      <c r="B44">
        <v>186.009995</v>
      </c>
      <c r="C44">
        <f t="shared" si="0"/>
        <v>1.1136443586580313E-2</v>
      </c>
    </row>
    <row r="45" spans="1:3">
      <c r="A45" s="1">
        <v>45093</v>
      </c>
      <c r="B45">
        <v>184.91999799999999</v>
      </c>
      <c r="C45">
        <f t="shared" si="0"/>
        <v>-5.8771205240470649E-3</v>
      </c>
    </row>
    <row r="46" spans="1:3">
      <c r="A46" s="1">
        <v>45097</v>
      </c>
      <c r="B46">
        <v>185.009995</v>
      </c>
      <c r="C46">
        <f t="shared" si="0"/>
        <v>4.8656234140774383E-4</v>
      </c>
    </row>
    <row r="47" spans="1:3">
      <c r="A47" s="1">
        <v>45098</v>
      </c>
      <c r="B47">
        <v>183.96000699999999</v>
      </c>
      <c r="C47">
        <f t="shared" si="0"/>
        <v>-5.6914699224718968E-3</v>
      </c>
    </row>
    <row r="48" spans="1:3">
      <c r="A48" s="1">
        <v>45099</v>
      </c>
      <c r="B48">
        <v>187</v>
      </c>
      <c r="C48">
        <f t="shared" si="0"/>
        <v>1.6390236131113851E-2</v>
      </c>
    </row>
    <row r="49" spans="1:3">
      <c r="A49" s="1">
        <v>45100</v>
      </c>
      <c r="B49">
        <v>186.679993</v>
      </c>
      <c r="C49">
        <f t="shared" si="0"/>
        <v>-1.7127332702941364E-3</v>
      </c>
    </row>
    <row r="50" spans="1:3">
      <c r="A50" s="1">
        <v>45103</v>
      </c>
      <c r="B50">
        <v>185.270004</v>
      </c>
      <c r="C50">
        <f t="shared" si="0"/>
        <v>-7.5816414322597159E-3</v>
      </c>
    </row>
    <row r="51" spans="1:3">
      <c r="A51" s="1">
        <v>45104</v>
      </c>
      <c r="B51">
        <v>188.05999800000001</v>
      </c>
      <c r="C51">
        <f t="shared" si="0"/>
        <v>1.4946808061994223E-2</v>
      </c>
    </row>
    <row r="52" spans="1:3">
      <c r="A52" s="1">
        <v>45105</v>
      </c>
      <c r="B52">
        <v>189.25</v>
      </c>
      <c r="C52">
        <f t="shared" si="0"/>
        <v>6.3078421035310875E-3</v>
      </c>
    </row>
    <row r="53" spans="1:3">
      <c r="A53" s="1">
        <v>45106</v>
      </c>
      <c r="B53">
        <v>189.58999600000001</v>
      </c>
      <c r="C53">
        <f t="shared" si="0"/>
        <v>1.7949323982294038E-3</v>
      </c>
    </row>
    <row r="54" spans="1:3">
      <c r="A54" s="1">
        <v>45107</v>
      </c>
      <c r="B54">
        <v>193.970001</v>
      </c>
      <c r="C54">
        <f t="shared" si="0"/>
        <v>2.2839688369848989E-2</v>
      </c>
    </row>
    <row r="55" spans="1:3">
      <c r="A55" s="1">
        <v>45110</v>
      </c>
      <c r="B55">
        <v>192.46000699999999</v>
      </c>
      <c r="C55">
        <f t="shared" si="0"/>
        <v>-7.8151367861886683E-3</v>
      </c>
    </row>
    <row r="56" spans="1:3">
      <c r="A56" s="1">
        <v>45112</v>
      </c>
      <c r="B56">
        <v>191.33000200000001</v>
      </c>
      <c r="C56">
        <f t="shared" si="0"/>
        <v>-5.8886799493928985E-3</v>
      </c>
    </row>
    <row r="57" spans="1:3">
      <c r="A57" s="1">
        <v>45113</v>
      </c>
      <c r="B57">
        <v>191.80999800000001</v>
      </c>
      <c r="C57">
        <f t="shared" si="0"/>
        <v>2.5055919565565299E-3</v>
      </c>
    </row>
    <row r="58" spans="1:3">
      <c r="A58" s="1">
        <v>45114</v>
      </c>
      <c r="B58">
        <v>190.679993</v>
      </c>
      <c r="C58">
        <f t="shared" si="0"/>
        <v>-5.908694680706897E-3</v>
      </c>
    </row>
    <row r="59" spans="1:3">
      <c r="A59" s="1">
        <v>45117</v>
      </c>
      <c r="B59">
        <v>188.61000100000001</v>
      </c>
      <c r="C59">
        <f t="shared" si="0"/>
        <v>-1.0915197260879457E-2</v>
      </c>
    </row>
    <row r="60" spans="1:3">
      <c r="A60" s="1">
        <v>45118</v>
      </c>
      <c r="B60">
        <v>188.08000200000001</v>
      </c>
      <c r="C60">
        <f t="shared" si="0"/>
        <v>-2.8139814994383155E-3</v>
      </c>
    </row>
    <row r="61" spans="1:3">
      <c r="A61" s="1">
        <v>45119</v>
      </c>
      <c r="B61">
        <v>189.770004</v>
      </c>
      <c r="C61">
        <f t="shared" si="0"/>
        <v>8.9454187784474698E-3</v>
      </c>
    </row>
    <row r="62" spans="1:3">
      <c r="A62" s="1">
        <v>45120</v>
      </c>
      <c r="B62">
        <v>190.53999300000001</v>
      </c>
      <c r="C62">
        <f t="shared" si="0"/>
        <v>4.0492758969053883E-3</v>
      </c>
    </row>
    <row r="63" spans="1:3">
      <c r="A63" s="1">
        <v>45121</v>
      </c>
      <c r="B63">
        <v>190.69000199999999</v>
      </c>
      <c r="C63">
        <f t="shared" si="0"/>
        <v>7.8697379382256319E-4</v>
      </c>
    </row>
    <row r="64" spans="1:3">
      <c r="A64" s="1">
        <v>45124</v>
      </c>
      <c r="B64">
        <v>193.990005</v>
      </c>
      <c r="C64">
        <f t="shared" si="0"/>
        <v>1.7157553782776433E-2</v>
      </c>
    </row>
    <row r="65" spans="1:3">
      <c r="A65" s="1">
        <v>45125</v>
      </c>
      <c r="B65">
        <v>193.729996</v>
      </c>
      <c r="C65">
        <f t="shared" si="0"/>
        <v>-1.3412206659770634E-3</v>
      </c>
    </row>
    <row r="66" spans="1:3">
      <c r="A66" s="1">
        <v>45126</v>
      </c>
      <c r="B66">
        <v>195.10000600000001</v>
      </c>
      <c r="C66">
        <f t="shared" si="0"/>
        <v>7.046861930963124E-3</v>
      </c>
    </row>
    <row r="67" spans="1:3">
      <c r="A67" s="1">
        <v>45127</v>
      </c>
      <c r="B67">
        <v>193.13000500000001</v>
      </c>
      <c r="C67">
        <f t="shared" si="0"/>
        <v>-1.014871520871974E-2</v>
      </c>
    </row>
    <row r="68" spans="1:3">
      <c r="A68" s="1">
        <v>45128</v>
      </c>
      <c r="B68">
        <v>191.94000199999999</v>
      </c>
      <c r="C68">
        <f t="shared" si="0"/>
        <v>-6.1807295644006376E-3</v>
      </c>
    </row>
    <row r="69" spans="1:3">
      <c r="A69" s="1">
        <v>45131</v>
      </c>
      <c r="B69">
        <v>192.75</v>
      </c>
      <c r="C69">
        <f t="shared" ref="C69:C132" si="1">LN(B69/B68)</f>
        <v>4.2111788340344104E-3</v>
      </c>
    </row>
    <row r="70" spans="1:3">
      <c r="A70" s="1">
        <v>45132</v>
      </c>
      <c r="B70">
        <v>193.61999499999999</v>
      </c>
      <c r="C70">
        <f t="shared" si="1"/>
        <v>4.5034370247076247E-3</v>
      </c>
    </row>
    <row r="71" spans="1:3">
      <c r="A71" s="1">
        <v>45133</v>
      </c>
      <c r="B71">
        <v>194.5</v>
      </c>
      <c r="C71">
        <f t="shared" si="1"/>
        <v>4.5347135903545197E-3</v>
      </c>
    </row>
    <row r="72" spans="1:3">
      <c r="A72" s="1">
        <v>45134</v>
      </c>
      <c r="B72">
        <v>193.220001</v>
      </c>
      <c r="C72">
        <f t="shared" si="1"/>
        <v>-6.6027217936898003E-3</v>
      </c>
    </row>
    <row r="73" spans="1:3">
      <c r="A73" s="1">
        <v>45135</v>
      </c>
      <c r="B73">
        <v>195.83000200000001</v>
      </c>
      <c r="C73">
        <f t="shared" si="1"/>
        <v>1.3417504876873732E-2</v>
      </c>
    </row>
    <row r="74" spans="1:3">
      <c r="A74" s="1">
        <v>45138</v>
      </c>
      <c r="B74">
        <v>196.449997</v>
      </c>
      <c r="C74">
        <f t="shared" si="1"/>
        <v>3.1609845917225936E-3</v>
      </c>
    </row>
    <row r="75" spans="1:3">
      <c r="A75" s="1">
        <v>45139</v>
      </c>
      <c r="B75">
        <v>195.61000100000001</v>
      </c>
      <c r="C75">
        <f t="shared" si="1"/>
        <v>-4.2850445829261553E-3</v>
      </c>
    </row>
    <row r="76" spans="1:3">
      <c r="A76" s="1">
        <v>45140</v>
      </c>
      <c r="B76">
        <v>192.58000200000001</v>
      </c>
      <c r="C76">
        <f t="shared" si="1"/>
        <v>-1.5611223953048909E-2</v>
      </c>
    </row>
    <row r="77" spans="1:3">
      <c r="A77" s="1">
        <v>45141</v>
      </c>
      <c r="B77">
        <v>191.16999799999999</v>
      </c>
      <c r="C77">
        <f t="shared" si="1"/>
        <v>-7.3485881183980289E-3</v>
      </c>
    </row>
    <row r="78" spans="1:3">
      <c r="A78" s="1">
        <v>45142</v>
      </c>
      <c r="B78">
        <v>181.990005</v>
      </c>
      <c r="C78">
        <f t="shared" si="1"/>
        <v>-4.921130609268224E-2</v>
      </c>
    </row>
    <row r="79" spans="1:3">
      <c r="A79" s="1">
        <v>45145</v>
      </c>
      <c r="B79">
        <v>178.85000600000001</v>
      </c>
      <c r="C79">
        <f t="shared" si="1"/>
        <v>-1.7404268733660279E-2</v>
      </c>
    </row>
    <row r="80" spans="1:3">
      <c r="A80" s="1">
        <v>45146</v>
      </c>
      <c r="B80">
        <v>179.800003</v>
      </c>
      <c r="C80">
        <f t="shared" si="1"/>
        <v>5.297639470033603E-3</v>
      </c>
    </row>
    <row r="81" spans="1:3">
      <c r="A81" s="1">
        <v>45147</v>
      </c>
      <c r="B81">
        <v>178.19000199999999</v>
      </c>
      <c r="C81">
        <f t="shared" si="1"/>
        <v>-8.9947307594279297E-3</v>
      </c>
    </row>
    <row r="82" spans="1:3">
      <c r="A82" s="1">
        <v>45148</v>
      </c>
      <c r="B82">
        <v>177.970001</v>
      </c>
      <c r="C82">
        <f t="shared" si="1"/>
        <v>-1.2354055824788631E-3</v>
      </c>
    </row>
    <row r="83" spans="1:3">
      <c r="A83" s="1">
        <v>45149</v>
      </c>
      <c r="B83">
        <v>177.78999300000001</v>
      </c>
      <c r="C83">
        <f t="shared" si="1"/>
        <v>-1.0119632246323527E-3</v>
      </c>
    </row>
    <row r="84" spans="1:3">
      <c r="A84" s="1">
        <v>45152</v>
      </c>
      <c r="B84">
        <v>179.46000699999999</v>
      </c>
      <c r="C84">
        <f t="shared" si="1"/>
        <v>9.3493417196309977E-3</v>
      </c>
    </row>
    <row r="85" spans="1:3">
      <c r="A85" s="1">
        <v>45153</v>
      </c>
      <c r="B85">
        <v>177.449997</v>
      </c>
      <c r="C85">
        <f t="shared" si="1"/>
        <v>-1.1263518689482941E-2</v>
      </c>
    </row>
    <row r="86" spans="1:3">
      <c r="A86" s="1">
        <v>45154</v>
      </c>
      <c r="B86">
        <v>176.570007</v>
      </c>
      <c r="C86">
        <f t="shared" si="1"/>
        <v>-4.9714242272948283E-3</v>
      </c>
    </row>
    <row r="87" spans="1:3">
      <c r="A87" s="1">
        <v>45155</v>
      </c>
      <c r="B87">
        <v>174</v>
      </c>
      <c r="C87">
        <f t="shared" si="1"/>
        <v>-1.4662138744510769E-2</v>
      </c>
    </row>
    <row r="88" spans="1:3">
      <c r="A88" s="1">
        <v>45156</v>
      </c>
      <c r="B88">
        <v>174.490005</v>
      </c>
      <c r="C88">
        <f t="shared" si="1"/>
        <v>2.8121628505463187E-3</v>
      </c>
    </row>
    <row r="89" spans="1:3">
      <c r="A89" s="1">
        <v>45159</v>
      </c>
      <c r="B89">
        <v>175.83999600000001</v>
      </c>
      <c r="C89">
        <f t="shared" si="1"/>
        <v>7.7070058422828878E-3</v>
      </c>
    </row>
    <row r="90" spans="1:3">
      <c r="A90" s="1">
        <v>45160</v>
      </c>
      <c r="B90">
        <v>177.229996</v>
      </c>
      <c r="C90">
        <f t="shared" si="1"/>
        <v>7.8738335901473444E-3</v>
      </c>
    </row>
    <row r="91" spans="1:3">
      <c r="A91" s="1">
        <v>45161</v>
      </c>
      <c r="B91">
        <v>181.11999499999999</v>
      </c>
      <c r="C91">
        <f t="shared" si="1"/>
        <v>2.1711465911305017E-2</v>
      </c>
    </row>
    <row r="92" spans="1:3">
      <c r="A92" s="1">
        <v>45162</v>
      </c>
      <c r="B92">
        <v>176.38000500000001</v>
      </c>
      <c r="C92">
        <f t="shared" si="1"/>
        <v>-2.651898060089096E-2</v>
      </c>
    </row>
    <row r="93" spans="1:3">
      <c r="A93" s="1">
        <v>45163</v>
      </c>
      <c r="B93">
        <v>178.61000100000001</v>
      </c>
      <c r="C93">
        <f t="shared" si="1"/>
        <v>1.2563876707263272E-2</v>
      </c>
    </row>
    <row r="94" spans="1:3">
      <c r="A94" s="1">
        <v>45166</v>
      </c>
      <c r="B94">
        <v>180.19000199999999</v>
      </c>
      <c r="C94">
        <f t="shared" si="1"/>
        <v>8.8071973229350321E-3</v>
      </c>
    </row>
    <row r="95" spans="1:3">
      <c r="A95" s="1">
        <v>45167</v>
      </c>
      <c r="B95">
        <v>184.11999499999999</v>
      </c>
      <c r="C95">
        <f t="shared" si="1"/>
        <v>2.1575830954719915E-2</v>
      </c>
    </row>
    <row r="96" spans="1:3">
      <c r="A96" s="1">
        <v>45168</v>
      </c>
      <c r="B96">
        <v>187.64999399999999</v>
      </c>
      <c r="C96">
        <f t="shared" si="1"/>
        <v>1.8990801813770958E-2</v>
      </c>
    </row>
    <row r="97" spans="1:3">
      <c r="A97" s="1">
        <v>45169</v>
      </c>
      <c r="B97">
        <v>187.86999499999999</v>
      </c>
      <c r="C97">
        <f t="shared" si="1"/>
        <v>1.1717140584503898E-3</v>
      </c>
    </row>
    <row r="98" spans="1:3">
      <c r="A98" s="1">
        <v>45170</v>
      </c>
      <c r="B98">
        <v>189.46000699999999</v>
      </c>
      <c r="C98">
        <f t="shared" si="1"/>
        <v>8.4277497294414534E-3</v>
      </c>
    </row>
    <row r="99" spans="1:3">
      <c r="A99" s="1">
        <v>45174</v>
      </c>
      <c r="B99">
        <v>189.699997</v>
      </c>
      <c r="C99">
        <f t="shared" si="1"/>
        <v>1.2659037320240786E-3</v>
      </c>
    </row>
    <row r="100" spans="1:3">
      <c r="A100" s="1">
        <v>45175</v>
      </c>
      <c r="B100">
        <v>182.91000399999999</v>
      </c>
      <c r="C100">
        <f t="shared" si="1"/>
        <v>-3.644961067001181E-2</v>
      </c>
    </row>
    <row r="101" spans="1:3">
      <c r="A101" s="1">
        <v>45176</v>
      </c>
      <c r="B101">
        <v>177.55999800000001</v>
      </c>
      <c r="C101">
        <f t="shared" si="1"/>
        <v>-2.9685681754476379E-2</v>
      </c>
    </row>
    <row r="102" spans="1:3">
      <c r="A102" s="1">
        <v>45177</v>
      </c>
      <c r="B102">
        <v>178.179993</v>
      </c>
      <c r="C102">
        <f t="shared" si="1"/>
        <v>3.485667304345351E-3</v>
      </c>
    </row>
    <row r="103" spans="1:3">
      <c r="A103" s="1">
        <v>45180</v>
      </c>
      <c r="B103">
        <v>179.36000100000001</v>
      </c>
      <c r="C103">
        <f t="shared" si="1"/>
        <v>6.6007288928472841E-3</v>
      </c>
    </row>
    <row r="104" spans="1:3">
      <c r="A104" s="1">
        <v>45181</v>
      </c>
      <c r="B104">
        <v>176.300003</v>
      </c>
      <c r="C104">
        <f t="shared" si="1"/>
        <v>-1.7207858478955312E-2</v>
      </c>
    </row>
    <row r="105" spans="1:3">
      <c r="A105" s="1">
        <v>45182</v>
      </c>
      <c r="B105">
        <v>174.21000699999999</v>
      </c>
      <c r="C105">
        <f t="shared" si="1"/>
        <v>-1.1925598186816001E-2</v>
      </c>
    </row>
    <row r="106" spans="1:3">
      <c r="A106" s="1">
        <v>45183</v>
      </c>
      <c r="B106">
        <v>175.740005</v>
      </c>
      <c r="C106">
        <f t="shared" si="1"/>
        <v>8.7441502853600975E-3</v>
      </c>
    </row>
    <row r="107" spans="1:3">
      <c r="A107" s="1">
        <v>45184</v>
      </c>
      <c r="B107">
        <v>175.009995</v>
      </c>
      <c r="C107">
        <f t="shared" si="1"/>
        <v>-4.162571940547994E-3</v>
      </c>
    </row>
    <row r="108" spans="1:3">
      <c r="A108" s="1">
        <v>45187</v>
      </c>
      <c r="B108">
        <v>177.970001</v>
      </c>
      <c r="C108">
        <f t="shared" si="1"/>
        <v>1.6771915802549033E-2</v>
      </c>
    </row>
    <row r="109" spans="1:3">
      <c r="A109" s="1">
        <v>45188</v>
      </c>
      <c r="B109">
        <v>179.070007</v>
      </c>
      <c r="C109">
        <f t="shared" si="1"/>
        <v>6.1618275587069383E-3</v>
      </c>
    </row>
    <row r="110" spans="1:3">
      <c r="A110" s="1">
        <v>45189</v>
      </c>
      <c r="B110">
        <v>175.490005</v>
      </c>
      <c r="C110">
        <f t="shared" si="1"/>
        <v>-2.019474022235896E-2</v>
      </c>
    </row>
    <row r="111" spans="1:3">
      <c r="A111" s="1">
        <v>45190</v>
      </c>
      <c r="B111">
        <v>173.929993</v>
      </c>
      <c r="C111">
        <f t="shared" si="1"/>
        <v>-8.9292105431818068E-3</v>
      </c>
    </row>
    <row r="112" spans="1:3">
      <c r="A112" s="1">
        <v>45191</v>
      </c>
      <c r="B112">
        <v>174.78999300000001</v>
      </c>
      <c r="C112">
        <f t="shared" si="1"/>
        <v>4.932334124951589E-3</v>
      </c>
    </row>
    <row r="113" spans="1:3">
      <c r="A113" s="1">
        <v>45194</v>
      </c>
      <c r="B113">
        <v>176.08000200000001</v>
      </c>
      <c r="C113">
        <f t="shared" si="1"/>
        <v>7.3532352777429706E-3</v>
      </c>
    </row>
    <row r="114" spans="1:3">
      <c r="A114" s="1">
        <v>45195</v>
      </c>
      <c r="B114">
        <v>171.96000699999999</v>
      </c>
      <c r="C114">
        <f t="shared" si="1"/>
        <v>-2.367651624145849E-2</v>
      </c>
    </row>
    <row r="115" spans="1:3">
      <c r="A115" s="1">
        <v>45196</v>
      </c>
      <c r="B115">
        <v>170.429993</v>
      </c>
      <c r="C115">
        <f t="shared" si="1"/>
        <v>-8.9373181706579301E-3</v>
      </c>
    </row>
    <row r="116" spans="1:3">
      <c r="A116" s="1">
        <v>45197</v>
      </c>
      <c r="B116">
        <v>170.69000199999999</v>
      </c>
      <c r="C116">
        <f t="shared" si="1"/>
        <v>1.5244433288262456E-3</v>
      </c>
    </row>
    <row r="117" spans="1:3">
      <c r="A117" s="1">
        <v>45198</v>
      </c>
      <c r="B117">
        <v>171.21000699999999</v>
      </c>
      <c r="C117">
        <f t="shared" si="1"/>
        <v>3.0418566087982548E-3</v>
      </c>
    </row>
    <row r="118" spans="1:3">
      <c r="A118" s="1">
        <v>45201</v>
      </c>
      <c r="B118">
        <v>173.75</v>
      </c>
      <c r="C118">
        <f t="shared" si="1"/>
        <v>1.4726570342713685E-2</v>
      </c>
    </row>
    <row r="119" spans="1:3">
      <c r="A119" s="1">
        <v>45202</v>
      </c>
      <c r="B119">
        <v>172.39999399999999</v>
      </c>
      <c r="C119">
        <f t="shared" si="1"/>
        <v>-7.800161018093661E-3</v>
      </c>
    </row>
    <row r="120" spans="1:3">
      <c r="A120" s="1">
        <v>45203</v>
      </c>
      <c r="B120">
        <v>173.66000399999999</v>
      </c>
      <c r="C120">
        <f t="shared" si="1"/>
        <v>7.2820642392047554E-3</v>
      </c>
    </row>
    <row r="121" spans="1:3">
      <c r="A121" s="1">
        <v>45204</v>
      </c>
      <c r="B121">
        <v>174.91000399999999</v>
      </c>
      <c r="C121">
        <f t="shared" si="1"/>
        <v>7.1721911218628771E-3</v>
      </c>
    </row>
    <row r="122" spans="1:3">
      <c r="A122" s="1">
        <v>45205</v>
      </c>
      <c r="B122">
        <v>177.490005</v>
      </c>
      <c r="C122">
        <f t="shared" si="1"/>
        <v>1.4642718682980413E-2</v>
      </c>
    </row>
    <row r="123" spans="1:3">
      <c r="A123" s="1">
        <v>45208</v>
      </c>
      <c r="B123">
        <v>178.990005</v>
      </c>
      <c r="C123">
        <f t="shared" si="1"/>
        <v>8.4156688220736221E-3</v>
      </c>
    </row>
    <row r="124" spans="1:3">
      <c r="A124" s="1">
        <v>45209</v>
      </c>
      <c r="B124">
        <v>178.38999899999999</v>
      </c>
      <c r="C124">
        <f t="shared" si="1"/>
        <v>-3.3578071354488826E-3</v>
      </c>
    </row>
    <row r="125" spans="1:3">
      <c r="A125" s="1">
        <v>45210</v>
      </c>
      <c r="B125">
        <v>179.800003</v>
      </c>
      <c r="C125">
        <f t="shared" si="1"/>
        <v>7.8729795652447785E-3</v>
      </c>
    </row>
    <row r="126" spans="1:3">
      <c r="A126" s="1">
        <v>45211</v>
      </c>
      <c r="B126">
        <v>180.71000699999999</v>
      </c>
      <c r="C126">
        <f t="shared" si="1"/>
        <v>5.0484364234428172E-3</v>
      </c>
    </row>
    <row r="127" spans="1:3">
      <c r="A127" s="1">
        <v>45212</v>
      </c>
      <c r="B127">
        <v>178.85000600000001</v>
      </c>
      <c r="C127">
        <f t="shared" si="1"/>
        <v>-1.034607589347651E-2</v>
      </c>
    </row>
    <row r="128" spans="1:3">
      <c r="A128" s="1">
        <v>45215</v>
      </c>
      <c r="B128">
        <v>178.720001</v>
      </c>
      <c r="C128">
        <f t="shared" si="1"/>
        <v>-7.271583364567057E-4</v>
      </c>
    </row>
    <row r="129" spans="1:3">
      <c r="A129" s="1">
        <v>45216</v>
      </c>
      <c r="B129">
        <v>177.14999399999999</v>
      </c>
      <c r="C129">
        <f t="shared" si="1"/>
        <v>-8.8235434743568677E-3</v>
      </c>
    </row>
    <row r="130" spans="1:3">
      <c r="A130" s="1">
        <v>45217</v>
      </c>
      <c r="B130">
        <v>175.83999600000001</v>
      </c>
      <c r="C130">
        <f t="shared" si="1"/>
        <v>-7.4223295345199978E-3</v>
      </c>
    </row>
    <row r="131" spans="1:3">
      <c r="A131" s="1">
        <v>45218</v>
      </c>
      <c r="B131">
        <v>175.46000699999999</v>
      </c>
      <c r="C131">
        <f t="shared" si="1"/>
        <v>-2.1633313119886438E-3</v>
      </c>
    </row>
    <row r="132" spans="1:3">
      <c r="A132" s="1">
        <v>45219</v>
      </c>
      <c r="B132">
        <v>172.88000500000001</v>
      </c>
      <c r="C132">
        <f t="shared" si="1"/>
        <v>-1.4813395474944079E-2</v>
      </c>
    </row>
    <row r="133" spans="1:3">
      <c r="A133" s="1">
        <v>45222</v>
      </c>
      <c r="B133">
        <v>173</v>
      </c>
      <c r="C133">
        <f t="shared" ref="C133:C196" si="2">LN(B133/B132)</f>
        <v>6.9385337735322682E-4</v>
      </c>
    </row>
    <row r="134" spans="1:3">
      <c r="A134" s="1">
        <v>45223</v>
      </c>
      <c r="B134">
        <v>173.44000199999999</v>
      </c>
      <c r="C134">
        <f t="shared" si="2"/>
        <v>2.540135284867726E-3</v>
      </c>
    </row>
    <row r="135" spans="1:3">
      <c r="A135" s="1">
        <v>45224</v>
      </c>
      <c r="B135">
        <v>171.10000600000001</v>
      </c>
      <c r="C135">
        <f t="shared" si="2"/>
        <v>-1.3583513817287217E-2</v>
      </c>
    </row>
    <row r="136" spans="1:3">
      <c r="A136" s="1">
        <v>45225</v>
      </c>
      <c r="B136">
        <v>166.88999899999999</v>
      </c>
      <c r="C136">
        <f t="shared" si="2"/>
        <v>-2.4913309202018712E-2</v>
      </c>
    </row>
    <row r="137" spans="1:3">
      <c r="A137" s="1">
        <v>45226</v>
      </c>
      <c r="B137">
        <v>168.220001</v>
      </c>
      <c r="C137">
        <f t="shared" si="2"/>
        <v>7.9377457155468886E-3</v>
      </c>
    </row>
    <row r="138" spans="1:3">
      <c r="A138" s="1">
        <v>45229</v>
      </c>
      <c r="B138">
        <v>170.28999300000001</v>
      </c>
      <c r="C138">
        <f t="shared" si="2"/>
        <v>1.2230172453276985E-2</v>
      </c>
    </row>
    <row r="139" spans="1:3">
      <c r="A139" s="1">
        <v>45230</v>
      </c>
      <c r="B139">
        <v>170.770004</v>
      </c>
      <c r="C139">
        <f t="shared" si="2"/>
        <v>2.8148203903008645E-3</v>
      </c>
    </row>
    <row r="140" spans="1:3">
      <c r="A140" s="1">
        <v>45231</v>
      </c>
      <c r="B140">
        <v>173.970001</v>
      </c>
      <c r="C140">
        <f t="shared" si="2"/>
        <v>1.8565230982110995E-2</v>
      </c>
    </row>
    <row r="141" spans="1:3">
      <c r="A141" s="1">
        <v>45232</v>
      </c>
      <c r="B141">
        <v>177.570007</v>
      </c>
      <c r="C141">
        <f t="shared" si="2"/>
        <v>2.0482060487239512E-2</v>
      </c>
    </row>
    <row r="142" spans="1:3">
      <c r="A142" s="1">
        <v>45233</v>
      </c>
      <c r="B142">
        <v>176.64999399999999</v>
      </c>
      <c r="C142">
        <f t="shared" si="2"/>
        <v>-5.1945969521308335E-3</v>
      </c>
    </row>
    <row r="143" spans="1:3">
      <c r="A143" s="1">
        <v>45236</v>
      </c>
      <c r="B143">
        <v>179.229996</v>
      </c>
      <c r="C143">
        <f t="shared" si="2"/>
        <v>1.4499535086128116E-2</v>
      </c>
    </row>
    <row r="144" spans="1:3">
      <c r="A144" s="1">
        <v>45237</v>
      </c>
      <c r="B144">
        <v>181.820007</v>
      </c>
      <c r="C144">
        <f t="shared" si="2"/>
        <v>1.4347350267513135E-2</v>
      </c>
    </row>
    <row r="145" spans="1:3">
      <c r="A145" s="1">
        <v>45238</v>
      </c>
      <c r="B145">
        <v>182.88999899999999</v>
      </c>
      <c r="C145">
        <f t="shared" si="2"/>
        <v>5.8676485553902221E-3</v>
      </c>
    </row>
    <row r="146" spans="1:3">
      <c r="A146" s="1">
        <v>45239</v>
      </c>
      <c r="B146">
        <v>182.41000399999999</v>
      </c>
      <c r="C146">
        <f t="shared" si="2"/>
        <v>-2.627951121271609E-3</v>
      </c>
    </row>
    <row r="147" spans="1:3">
      <c r="A147" s="1">
        <v>45240</v>
      </c>
      <c r="B147">
        <v>186.39999399999999</v>
      </c>
      <c r="C147">
        <f t="shared" si="2"/>
        <v>2.163794743520395E-2</v>
      </c>
    </row>
    <row r="148" spans="1:3">
      <c r="A148" s="1">
        <v>45243</v>
      </c>
      <c r="B148">
        <v>184.800003</v>
      </c>
      <c r="C148">
        <f t="shared" si="2"/>
        <v>-8.6206946212991423E-3</v>
      </c>
    </row>
    <row r="149" spans="1:3">
      <c r="A149" s="1">
        <v>45244</v>
      </c>
      <c r="B149">
        <v>187.44000199999999</v>
      </c>
      <c r="C149">
        <f t="shared" si="2"/>
        <v>1.4184629428271204E-2</v>
      </c>
    </row>
    <row r="150" spans="1:3">
      <c r="A150" s="1">
        <v>45245</v>
      </c>
      <c r="B150">
        <v>188.009995</v>
      </c>
      <c r="C150">
        <f t="shared" si="2"/>
        <v>3.0363214407422429E-3</v>
      </c>
    </row>
    <row r="151" spans="1:3">
      <c r="A151" s="1">
        <v>45246</v>
      </c>
      <c r="B151">
        <v>189.71000699999999</v>
      </c>
      <c r="C151">
        <f t="shared" si="2"/>
        <v>9.0015009525138915E-3</v>
      </c>
    </row>
    <row r="152" spans="1:3">
      <c r="A152" s="1">
        <v>45247</v>
      </c>
      <c r="B152">
        <v>189.69000199999999</v>
      </c>
      <c r="C152">
        <f t="shared" si="2"/>
        <v>-1.0545598072733444E-4</v>
      </c>
    </row>
    <row r="153" spans="1:3">
      <c r="A153" s="1">
        <v>45250</v>
      </c>
      <c r="B153">
        <v>191.449997</v>
      </c>
      <c r="C153">
        <f t="shared" si="2"/>
        <v>9.2354909712658983E-3</v>
      </c>
    </row>
    <row r="154" spans="1:3">
      <c r="A154" s="1">
        <v>45251</v>
      </c>
      <c r="B154">
        <v>190.63999899999999</v>
      </c>
      <c r="C154">
        <f t="shared" si="2"/>
        <v>-4.2398347084179801E-3</v>
      </c>
    </row>
    <row r="155" spans="1:3">
      <c r="A155" s="1">
        <v>45252</v>
      </c>
      <c r="B155">
        <v>191.30999800000001</v>
      </c>
      <c r="C155">
        <f t="shared" si="2"/>
        <v>3.5083109960556756E-3</v>
      </c>
    </row>
    <row r="156" spans="1:3">
      <c r="A156" s="1">
        <v>45254</v>
      </c>
      <c r="B156">
        <v>189.970001</v>
      </c>
      <c r="C156">
        <f t="shared" si="2"/>
        <v>-7.0289683201065671E-3</v>
      </c>
    </row>
    <row r="157" spans="1:3">
      <c r="A157" s="1">
        <v>45257</v>
      </c>
      <c r="B157">
        <v>189.78999300000001</v>
      </c>
      <c r="C157">
        <f t="shared" si="2"/>
        <v>-9.4800935498966395E-4</v>
      </c>
    </row>
    <row r="158" spans="1:3">
      <c r="A158" s="1">
        <v>45258</v>
      </c>
      <c r="B158">
        <v>190.39999399999999</v>
      </c>
      <c r="C158">
        <f t="shared" si="2"/>
        <v>3.2089299787021637E-3</v>
      </c>
    </row>
    <row r="159" spans="1:3">
      <c r="A159" s="1">
        <v>45259</v>
      </c>
      <c r="B159">
        <v>189.36999499999999</v>
      </c>
      <c r="C159">
        <f t="shared" si="2"/>
        <v>-5.4243439731834504E-3</v>
      </c>
    </row>
    <row r="160" spans="1:3">
      <c r="A160" s="1">
        <v>45260</v>
      </c>
      <c r="B160">
        <v>189.949997</v>
      </c>
      <c r="C160">
        <f t="shared" si="2"/>
        <v>3.0581169685286584E-3</v>
      </c>
    </row>
    <row r="161" spans="1:3">
      <c r="A161" s="1">
        <v>45261</v>
      </c>
      <c r="B161">
        <v>191.240005</v>
      </c>
      <c r="C161">
        <f t="shared" si="2"/>
        <v>6.7683460630557253E-3</v>
      </c>
    </row>
    <row r="162" spans="1:3">
      <c r="A162" s="1">
        <v>45264</v>
      </c>
      <c r="B162">
        <v>189.429993</v>
      </c>
      <c r="C162">
        <f t="shared" si="2"/>
        <v>-9.5096837158376336E-3</v>
      </c>
    </row>
    <row r="163" spans="1:3">
      <c r="A163" s="1">
        <v>45265</v>
      </c>
      <c r="B163">
        <v>193.41999799999999</v>
      </c>
      <c r="C163">
        <f t="shared" si="2"/>
        <v>2.0844453761402194E-2</v>
      </c>
    </row>
    <row r="164" spans="1:3">
      <c r="A164" s="1">
        <v>45266</v>
      </c>
      <c r="B164">
        <v>192.320007</v>
      </c>
      <c r="C164">
        <f t="shared" si="2"/>
        <v>-5.7032922041121061E-3</v>
      </c>
    </row>
    <row r="165" spans="1:3">
      <c r="A165" s="1">
        <v>45267</v>
      </c>
      <c r="B165">
        <v>194.270004</v>
      </c>
      <c r="C165">
        <f t="shared" si="2"/>
        <v>1.0088276896077037E-2</v>
      </c>
    </row>
    <row r="166" spans="1:3">
      <c r="A166" s="1">
        <v>45268</v>
      </c>
      <c r="B166">
        <v>195.71000699999999</v>
      </c>
      <c r="C166">
        <f t="shared" si="2"/>
        <v>7.3850428434940069E-3</v>
      </c>
    </row>
    <row r="167" spans="1:3">
      <c r="A167" s="1">
        <v>45271</v>
      </c>
      <c r="B167">
        <v>193.179993</v>
      </c>
      <c r="C167">
        <f t="shared" si="2"/>
        <v>-1.3011646968569681E-2</v>
      </c>
    </row>
    <row r="168" spans="1:3">
      <c r="A168" s="1">
        <v>45272</v>
      </c>
      <c r="B168">
        <v>194.71000699999999</v>
      </c>
      <c r="C168">
        <f t="shared" si="2"/>
        <v>7.8889475629162469E-3</v>
      </c>
    </row>
    <row r="169" spans="1:3">
      <c r="A169" s="1">
        <v>45273</v>
      </c>
      <c r="B169">
        <v>197.96000699999999</v>
      </c>
      <c r="C169">
        <f t="shared" si="2"/>
        <v>1.6553717365933234E-2</v>
      </c>
    </row>
    <row r="170" spans="1:3">
      <c r="A170" s="1">
        <v>45274</v>
      </c>
      <c r="B170">
        <v>198.11000100000001</v>
      </c>
      <c r="C170">
        <f t="shared" si="2"/>
        <v>7.5741158957247324E-4</v>
      </c>
    </row>
    <row r="171" spans="1:3">
      <c r="A171" s="1">
        <v>45275</v>
      </c>
      <c r="B171">
        <v>197.570007</v>
      </c>
      <c r="C171">
        <f t="shared" si="2"/>
        <v>-2.7294496781426979E-3</v>
      </c>
    </row>
    <row r="172" spans="1:3">
      <c r="A172" s="1">
        <v>45278</v>
      </c>
      <c r="B172">
        <v>195.88999899999999</v>
      </c>
      <c r="C172">
        <f t="shared" si="2"/>
        <v>-8.5397152653902443E-3</v>
      </c>
    </row>
    <row r="173" spans="1:3">
      <c r="A173" s="1">
        <v>45279</v>
      </c>
      <c r="B173">
        <v>196.94000199999999</v>
      </c>
      <c r="C173">
        <f t="shared" si="2"/>
        <v>5.3458518846299947E-3</v>
      </c>
    </row>
    <row r="174" spans="1:3">
      <c r="A174" s="1">
        <v>45280</v>
      </c>
      <c r="B174">
        <v>194.83000200000001</v>
      </c>
      <c r="C174">
        <f t="shared" si="2"/>
        <v>-1.0771730251877876E-2</v>
      </c>
    </row>
    <row r="175" spans="1:3">
      <c r="A175" s="1">
        <v>45281</v>
      </c>
      <c r="B175">
        <v>194.679993</v>
      </c>
      <c r="C175">
        <f t="shared" si="2"/>
        <v>-7.702447143438239E-4</v>
      </c>
    </row>
    <row r="176" spans="1:3">
      <c r="A176" s="1">
        <v>45282</v>
      </c>
      <c r="B176">
        <v>193.60000600000001</v>
      </c>
      <c r="C176">
        <f t="shared" si="2"/>
        <v>-5.5629431745998249E-3</v>
      </c>
    </row>
    <row r="177" spans="1:3">
      <c r="A177" s="1">
        <v>45286</v>
      </c>
      <c r="B177">
        <v>193.050003</v>
      </c>
      <c r="C177">
        <f t="shared" si="2"/>
        <v>-2.8449675839509851E-3</v>
      </c>
    </row>
    <row r="178" spans="1:3">
      <c r="A178" s="1">
        <v>45287</v>
      </c>
      <c r="B178">
        <v>193.14999399999999</v>
      </c>
      <c r="C178">
        <f t="shared" si="2"/>
        <v>5.1781979808894095E-4</v>
      </c>
    </row>
    <row r="179" spans="1:3">
      <c r="A179" s="1">
        <v>45288</v>
      </c>
      <c r="B179">
        <v>193.58000200000001</v>
      </c>
      <c r="C179">
        <f t="shared" si="2"/>
        <v>2.2238160042384538E-3</v>
      </c>
    </row>
    <row r="180" spans="1:3">
      <c r="A180" s="1">
        <v>45289</v>
      </c>
      <c r="B180">
        <v>192.529999</v>
      </c>
      <c r="C180">
        <f t="shared" si="2"/>
        <v>-5.4388935053399541E-3</v>
      </c>
    </row>
    <row r="181" spans="1:3">
      <c r="A181" s="1">
        <v>45293</v>
      </c>
      <c r="B181">
        <v>185.63999899999999</v>
      </c>
      <c r="C181">
        <f t="shared" si="2"/>
        <v>-3.644267156104352E-2</v>
      </c>
    </row>
    <row r="182" spans="1:3">
      <c r="A182" s="1">
        <v>45294</v>
      </c>
      <c r="B182">
        <v>184.25</v>
      </c>
      <c r="C182">
        <f t="shared" si="2"/>
        <v>-7.5157779167589591E-3</v>
      </c>
    </row>
    <row r="183" spans="1:3">
      <c r="A183" s="1">
        <v>45295</v>
      </c>
      <c r="B183">
        <v>181.91000399999999</v>
      </c>
      <c r="C183">
        <f t="shared" si="2"/>
        <v>-1.2781449806425873E-2</v>
      </c>
    </row>
    <row r="184" spans="1:3">
      <c r="A184" s="1">
        <v>45296</v>
      </c>
      <c r="B184">
        <v>181.179993</v>
      </c>
      <c r="C184">
        <f t="shared" si="2"/>
        <v>-4.0211076574901044E-3</v>
      </c>
    </row>
    <row r="185" spans="1:3">
      <c r="A185" s="1">
        <v>45299</v>
      </c>
      <c r="B185">
        <v>185.55999800000001</v>
      </c>
      <c r="C185">
        <f t="shared" si="2"/>
        <v>2.3887295499827925E-2</v>
      </c>
    </row>
    <row r="186" spans="1:3">
      <c r="A186" s="1">
        <v>45300</v>
      </c>
      <c r="B186">
        <v>185.13999899999999</v>
      </c>
      <c r="C186">
        <f t="shared" si="2"/>
        <v>-2.265978867610798E-3</v>
      </c>
    </row>
    <row r="187" spans="1:3">
      <c r="A187" s="1">
        <v>45301</v>
      </c>
      <c r="B187">
        <v>186.19000199999999</v>
      </c>
      <c r="C187">
        <f t="shared" si="2"/>
        <v>5.6553782119291495E-3</v>
      </c>
    </row>
    <row r="188" spans="1:3">
      <c r="A188" s="1">
        <v>45302</v>
      </c>
      <c r="B188">
        <v>185.58999600000001</v>
      </c>
      <c r="C188">
        <f t="shared" si="2"/>
        <v>-3.2277504123486406E-3</v>
      </c>
    </row>
    <row r="189" spans="1:3">
      <c r="A189" s="1">
        <v>45303</v>
      </c>
      <c r="B189">
        <v>185.91999799999999</v>
      </c>
      <c r="C189">
        <f t="shared" si="2"/>
        <v>1.7765448689036785E-3</v>
      </c>
    </row>
    <row r="190" spans="1:3">
      <c r="A190" s="1">
        <v>45307</v>
      </c>
      <c r="B190">
        <v>183.63000500000001</v>
      </c>
      <c r="C190">
        <f t="shared" si="2"/>
        <v>-1.2393572146477187E-2</v>
      </c>
    </row>
    <row r="191" spans="1:3">
      <c r="A191" s="1">
        <v>45308</v>
      </c>
      <c r="B191">
        <v>182.679993</v>
      </c>
      <c r="C191">
        <f t="shared" si="2"/>
        <v>-5.1869407613276729E-3</v>
      </c>
    </row>
    <row r="192" spans="1:3">
      <c r="A192" s="1">
        <v>45309</v>
      </c>
      <c r="B192">
        <v>188.63000500000001</v>
      </c>
      <c r="C192">
        <f t="shared" si="2"/>
        <v>3.2051500866124703E-2</v>
      </c>
    </row>
    <row r="193" spans="1:3">
      <c r="A193" s="1">
        <v>45310</v>
      </c>
      <c r="B193">
        <v>191.55999800000001</v>
      </c>
      <c r="C193">
        <f t="shared" si="2"/>
        <v>1.5413614169264267E-2</v>
      </c>
    </row>
    <row r="194" spans="1:3">
      <c r="A194" s="1">
        <v>45313</v>
      </c>
      <c r="B194">
        <v>193.88999899999999</v>
      </c>
      <c r="C194">
        <f t="shared" si="2"/>
        <v>1.208991775153467E-2</v>
      </c>
    </row>
    <row r="195" spans="1:3">
      <c r="A195" s="1">
        <v>45314</v>
      </c>
      <c r="B195">
        <v>195.179993</v>
      </c>
      <c r="C195">
        <f t="shared" si="2"/>
        <v>6.6311910636339001E-3</v>
      </c>
    </row>
    <row r="196" spans="1:3">
      <c r="A196" s="1">
        <v>45315</v>
      </c>
      <c r="B196">
        <v>194.5</v>
      </c>
      <c r="C196">
        <f t="shared" si="2"/>
        <v>-3.490010790483064E-3</v>
      </c>
    </row>
    <row r="197" spans="1:3">
      <c r="A197" s="1">
        <v>45316</v>
      </c>
      <c r="B197">
        <v>194.16999799999999</v>
      </c>
      <c r="C197">
        <f t="shared" ref="C197:C255" si="3">LN(B197/B196)</f>
        <v>-1.69810935239108E-3</v>
      </c>
    </row>
    <row r="198" spans="1:3">
      <c r="A198" s="1">
        <v>45317</v>
      </c>
      <c r="B198">
        <v>192.41999799999999</v>
      </c>
      <c r="C198">
        <f t="shared" si="3"/>
        <v>-9.0535811669214591E-3</v>
      </c>
    </row>
    <row r="199" spans="1:3">
      <c r="A199" s="1">
        <v>45320</v>
      </c>
      <c r="B199">
        <v>191.729996</v>
      </c>
      <c r="C199">
        <f t="shared" si="3"/>
        <v>-3.592361071560129E-3</v>
      </c>
    </row>
    <row r="200" spans="1:3">
      <c r="A200" s="1">
        <v>45321</v>
      </c>
      <c r="B200">
        <v>188.03999300000001</v>
      </c>
      <c r="C200">
        <f t="shared" si="3"/>
        <v>-1.9433442537821425E-2</v>
      </c>
    </row>
    <row r="201" spans="1:3">
      <c r="A201" s="1">
        <v>45322</v>
      </c>
      <c r="B201">
        <v>184.39999399999999</v>
      </c>
      <c r="C201">
        <f t="shared" si="3"/>
        <v>-1.9547390345275077E-2</v>
      </c>
    </row>
    <row r="202" spans="1:3">
      <c r="A202" s="1">
        <v>45323</v>
      </c>
      <c r="B202">
        <v>186.86000100000001</v>
      </c>
      <c r="C202">
        <f t="shared" si="3"/>
        <v>1.3252400131877876E-2</v>
      </c>
    </row>
    <row r="203" spans="1:3">
      <c r="A203" s="1">
        <v>45324</v>
      </c>
      <c r="B203">
        <v>185.85000600000001</v>
      </c>
      <c r="C203">
        <f t="shared" si="3"/>
        <v>-5.4197496890489808E-3</v>
      </c>
    </row>
    <row r="204" spans="1:3">
      <c r="A204" s="1">
        <v>45327</v>
      </c>
      <c r="B204">
        <v>187.679993</v>
      </c>
      <c r="C204">
        <f t="shared" si="3"/>
        <v>9.7984185802762174E-3</v>
      </c>
    </row>
    <row r="205" spans="1:3">
      <c r="A205" s="1">
        <v>45328</v>
      </c>
      <c r="B205">
        <v>189.300003</v>
      </c>
      <c r="C205">
        <f t="shared" si="3"/>
        <v>8.594726455500603E-3</v>
      </c>
    </row>
    <row r="206" spans="1:3">
      <c r="A206" s="1">
        <v>45329</v>
      </c>
      <c r="B206">
        <v>189.41000399999999</v>
      </c>
      <c r="C206">
        <f t="shared" si="3"/>
        <v>5.8092472372152425E-4</v>
      </c>
    </row>
    <row r="207" spans="1:3">
      <c r="A207" s="1">
        <v>45330</v>
      </c>
      <c r="B207">
        <v>188.320007</v>
      </c>
      <c r="C207">
        <f t="shared" si="3"/>
        <v>-5.7713181041199818E-3</v>
      </c>
    </row>
    <row r="208" spans="1:3">
      <c r="A208" s="1">
        <v>45331</v>
      </c>
      <c r="B208">
        <v>188.85000600000001</v>
      </c>
      <c r="C208">
        <f t="shared" si="3"/>
        <v>2.8104002469733808E-3</v>
      </c>
    </row>
    <row r="209" spans="1:3">
      <c r="A209" s="1">
        <v>45334</v>
      </c>
      <c r="B209">
        <v>187.14999399999999</v>
      </c>
      <c r="C209">
        <f t="shared" si="3"/>
        <v>-9.0426786391200019E-3</v>
      </c>
    </row>
    <row r="210" spans="1:3">
      <c r="A210" s="1">
        <v>45335</v>
      </c>
      <c r="B210">
        <v>185.03999300000001</v>
      </c>
      <c r="C210">
        <f t="shared" si="3"/>
        <v>-1.133842219706779E-2</v>
      </c>
    </row>
    <row r="211" spans="1:3">
      <c r="A211" s="1">
        <v>45336</v>
      </c>
      <c r="B211">
        <v>184.14999399999999</v>
      </c>
      <c r="C211">
        <f t="shared" si="3"/>
        <v>-4.8213697845849923E-3</v>
      </c>
    </row>
    <row r="212" spans="1:3">
      <c r="A212" s="1">
        <v>45337</v>
      </c>
      <c r="B212">
        <v>183.86000100000001</v>
      </c>
      <c r="C212">
        <f t="shared" si="3"/>
        <v>-1.5760064344100546E-3</v>
      </c>
    </row>
    <row r="213" spans="1:3">
      <c r="A213" s="1">
        <v>45338</v>
      </c>
      <c r="B213">
        <v>182.30999800000001</v>
      </c>
      <c r="C213">
        <f t="shared" si="3"/>
        <v>-8.466080029481236E-3</v>
      </c>
    </row>
    <row r="214" spans="1:3">
      <c r="A214" s="1">
        <v>45342</v>
      </c>
      <c r="B214">
        <v>181.55999800000001</v>
      </c>
      <c r="C214">
        <f t="shared" si="3"/>
        <v>-4.1223572724256655E-3</v>
      </c>
    </row>
    <row r="215" spans="1:3">
      <c r="A215" s="1">
        <v>45343</v>
      </c>
      <c r="B215">
        <v>182.320007</v>
      </c>
      <c r="C215">
        <f t="shared" si="3"/>
        <v>4.1772567588380148E-3</v>
      </c>
    </row>
    <row r="216" spans="1:3">
      <c r="A216" s="1">
        <v>45344</v>
      </c>
      <c r="B216">
        <v>184.36999499999999</v>
      </c>
      <c r="C216">
        <f t="shared" si="3"/>
        <v>1.1181157631458844E-2</v>
      </c>
    </row>
    <row r="217" spans="1:3">
      <c r="A217" s="1">
        <v>45345</v>
      </c>
      <c r="B217">
        <v>182.520004</v>
      </c>
      <c r="C217">
        <f t="shared" si="3"/>
        <v>-1.0084802988311416E-2</v>
      </c>
    </row>
    <row r="218" spans="1:3">
      <c r="A218" s="1">
        <v>45348</v>
      </c>
      <c r="B218">
        <v>181.16000399999999</v>
      </c>
      <c r="C218">
        <f t="shared" si="3"/>
        <v>-7.4791372066659719E-3</v>
      </c>
    </row>
    <row r="219" spans="1:3">
      <c r="A219" s="1">
        <v>45349</v>
      </c>
      <c r="B219">
        <v>182.63000500000001</v>
      </c>
      <c r="C219">
        <f t="shared" si="3"/>
        <v>8.081634813766201E-3</v>
      </c>
    </row>
    <row r="220" spans="1:3">
      <c r="A220" s="1">
        <v>45350</v>
      </c>
      <c r="B220">
        <v>181.41999799999999</v>
      </c>
      <c r="C220">
        <f t="shared" si="3"/>
        <v>-6.6475014190533069E-3</v>
      </c>
    </row>
    <row r="221" spans="1:3">
      <c r="A221" s="1">
        <v>45351</v>
      </c>
      <c r="B221">
        <v>180.75</v>
      </c>
      <c r="C221">
        <f t="shared" si="3"/>
        <v>-3.6999131237810349E-3</v>
      </c>
    </row>
    <row r="222" spans="1:3">
      <c r="A222" s="1">
        <v>45352</v>
      </c>
      <c r="B222">
        <v>179.66000399999999</v>
      </c>
      <c r="C222">
        <f t="shared" si="3"/>
        <v>-6.0486629735368516E-3</v>
      </c>
    </row>
    <row r="223" spans="1:3">
      <c r="A223" s="1">
        <v>45355</v>
      </c>
      <c r="B223">
        <v>175.10000600000001</v>
      </c>
      <c r="C223">
        <f t="shared" si="3"/>
        <v>-2.5708924507397989E-2</v>
      </c>
    </row>
    <row r="224" spans="1:3">
      <c r="A224" s="1">
        <v>45356</v>
      </c>
      <c r="B224">
        <v>170.11999499999999</v>
      </c>
      <c r="C224">
        <f t="shared" si="3"/>
        <v>-2.8853232563525084E-2</v>
      </c>
    </row>
    <row r="225" spans="1:3">
      <c r="A225" s="1">
        <v>45357</v>
      </c>
      <c r="B225">
        <v>169.11999499999999</v>
      </c>
      <c r="C225">
        <f t="shared" si="3"/>
        <v>-5.8955484372932359E-3</v>
      </c>
    </row>
    <row r="226" spans="1:3">
      <c r="A226" s="1">
        <v>45358</v>
      </c>
      <c r="B226">
        <v>169</v>
      </c>
      <c r="C226">
        <f t="shared" si="3"/>
        <v>-7.0977763404742056E-4</v>
      </c>
    </row>
    <row r="227" spans="1:3">
      <c r="A227" s="1">
        <v>45359</v>
      </c>
      <c r="B227">
        <v>170.729996</v>
      </c>
      <c r="C227">
        <f t="shared" si="3"/>
        <v>1.0184622931262762E-2</v>
      </c>
    </row>
    <row r="228" spans="1:3">
      <c r="A228" s="1">
        <v>45362</v>
      </c>
      <c r="B228">
        <v>172.75</v>
      </c>
      <c r="C228">
        <f t="shared" si="3"/>
        <v>1.1762124793442954E-2</v>
      </c>
    </row>
    <row r="229" spans="1:3">
      <c r="A229" s="1">
        <v>45363</v>
      </c>
      <c r="B229">
        <v>173.229996</v>
      </c>
      <c r="C229">
        <f t="shared" si="3"/>
        <v>2.774705552381376E-3</v>
      </c>
    </row>
    <row r="230" spans="1:3">
      <c r="A230" s="1">
        <v>45364</v>
      </c>
      <c r="B230">
        <v>171.13000500000001</v>
      </c>
      <c r="C230">
        <f t="shared" si="3"/>
        <v>-1.2196637393246642E-2</v>
      </c>
    </row>
    <row r="231" spans="1:3">
      <c r="A231" s="1">
        <v>45365</v>
      </c>
      <c r="B231">
        <v>173</v>
      </c>
      <c r="C231">
        <f t="shared" si="3"/>
        <v>1.0868063690865093E-2</v>
      </c>
    </row>
    <row r="232" spans="1:3">
      <c r="A232" s="1">
        <v>45366</v>
      </c>
      <c r="B232">
        <v>172.61999499999999</v>
      </c>
      <c r="C232">
        <f t="shared" si="3"/>
        <v>-2.1989766716253496E-3</v>
      </c>
    </row>
    <row r="233" spans="1:3">
      <c r="A233" s="1">
        <v>45369</v>
      </c>
      <c r="B233">
        <v>173.720001</v>
      </c>
      <c r="C233">
        <f t="shared" si="3"/>
        <v>6.3521955968571459E-3</v>
      </c>
    </row>
    <row r="234" spans="1:3">
      <c r="A234" s="1">
        <v>45370</v>
      </c>
      <c r="B234">
        <v>176.08000200000001</v>
      </c>
      <c r="C234">
        <f t="shared" si="3"/>
        <v>1.3493635153668982E-2</v>
      </c>
    </row>
    <row r="235" spans="1:3">
      <c r="A235" s="1">
        <v>45371</v>
      </c>
      <c r="B235">
        <v>178.66999799999999</v>
      </c>
      <c r="C235">
        <f t="shared" si="3"/>
        <v>1.4602069174575188E-2</v>
      </c>
    </row>
    <row r="236" spans="1:3">
      <c r="A236" s="1">
        <v>45372</v>
      </c>
      <c r="B236">
        <v>171.36999499999999</v>
      </c>
      <c r="C236">
        <f t="shared" si="3"/>
        <v>-4.1715585255132762E-2</v>
      </c>
    </row>
    <row r="237" spans="1:3">
      <c r="A237" s="1">
        <v>45373</v>
      </c>
      <c r="B237">
        <v>172.279999</v>
      </c>
      <c r="C237">
        <f t="shared" si="3"/>
        <v>5.296121885283501E-3</v>
      </c>
    </row>
    <row r="238" spans="1:3">
      <c r="A238" s="1">
        <v>45376</v>
      </c>
      <c r="B238">
        <v>170.85000600000001</v>
      </c>
      <c r="C238">
        <f t="shared" si="3"/>
        <v>-8.3350407015802593E-3</v>
      </c>
    </row>
    <row r="239" spans="1:3">
      <c r="A239" s="1">
        <v>45377</v>
      </c>
      <c r="B239">
        <v>169.71000699999999</v>
      </c>
      <c r="C239">
        <f t="shared" si="3"/>
        <v>-6.6948744098192878E-3</v>
      </c>
    </row>
    <row r="240" spans="1:3">
      <c r="A240" s="1">
        <v>45378</v>
      </c>
      <c r="B240">
        <v>173.30999800000001</v>
      </c>
      <c r="C240">
        <f t="shared" si="3"/>
        <v>2.0990747651262909E-2</v>
      </c>
    </row>
    <row r="241" spans="1:4">
      <c r="A241" s="1">
        <v>45379</v>
      </c>
      <c r="B241">
        <v>171.479996</v>
      </c>
      <c r="C241">
        <f t="shared" si="3"/>
        <v>-1.0615268517828231E-2</v>
      </c>
    </row>
    <row r="242" spans="1:4">
      <c r="A242" s="1">
        <v>45383</v>
      </c>
      <c r="B242">
        <v>170.029999</v>
      </c>
      <c r="C242">
        <f t="shared" si="3"/>
        <v>-8.491732215361314E-3</v>
      </c>
    </row>
    <row r="243" spans="1:4">
      <c r="A243" s="1">
        <v>45384</v>
      </c>
      <c r="B243">
        <v>168.83999600000001</v>
      </c>
      <c r="C243">
        <f t="shared" si="3"/>
        <v>-7.0233889648500568E-3</v>
      </c>
    </row>
    <row r="244" spans="1:4">
      <c r="A244" s="1">
        <v>45385</v>
      </c>
      <c r="B244">
        <v>169.64999399999999</v>
      </c>
      <c r="C244">
        <f t="shared" si="3"/>
        <v>4.78595864007715E-3</v>
      </c>
    </row>
    <row r="245" spans="1:4">
      <c r="A245" s="1">
        <v>45386</v>
      </c>
      <c r="B245">
        <v>168.820007</v>
      </c>
      <c r="C245">
        <f t="shared" si="3"/>
        <v>-4.9043558434520625E-3</v>
      </c>
    </row>
    <row r="246" spans="1:4">
      <c r="A246" s="1">
        <v>45387</v>
      </c>
      <c r="B246">
        <v>169.58000200000001</v>
      </c>
      <c r="C246">
        <f t="shared" si="3"/>
        <v>4.4917036498459293E-3</v>
      </c>
    </row>
    <row r="247" spans="1:4">
      <c r="A247" s="1">
        <v>45390</v>
      </c>
      <c r="B247">
        <v>168.449997</v>
      </c>
      <c r="C247">
        <f t="shared" si="3"/>
        <v>-6.6858516265777919E-3</v>
      </c>
    </row>
    <row r="248" spans="1:4">
      <c r="A248" s="1">
        <v>45391</v>
      </c>
      <c r="B248">
        <v>169.66999799999999</v>
      </c>
      <c r="C248">
        <f t="shared" si="3"/>
        <v>7.216410224137642E-3</v>
      </c>
    </row>
    <row r="249" spans="1:4">
      <c r="A249" s="1">
        <v>45392</v>
      </c>
      <c r="B249">
        <v>167.779999</v>
      </c>
      <c r="C249">
        <f t="shared" si="3"/>
        <v>-1.1201770809297762E-2</v>
      </c>
    </row>
    <row r="250" spans="1:4">
      <c r="A250" s="1">
        <v>45393</v>
      </c>
      <c r="B250">
        <v>175.03999300000001</v>
      </c>
      <c r="C250">
        <f t="shared" si="3"/>
        <v>4.2360887784793806E-2</v>
      </c>
    </row>
    <row r="251" spans="1:4">
      <c r="A251" s="1">
        <v>45394</v>
      </c>
      <c r="B251">
        <v>176.550003</v>
      </c>
      <c r="C251">
        <f t="shared" si="3"/>
        <v>8.5896601239922946E-3</v>
      </c>
    </row>
    <row r="252" spans="1:4">
      <c r="A252" s="1">
        <v>45397</v>
      </c>
      <c r="B252">
        <v>172.69000199999999</v>
      </c>
      <c r="C252">
        <f t="shared" si="3"/>
        <v>-2.2106048188723734E-2</v>
      </c>
    </row>
    <row r="253" spans="1:4">
      <c r="A253" s="1">
        <v>45398</v>
      </c>
      <c r="B253">
        <v>169.38000500000001</v>
      </c>
      <c r="C253">
        <f t="shared" si="3"/>
        <v>-1.935335016514873E-2</v>
      </c>
    </row>
    <row r="254" spans="1:4">
      <c r="A254" s="1">
        <v>45399</v>
      </c>
      <c r="B254">
        <v>168</v>
      </c>
      <c r="C254">
        <f t="shared" si="3"/>
        <v>-8.1807616096174797E-3</v>
      </c>
    </row>
    <row r="255" spans="1:4">
      <c r="A255" s="1">
        <v>45400</v>
      </c>
      <c r="B255">
        <v>167.029999</v>
      </c>
      <c r="C255">
        <f t="shared" si="3"/>
        <v>-5.7905483883511893E-3</v>
      </c>
    </row>
    <row r="256" spans="1:4">
      <c r="A256" s="1"/>
      <c r="C256" s="13">
        <f>AVERAGE(C4:C255)</f>
        <v>1.33266349281684E-5</v>
      </c>
      <c r="D256" s="13"/>
    </row>
  </sheetData>
  <mergeCells count="6">
    <mergeCell ref="G4:H5"/>
    <mergeCell ref="G3:H3"/>
    <mergeCell ref="G6:H7"/>
    <mergeCell ref="A1:C1"/>
    <mergeCell ref="J3:L3"/>
    <mergeCell ref="J4:L5"/>
  </mergeCell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CC53-8206-442A-9F5D-D80B4E85FD45}">
  <dimension ref="A2:I16"/>
  <sheetViews>
    <sheetView workbookViewId="0">
      <selection activeCell="L17" sqref="L17"/>
    </sheetView>
  </sheetViews>
  <sheetFormatPr defaultColWidth="8.81640625" defaultRowHeight="14.5"/>
  <cols>
    <col min="1" max="1" width="19.6328125" bestFit="1" customWidth="1"/>
    <col min="2" max="2" width="16" customWidth="1"/>
    <col min="3" max="3" width="15.453125" bestFit="1" customWidth="1"/>
    <col min="9" max="9" width="11.453125" customWidth="1"/>
  </cols>
  <sheetData>
    <row r="2" spans="1:9" ht="18">
      <c r="A2" s="28" t="s">
        <v>38</v>
      </c>
      <c r="B2" s="29"/>
      <c r="C2" s="29"/>
      <c r="D2" s="29"/>
      <c r="E2" s="29"/>
      <c r="F2" s="29"/>
      <c r="G2" s="29"/>
      <c r="H2" s="29"/>
      <c r="I2" s="29"/>
    </row>
    <row r="4" spans="1:9">
      <c r="A4" s="14" t="s">
        <v>31</v>
      </c>
      <c r="B4" s="6" t="s">
        <v>28</v>
      </c>
      <c r="C4" s="6" t="s">
        <v>47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23</v>
      </c>
      <c r="I4" s="15" t="s">
        <v>24</v>
      </c>
    </row>
    <row r="5" spans="1:9">
      <c r="A5" s="3" t="s">
        <v>17</v>
      </c>
      <c r="B5" s="16">
        <f>DATE(2024, 5, 18)</f>
        <v>45430</v>
      </c>
      <c r="C5" s="2">
        <f>(B5-AAPL!$F$3)/365</f>
        <v>8.2191780821917804E-2</v>
      </c>
      <c r="D5" s="2">
        <f>EXP(AAPL!$I$4*SQRT(Analysis!C5))</f>
        <v>1.0578956243333757</v>
      </c>
      <c r="E5" s="2">
        <f>1/D5</f>
        <v>0.94527283883052438</v>
      </c>
      <c r="F5" s="2">
        <f>AAPL!$I$3*Analysis!D5</f>
        <v>176.70030507450812</v>
      </c>
      <c r="G5" s="2">
        <f>AAPL!$I$3 * Analysis!E5</f>
        <v>157.88892132458966</v>
      </c>
      <c r="H5" s="2">
        <f>(EXP(AAPL!$I$6 * Analysis!C5) - Analysis!E5)/(Analysis!D5 - Analysis!E5)</f>
        <v>0.51982390292543612</v>
      </c>
      <c r="I5" s="5">
        <f>1-H5</f>
        <v>0.48017609707456388</v>
      </c>
    </row>
    <row r="6" spans="1:9">
      <c r="A6" s="3" t="s">
        <v>6</v>
      </c>
      <c r="B6" s="16">
        <f>DATE(2024, 6, 18)</f>
        <v>45461</v>
      </c>
      <c r="C6" s="2">
        <f>(B6-AAPL!$F$3)/365</f>
        <v>0.16712328767123288</v>
      </c>
      <c r="D6" s="2">
        <f>EXP(AAPL!$I$4*SQRT(Analysis!C6))</f>
        <v>1.0835631816488993</v>
      </c>
      <c r="E6" s="2">
        <f t="shared" ref="E6:E16" si="0">1/D6</f>
        <v>0.92288111753507718</v>
      </c>
      <c r="F6" s="2">
        <f>AAPL!$I$3*Analysis!D6</f>
        <v>180.98755714725246</v>
      </c>
      <c r="G6" s="2">
        <f>AAPL!$I$3 * Analysis!E6</f>
        <v>154.14883213900282</v>
      </c>
      <c r="H6" s="2">
        <f>(EXP(AAPL!$I$6 * Analysis!C6) - Analysis!E6)/(Analysis!D6 - Analysis!E6)</f>
        <v>0.52834226684766639</v>
      </c>
      <c r="I6" s="5">
        <f t="shared" ref="I6:I16" si="1">1-H6</f>
        <v>0.47165773315233361</v>
      </c>
    </row>
    <row r="7" spans="1:9">
      <c r="A7" s="3" t="s">
        <v>7</v>
      </c>
      <c r="B7" s="16">
        <f>DATE(2024, 7, 18)</f>
        <v>45491</v>
      </c>
      <c r="C7" s="2">
        <f>(B7-AAPL!$F$3)/365</f>
        <v>0.24931506849315069</v>
      </c>
      <c r="D7" s="2">
        <f>EXP(AAPL!$I$4*SQRT(Analysis!C7))</f>
        <v>1.1029879273538463</v>
      </c>
      <c r="E7" s="2">
        <f t="shared" si="0"/>
        <v>0.9066282369917481</v>
      </c>
      <c r="F7" s="2">
        <f>AAPL!$I$3*Analysis!D7</f>
        <v>184.23207240292504</v>
      </c>
      <c r="G7" s="2">
        <f>AAPL!$I$3 * Analysis!E7</f>
        <v>151.43411351810346</v>
      </c>
      <c r="H7" s="2">
        <f>(EXP(AAPL!$I$6 * Analysis!C7) - Analysis!E7)/(Analysis!D7 - Analysis!E7)</f>
        <v>0.53470517236186377</v>
      </c>
      <c r="I7" s="5">
        <f t="shared" si="1"/>
        <v>0.46529482763813623</v>
      </c>
    </row>
    <row r="8" spans="1:9">
      <c r="A8" s="3" t="s">
        <v>8</v>
      </c>
      <c r="B8" s="16">
        <f>DATE(2024, 8, 18)</f>
        <v>45522</v>
      </c>
      <c r="C8" s="2">
        <f>(B8-AAPL!$F$3)/365</f>
        <v>0.33424657534246577</v>
      </c>
      <c r="D8" s="2">
        <f>EXP(AAPL!$I$4*SQRT(Analysis!C8))</f>
        <v>1.12018908991693</v>
      </c>
      <c r="E8" s="2">
        <f t="shared" si="0"/>
        <v>0.89270642697846403</v>
      </c>
      <c r="F8" s="2">
        <f>AAPL!$I$3*Analysis!D8</f>
        <v>187.10518256863574</v>
      </c>
      <c r="G8" s="2">
        <f>AAPL!$I$3 * Analysis!E8</f>
        <v>149.10875360550642</v>
      </c>
      <c r="H8" s="2">
        <f>(EXP(AAPL!$I$6 * Analysis!C8) - Analysis!E8)/(Analysis!D8 - Analysis!E8)</f>
        <v>0.54028965750108027</v>
      </c>
      <c r="I8" s="5">
        <f t="shared" si="1"/>
        <v>0.45971034249891973</v>
      </c>
    </row>
    <row r="9" spans="1:9">
      <c r="A9" s="3" t="s">
        <v>9</v>
      </c>
      <c r="B9" s="16">
        <f>DATE(2024, 9, 18)</f>
        <v>45553</v>
      </c>
      <c r="C9" s="2">
        <f>(B9-AAPL!$F$3)/365</f>
        <v>0.41917808219178082</v>
      </c>
      <c r="D9" s="2">
        <f>EXP(AAPL!$I$4*SQRT(Analysis!C9))</f>
        <v>1.1355327419295682</v>
      </c>
      <c r="E9" s="2">
        <f t="shared" si="0"/>
        <v>0.88064391547243059</v>
      </c>
      <c r="F9" s="2">
        <f>AAPL!$I$3*Analysis!D9</f>
        <v>189.66803274896304</v>
      </c>
      <c r="G9" s="2">
        <f>AAPL!$I$3 * Analysis!E9</f>
        <v>147.09395232071617</v>
      </c>
      <c r="H9" s="2">
        <f>(EXP(AAPL!$I$6 * Analysis!C9) - Analysis!E9)/(Analysis!D9 - Analysis!E9)</f>
        <v>0.54523754544785696</v>
      </c>
      <c r="I9" s="5">
        <f t="shared" si="1"/>
        <v>0.45476245455214304</v>
      </c>
    </row>
    <row r="10" spans="1:9">
      <c r="A10" s="3" t="s">
        <v>10</v>
      </c>
      <c r="B10" s="16">
        <f>DATE(2024, 10, 18)</f>
        <v>45583</v>
      </c>
      <c r="C10" s="2">
        <f>(B10-AAPL!$F$3)/365</f>
        <v>0.50136986301369868</v>
      </c>
      <c r="D10" s="2">
        <f>EXP(AAPL!$I$4*SQRT(Analysis!C10))</f>
        <v>1.1491304003024545</v>
      </c>
      <c r="E10" s="2">
        <f t="shared" si="0"/>
        <v>0.87022325728811722</v>
      </c>
      <c r="F10" s="2">
        <f>AAPL!$I$3*Analysis!D10</f>
        <v>191.93924961338857</v>
      </c>
      <c r="G10" s="2">
        <f>AAPL!$I$3 * Analysis!E10</f>
        <v>145.35338979461096</v>
      </c>
      <c r="H10" s="2">
        <f>(EXP(AAPL!$I$6 * Analysis!C10) - Analysis!E10)/(Analysis!D10 - Analysis!E10)</f>
        <v>0.54959995562294095</v>
      </c>
      <c r="I10" s="5">
        <f t="shared" si="1"/>
        <v>0.45040004437705905</v>
      </c>
    </row>
    <row r="11" spans="1:9">
      <c r="A11" s="3" t="s">
        <v>11</v>
      </c>
      <c r="B11" s="16">
        <f>DATE(2024, 11, 18)</f>
        <v>45614</v>
      </c>
      <c r="C11" s="2">
        <f>(B11-AAPL!$F$3)/365</f>
        <v>0.58630136986301373</v>
      </c>
      <c r="D11" s="2">
        <f>EXP(AAPL!$I$4*SQRT(Analysis!C11))</f>
        <v>1.162204683192235</v>
      </c>
      <c r="E11" s="2">
        <f t="shared" si="0"/>
        <v>0.86043363485104329</v>
      </c>
      <c r="F11" s="2">
        <f>AAPL!$I$3*Analysis!D11</f>
        <v>194.12304707139432</v>
      </c>
      <c r="G11" s="2">
        <f>AAPL!$I$3 * Analysis!E11</f>
        <v>143.71822916873612</v>
      </c>
      <c r="H11" s="2">
        <f>(EXP(AAPL!$I$6 * Analysis!C11) - Analysis!E11)/(Analysis!D11 - Analysis!E11)</f>
        <v>0.55377758837039937</v>
      </c>
      <c r="I11" s="5">
        <f t="shared" si="1"/>
        <v>0.44622241162960063</v>
      </c>
    </row>
    <row r="12" spans="1:9">
      <c r="A12" s="3" t="s">
        <v>12</v>
      </c>
      <c r="B12" s="16">
        <f>DATE(2024, 12, 18)</f>
        <v>45644</v>
      </c>
      <c r="C12" s="2">
        <f>(B12-AAPL!$F$3)/365</f>
        <v>0.66849315068493154</v>
      </c>
      <c r="D12" s="2">
        <f>EXP(AAPL!$I$4*SQRT(Analysis!C12))</f>
        <v>1.1741091686250855</v>
      </c>
      <c r="E12" s="2">
        <f t="shared" si="0"/>
        <v>0.85170955710279295</v>
      </c>
      <c r="F12" s="2">
        <f>AAPL!$I$3*Analysis!D12</f>
        <v>196.11145326133888</v>
      </c>
      <c r="G12" s="2">
        <f>AAPL!$I$3 * Analysis!E12</f>
        <v>142.26104647116995</v>
      </c>
      <c r="H12" s="2">
        <f>(EXP(AAPL!$I$6 * Analysis!C12) - Analysis!E12)/(Analysis!D12 - Analysis!E12)</f>
        <v>0.55756928653024218</v>
      </c>
      <c r="I12" s="5">
        <f t="shared" si="1"/>
        <v>0.44243071346975782</v>
      </c>
    </row>
    <row r="13" spans="1:9">
      <c r="A13" s="3" t="s">
        <v>13</v>
      </c>
      <c r="B13" s="16">
        <f>DATE(2024, 13, 18)</f>
        <v>45675</v>
      </c>
      <c r="C13" s="2">
        <f>(B13-AAPL!$F$3)/365</f>
        <v>0.75342465753424659</v>
      </c>
      <c r="D13" s="2">
        <f>EXP(AAPL!$I$4*SQRT(Analysis!C13))</f>
        <v>1.1857805298074804</v>
      </c>
      <c r="E13" s="2">
        <f t="shared" si="0"/>
        <v>0.84332637858572101</v>
      </c>
      <c r="F13" s="2">
        <f>AAPL!$I$3*Analysis!D13</f>
        <v>198.06092070796294</v>
      </c>
      <c r="G13" s="2">
        <f>AAPL!$I$3 * Analysis!E13</f>
        <v>140.86080417184661</v>
      </c>
      <c r="H13" s="2">
        <f>(EXP(AAPL!$I$6 * Analysis!C13) - Analysis!E13)/(Analysis!D13 - Analysis!E13)</f>
        <v>0.56127735626920205</v>
      </c>
      <c r="I13" s="5">
        <f t="shared" si="1"/>
        <v>0.43872264373079795</v>
      </c>
    </row>
    <row r="14" spans="1:9">
      <c r="A14" s="3" t="s">
        <v>14</v>
      </c>
      <c r="B14" s="16">
        <f>DATE(2024, 14, 18)</f>
        <v>45706</v>
      </c>
      <c r="C14" s="2">
        <f>(B14-AAPL!$F$3)/365</f>
        <v>0.83835616438356164</v>
      </c>
      <c r="D14" s="2">
        <f>EXP(AAPL!$I$4*SQRT(Analysis!C14))</f>
        <v>1.1969172042105638</v>
      </c>
      <c r="E14" s="2">
        <f t="shared" si="0"/>
        <v>0.83547967769379494</v>
      </c>
      <c r="F14" s="2">
        <f>AAPL!$I$3*Analysis!D14</f>
        <v>199.92107942237328</v>
      </c>
      <c r="G14" s="2">
        <f>AAPL!$I$3 * Analysis!E14</f>
        <v>139.5501697297149</v>
      </c>
      <c r="H14" s="2">
        <f>(EXP(AAPL!$I$6 * Analysis!C14) - Analysis!E14)/(Analysis!D14 - Analysis!E14)</f>
        <v>0.56480845145717973</v>
      </c>
      <c r="I14" s="5">
        <f t="shared" si="1"/>
        <v>0.43519154854282027</v>
      </c>
    </row>
    <row r="15" spans="1:9">
      <c r="A15" s="3" t="s">
        <v>15</v>
      </c>
      <c r="B15" s="16">
        <f>DATE(2024, 15, 18)</f>
        <v>45734</v>
      </c>
      <c r="C15" s="2">
        <f>(B15-AAPL!$F$3)/365</f>
        <v>0.91506849315068495</v>
      </c>
      <c r="D15" s="2">
        <f>EXP(AAPL!$I$4*SQRT(Analysis!C15))</f>
        <v>1.206583840818519</v>
      </c>
      <c r="E15" s="2">
        <f t="shared" si="0"/>
        <v>0.82878616982108988</v>
      </c>
      <c r="F15" s="2">
        <f>AAPL!$I$3*Analysis!D15</f>
        <v>201.53569772533339</v>
      </c>
      <c r="G15" s="2">
        <f>AAPL!$I$3 * Analysis!E15</f>
        <v>138.43215311643047</v>
      </c>
      <c r="H15" s="2">
        <f>(EXP(AAPL!$I$6 * Analysis!C15) - Analysis!E15)/(Analysis!D15 - Analysis!E15)</f>
        <v>0.56786892252142407</v>
      </c>
      <c r="I15" s="5">
        <f t="shared" si="1"/>
        <v>0.43213107747857593</v>
      </c>
    </row>
    <row r="16" spans="1:9">
      <c r="A16" s="17" t="s">
        <v>16</v>
      </c>
      <c r="B16" s="18">
        <f>DATE(2024, 16, 18)</f>
        <v>45765</v>
      </c>
      <c r="C16" s="10">
        <f>(B16-AAPL!$F$3)/365</f>
        <v>1</v>
      </c>
      <c r="D16" s="10">
        <f>EXP(AAPL!$I$4*SQRT(Analysis!C16))</f>
        <v>1.2169098048341942</v>
      </c>
      <c r="E16" s="10">
        <f t="shared" si="0"/>
        <v>0.8217535893190141</v>
      </c>
      <c r="F16" s="10">
        <f>AAPL!$I$3*Analysis!D16</f>
        <v>203.26044348454565</v>
      </c>
      <c r="G16" s="10">
        <f>AAPL!$I$3 * Analysis!E16</f>
        <v>137.25750120220133</v>
      </c>
      <c r="H16" s="10">
        <f>(EXP(AAPL!$I$6 * Analysis!C16) - Analysis!E16)/(Analysis!D16 - Analysis!E16)</f>
        <v>0.57113453606774556</v>
      </c>
      <c r="I16" s="19">
        <f t="shared" si="1"/>
        <v>0.42886546393225444</v>
      </c>
    </row>
  </sheetData>
  <mergeCells count="1">
    <mergeCell ref="A2:I2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7787-B70B-4EA7-B9AB-D8E8BC710281}">
  <dimension ref="B2:AA19"/>
  <sheetViews>
    <sheetView topLeftCell="A7" workbookViewId="0">
      <selection activeCell="N22" sqref="N22"/>
    </sheetView>
  </sheetViews>
  <sheetFormatPr defaultColWidth="8.81640625" defaultRowHeight="14.5"/>
  <cols>
    <col min="2" max="2" width="14.453125" bestFit="1" customWidth="1"/>
    <col min="4" max="5" width="13.453125" bestFit="1" customWidth="1"/>
    <col min="9" max="10" width="12.36328125" bestFit="1" customWidth="1"/>
    <col min="14" max="15" width="12.36328125" bestFit="1" customWidth="1"/>
    <col min="19" max="20" width="12.36328125" bestFit="1" customWidth="1"/>
    <col min="24" max="25" width="12.36328125" bestFit="1" customWidth="1"/>
  </cols>
  <sheetData>
    <row r="2" spans="2:27">
      <c r="B2" s="30" t="s">
        <v>39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2:27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5" spans="2:27">
      <c r="B5" s="33" t="s">
        <v>28</v>
      </c>
      <c r="C5" s="2"/>
      <c r="D5" s="31" t="s">
        <v>40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2:27">
      <c r="B6" s="34"/>
      <c r="C6" s="2"/>
      <c r="D6" s="32">
        <v>165</v>
      </c>
      <c r="E6" s="32"/>
      <c r="F6" s="32"/>
      <c r="G6" s="32"/>
      <c r="H6" s="2"/>
      <c r="I6" s="12">
        <v>163</v>
      </c>
      <c r="J6" s="12"/>
      <c r="K6" s="12"/>
      <c r="L6" s="12"/>
      <c r="M6" s="2"/>
      <c r="N6" s="12">
        <v>161</v>
      </c>
      <c r="O6" s="12"/>
      <c r="P6" s="12"/>
      <c r="Q6" s="12"/>
      <c r="R6" s="2"/>
      <c r="S6" s="12">
        <v>160</v>
      </c>
      <c r="T6" s="12"/>
      <c r="U6" s="12"/>
      <c r="V6" s="12"/>
      <c r="W6" s="2"/>
      <c r="X6" s="12">
        <v>159</v>
      </c>
      <c r="Y6" s="12"/>
      <c r="Z6" s="12"/>
      <c r="AA6" s="12"/>
    </row>
    <row r="7" spans="2:27">
      <c r="B7" s="35"/>
      <c r="C7" s="2"/>
      <c r="D7" s="9" t="s">
        <v>29</v>
      </c>
      <c r="E7" s="9" t="s">
        <v>30</v>
      </c>
      <c r="F7" s="9" t="s">
        <v>22</v>
      </c>
      <c r="G7" s="9" t="s">
        <v>25</v>
      </c>
      <c r="H7" s="2"/>
      <c r="I7" s="8" t="s">
        <v>29</v>
      </c>
      <c r="J7" s="9" t="s">
        <v>30</v>
      </c>
      <c r="K7" s="9" t="s">
        <v>22</v>
      </c>
      <c r="L7" s="7" t="s">
        <v>25</v>
      </c>
      <c r="M7" s="2"/>
      <c r="N7" s="8" t="s">
        <v>29</v>
      </c>
      <c r="O7" s="9" t="s">
        <v>30</v>
      </c>
      <c r="P7" s="9" t="s">
        <v>22</v>
      </c>
      <c r="Q7" s="7" t="s">
        <v>25</v>
      </c>
      <c r="R7" s="2"/>
      <c r="S7" s="8" t="s">
        <v>29</v>
      </c>
      <c r="T7" s="9" t="s">
        <v>30</v>
      </c>
      <c r="U7" s="9" t="s">
        <v>22</v>
      </c>
      <c r="V7" s="7" t="s">
        <v>25</v>
      </c>
      <c r="W7" s="2"/>
      <c r="X7" s="8" t="s">
        <v>29</v>
      </c>
      <c r="Y7" s="9" t="s">
        <v>30</v>
      </c>
      <c r="Z7" s="9" t="s">
        <v>22</v>
      </c>
      <c r="AA7" s="9" t="s">
        <v>25</v>
      </c>
    </row>
    <row r="8" spans="2:27">
      <c r="B8" s="16">
        <f>DATE(2024, 5, 18)</f>
        <v>45430</v>
      </c>
      <c r="D8" s="6">
        <f>MAX(Analysis!F5 - Binomial!D$6, 0)</f>
        <v>11.700305074508123</v>
      </c>
      <c r="E8" s="6">
        <f>MAX(Analysis!G5 - Binomial!D$6, 0)</f>
        <v>0</v>
      </c>
      <c r="F8" s="6">
        <f>((D8*Analysis!H5)+(Binomial!E8*Analysis!I5))/EXP(AAPL!$I$6*Analysis!C5)</f>
        <v>6.0589720330709111</v>
      </c>
      <c r="G8" s="6">
        <f>F8-AAPL!$I$3+(Binomial!$D$6/EXP(AAPL!$I$6*Analysis!C5))</f>
        <v>3.401586642219371</v>
      </c>
      <c r="H8" s="20"/>
      <c r="I8" s="3">
        <f>MAX(Analysis!F5 - $I$6, 0)</f>
        <v>13.700305074508123</v>
      </c>
      <c r="J8" s="2">
        <f>MAX(Analysis!G5 - $I$6, 0)</f>
        <v>0</v>
      </c>
      <c r="K8" s="2">
        <f>((I8*Analysis!H5)+(J8*Analysis!I5))/EXP(AAPL!$I$6*Analysis!C5)</f>
        <v>7.094666742651059</v>
      </c>
      <c r="L8" s="5">
        <f>K8-AAPL!$I$3+($I$6/EXP(AAPL!$I$6*Analysis!C5))</f>
        <v>2.4448860353249984</v>
      </c>
      <c r="M8" s="4"/>
      <c r="N8" s="3">
        <f>MAX(Analysis!F5 - $N$6, 0)</f>
        <v>15.700305074508123</v>
      </c>
      <c r="O8" s="2">
        <f>MAX(Analysis!G5 - $N$6, 0)</f>
        <v>0</v>
      </c>
      <c r="P8" s="2">
        <f>((N8*Analysis!H5)+(O8*Analysis!I5))/EXP(AAPL!$I$6*Analysis!C5)</f>
        <v>8.130361452231206</v>
      </c>
      <c r="Q8" s="5">
        <f>P8-AAPL!$I$3+($N$6/EXP(AAPL!$I$6*Analysis!C5))</f>
        <v>1.4881854284306257</v>
      </c>
      <c r="R8" s="4"/>
      <c r="S8" s="3">
        <f>MAX(Analysis!F5 - $S$6, 0)</f>
        <v>16.700305074508123</v>
      </c>
      <c r="T8" s="2">
        <f>MAX(Analysis!G5 - $S$6, 0)</f>
        <v>0</v>
      </c>
      <c r="U8" s="2">
        <f>((S8*Analysis!H5)+(T8*Analysis!I5))/EXP(AAPL!$I$6*Analysis!C5)</f>
        <v>8.6482088070212804</v>
      </c>
      <c r="V8" s="5">
        <f>U8-AAPL!$I$3+($S$6/EXP(AAPL!$I$6*Analysis!C5))</f>
        <v>1.0098351249834536</v>
      </c>
      <c r="W8" s="4"/>
      <c r="X8" s="3">
        <f>MAX(Analysis!F5 - $X$6, 0)</f>
        <v>17.700305074508123</v>
      </c>
      <c r="Y8" s="2">
        <f>MAX(Analysis!G5 - $X$6, 0)</f>
        <v>0</v>
      </c>
      <c r="Z8" s="2">
        <f>((X8*Analysis!H5)+(Y8*Analysis!I5))/EXP(AAPL!$I$6*Analysis!C5)</f>
        <v>9.1660561618113547</v>
      </c>
      <c r="AA8" s="2">
        <f>Z8-AAPL!$I$3+($X$6/EXP(AAPL!$I$6*Analysis!C5))</f>
        <v>0.53148482153625309</v>
      </c>
    </row>
    <row r="9" spans="2:27">
      <c r="B9" s="16">
        <f>B8+31</f>
        <v>45461</v>
      </c>
      <c r="D9" s="2">
        <f>MAX(Analysis!F6 - Binomial!D$6, 0)</f>
        <v>15.98755714725246</v>
      </c>
      <c r="E9" s="2">
        <f>MAX(Analysis!G6 - Binomial!D$6, 0)</f>
        <v>0</v>
      </c>
      <c r="F9" s="2">
        <f>((D9*Analysis!H6)+(Binomial!E9*Analysis!I6))/EXP(AAPL!$I$6*Analysis!C6)</f>
        <v>8.3817238586040901</v>
      </c>
      <c r="G9" s="2">
        <f>F9-AAPL!$I$3+(Binomial!$D$6/EXP(AAPL!$I$6*Analysis!C6))</f>
        <v>5.078545230876216</v>
      </c>
      <c r="H9" s="20"/>
      <c r="I9" s="3">
        <f>MAX(Analysis!F6 - $I$6, 0)</f>
        <v>17.98755714725246</v>
      </c>
      <c r="J9" s="2">
        <f>MAX(Analysis!G6 - $I$6, 0)</f>
        <v>0</v>
      </c>
      <c r="K9" s="2">
        <f>((I9*Analysis!H6)+(J9*Analysis!I6))/EXP(AAPL!$I$6*Analysis!C6)</f>
        <v>9.4302547606555667</v>
      </c>
      <c r="L9" s="5">
        <f>K9-AAPL!$I$3+($I$6/EXP(AAPL!$I$6*Analysis!C6))</f>
        <v>4.1425086132638</v>
      </c>
      <c r="M9" s="4"/>
      <c r="N9" s="3">
        <f>MAX(Analysis!F6 - $N$6, 0)</f>
        <v>19.98755714725246</v>
      </c>
      <c r="O9" s="2">
        <f>MAX(Analysis!G6 - $N$6, 0)</f>
        <v>0</v>
      </c>
      <c r="P9" s="2">
        <f>((N9*Analysis!H6)+(O9*Analysis!I6))/EXP(AAPL!$I$6*Analysis!C6)</f>
        <v>10.478785662707047</v>
      </c>
      <c r="Q9" s="5">
        <f>P9-AAPL!$I$3+($N$6/EXP(AAPL!$I$6*Analysis!C6))</f>
        <v>3.2064719956513841</v>
      </c>
      <c r="R9" s="4"/>
      <c r="S9" s="3">
        <f>MAX(Analysis!F6 - $S$6, 0)</f>
        <v>20.98755714725246</v>
      </c>
      <c r="T9" s="2">
        <f>MAX(Analysis!G6 - $S$6, 0)</f>
        <v>0</v>
      </c>
      <c r="U9" s="2">
        <f>((S9*Analysis!H6)+(T9*Analysis!I6))/EXP(AAPL!$I$6*Analysis!C6)</f>
        <v>11.003051113732786</v>
      </c>
      <c r="V9" s="5">
        <f>U9-AAPL!$I$3+($S$6/EXP(AAPL!$I$6*Analysis!C6))</f>
        <v>2.7384536868451619</v>
      </c>
      <c r="W9" s="4"/>
      <c r="X9" s="3">
        <f>MAX(Analysis!F6 - $X$6, 0)</f>
        <v>21.98755714725246</v>
      </c>
      <c r="Y9" s="2">
        <f>MAX(Analysis!G6 - $X$6, 0)</f>
        <v>0</v>
      </c>
      <c r="Z9" s="2">
        <f>((X9*Analysis!H6)+(Y9*Analysis!I6))/EXP(AAPL!$I$6*Analysis!C6)</f>
        <v>11.527316564758523</v>
      </c>
      <c r="AA9" s="2">
        <f>Z9-AAPL!$I$3+($X$6/EXP(AAPL!$I$6*Analysis!C6))</f>
        <v>2.2704353780389681</v>
      </c>
    </row>
    <row r="10" spans="2:27">
      <c r="B10" s="16">
        <f>B9+30</f>
        <v>45491</v>
      </c>
      <c r="D10" s="2">
        <f>MAX(Analysis!F7 - Binomial!D$6, 0)</f>
        <v>19.232072402925041</v>
      </c>
      <c r="E10" s="2">
        <f>MAX(Analysis!G7 - Binomial!D$6, 0)</f>
        <v>0</v>
      </c>
      <c r="F10" s="2">
        <f>((D10*Analysis!H7)+(Binomial!E10*Analysis!I7))/EXP(AAPL!$I$6*Analysis!C7)</f>
        <v>10.165339098550151</v>
      </c>
      <c r="G10" s="2">
        <f>F10-AAPL!$I$3+(Binomial!$D$6/EXP(AAPL!$I$6*Analysis!C7))</f>
        <v>6.239615144040755</v>
      </c>
      <c r="H10" s="20"/>
      <c r="I10" s="3">
        <f>MAX(Analysis!F7 - $I$6, 0)</f>
        <v>21.232072402925041</v>
      </c>
      <c r="J10" s="2">
        <f>MAX(Analysis!G7 - $I$6, 0)</f>
        <v>0</v>
      </c>
      <c r="K10" s="2">
        <f>((I10*Analysis!H7)+(J10*Analysis!I7))/EXP(AAPL!$I$6*Analysis!C7)</f>
        <v>11.222462728867189</v>
      </c>
      <c r="L10" s="5">
        <f>K10-AAPL!$I$3+($I$6/EXP(AAPL!$I$6*Analysis!C7))</f>
        <v>5.3197172586548618</v>
      </c>
      <c r="M10" s="4"/>
      <c r="N10" s="3">
        <f>MAX(Analysis!F7 - $N$6, 0)</f>
        <v>23.232072402925041</v>
      </c>
      <c r="O10" s="2">
        <f>MAX(Analysis!G7 - $N$6, 0)</f>
        <v>0</v>
      </c>
      <c r="P10" s="2">
        <f>((N10*Analysis!H7)+(O10*Analysis!I7))/EXP(AAPL!$I$6*Analysis!C7)</f>
        <v>12.279586359184231</v>
      </c>
      <c r="Q10" s="5">
        <f>P10-AAPL!$I$3+($N$6/EXP(AAPL!$I$6*Analysis!C7))</f>
        <v>4.399819373268997</v>
      </c>
      <c r="R10" s="4"/>
      <c r="S10" s="3">
        <f>MAX(Analysis!F7 - $S$6, 0)</f>
        <v>24.232072402925041</v>
      </c>
      <c r="T10" s="2">
        <f>MAX(Analysis!G7 - $S$6, 0)</f>
        <v>0</v>
      </c>
      <c r="U10" s="2">
        <f>((S10*Analysis!H7)+(T10*Analysis!I7))/EXP(AAPL!$I$6*Analysis!C7)</f>
        <v>12.808148174342753</v>
      </c>
      <c r="V10" s="5">
        <f>U10-AAPL!$I$3+($S$6/EXP(AAPL!$I$6*Analysis!C7))</f>
        <v>3.9398704305760646</v>
      </c>
      <c r="W10" s="4"/>
      <c r="X10" s="3">
        <f>MAX(Analysis!F7 - $X$6, 0)</f>
        <v>25.232072402925041</v>
      </c>
      <c r="Y10" s="2">
        <f>MAX(Analysis!G7 - $X$6, 0)</f>
        <v>0</v>
      </c>
      <c r="Z10" s="2">
        <f>((X10*Analysis!H7)+(Y10*Analysis!I7))/EXP(AAPL!$I$6*Analysis!C7)</f>
        <v>13.336709989501271</v>
      </c>
      <c r="AA10" s="2">
        <f>Z10-AAPL!$I$3+($X$6/EXP(AAPL!$I$6*Analysis!C7))</f>
        <v>3.4799214878831037</v>
      </c>
    </row>
    <row r="11" spans="2:27">
      <c r="B11" s="16">
        <f>B10 + 31</f>
        <v>45522</v>
      </c>
      <c r="D11" s="2">
        <f>MAX(Analysis!F8 - Binomial!D$6, 0)</f>
        <v>22.10518256863574</v>
      </c>
      <c r="E11" s="2">
        <f>MAX(Analysis!G8 - Binomial!D$6, 0)</f>
        <v>0</v>
      </c>
      <c r="F11" s="2">
        <f>((D11*Analysis!H8)+(Binomial!E11*Analysis!I8))/EXP(AAPL!$I$6*Analysis!C8)</f>
        <v>11.759599398960788</v>
      </c>
      <c r="G11" s="2">
        <f>F11-AAPL!$I$3+(Binomial!$D$6/EXP(AAPL!$I$6*Analysis!C8))</f>
        <v>7.193065303289643</v>
      </c>
      <c r="H11" s="20"/>
      <c r="I11" s="3">
        <f>MAX(Analysis!F8 - $I$6, 0)</f>
        <v>24.10518256863574</v>
      </c>
      <c r="J11" s="2">
        <f>MAX(Analysis!G8 - $I$6, 0)</f>
        <v>0</v>
      </c>
      <c r="K11" s="2">
        <f>((I11*Analysis!H8)+(J11*Analysis!I8))/EXP(AAPL!$I$6*Analysis!C8)</f>
        <v>12.823567033016527</v>
      </c>
      <c r="L11" s="5">
        <f>K11-AAPL!$I$3+($I$6/EXP(AAPL!$I$6*Analysis!C8))</f>
        <v>6.2877788172929172</v>
      </c>
      <c r="M11" s="4"/>
      <c r="N11" s="3">
        <f>MAX(Analysis!F8 - $N$6, 0)</f>
        <v>26.10518256863574</v>
      </c>
      <c r="O11" s="2">
        <f>MAX(Analysis!G8 - $N$6, 0)</f>
        <v>0</v>
      </c>
      <c r="P11" s="2">
        <f>((N11*Analysis!H8)+(O11*Analysis!I8))/EXP(AAPL!$I$6*Analysis!C8)</f>
        <v>13.887534667072268</v>
      </c>
      <c r="Q11" s="5">
        <f>P11-AAPL!$I$3+($N$6/EXP(AAPL!$I$6*Analysis!C8))</f>
        <v>5.3824923312961914</v>
      </c>
      <c r="R11" s="4"/>
      <c r="S11" s="3">
        <f>MAX(Analysis!F8 - $S$6, 0)</f>
        <v>27.10518256863574</v>
      </c>
      <c r="T11" s="2">
        <f>MAX(Analysis!G8 - $S$6, 0)</f>
        <v>0</v>
      </c>
      <c r="U11" s="2">
        <f>((S11*Analysis!H8)+(T11*Analysis!I8))/EXP(AAPL!$I$6*Analysis!C8)</f>
        <v>14.419518484100138</v>
      </c>
      <c r="V11" s="5">
        <f>U11-AAPL!$I$3+($S$6/EXP(AAPL!$I$6*Analysis!C8))</f>
        <v>4.9298490882978285</v>
      </c>
      <c r="W11" s="4"/>
      <c r="X11" s="3">
        <f>MAX(Analysis!F8 - $X$6, 0)</f>
        <v>28.10518256863574</v>
      </c>
      <c r="Y11" s="2">
        <f>MAX(Analysis!G8 - $X$6, 0)</f>
        <v>0</v>
      </c>
      <c r="Z11" s="2">
        <f>((X11*Analysis!H8)+(Y11*Analysis!I8))/EXP(AAPL!$I$6*Analysis!C8)</f>
        <v>14.951502301128009</v>
      </c>
      <c r="AA11" s="2">
        <f>Z11-AAPL!$I$3+($X$6/EXP(AAPL!$I$6*Analysis!C8))</f>
        <v>4.4772058452994656</v>
      </c>
    </row>
    <row r="12" spans="2:27">
      <c r="B12" s="16">
        <f>B11+31</f>
        <v>45553</v>
      </c>
      <c r="D12" s="2">
        <f>MAX(Analysis!F9 - Binomial!D$6, 0)</f>
        <v>24.668032748963043</v>
      </c>
      <c r="E12" s="2">
        <f>MAX(Analysis!G9 - Binomial!D$6, 0)</f>
        <v>0</v>
      </c>
      <c r="F12" s="2">
        <f>((D12*Analysis!H9)+(Binomial!E12*Analysis!I9))/EXP(AAPL!$I$6*Analysis!C9)</f>
        <v>13.191142274517864</v>
      </c>
      <c r="G12" s="2">
        <f>F12-AAPL!$I$3+(Binomial!$D$6/EXP(AAPL!$I$6*Analysis!C9))</f>
        <v>7.986315676397453</v>
      </c>
      <c r="H12" s="20"/>
      <c r="I12" s="3">
        <f>MAX(Analysis!F9 - $I$6, 0)</f>
        <v>26.668032748963043</v>
      </c>
      <c r="J12" s="2">
        <f>MAX(Analysis!G9 - $I$6, 0)</f>
        <v>0</v>
      </c>
      <c r="K12" s="2">
        <f>((I12*Analysis!H9)+(J12*Analysis!I9))/EXP(AAPL!$I$6*Analysis!C9)</f>
        <v>14.260635120482434</v>
      </c>
      <c r="L12" s="5">
        <f>K12-AAPL!$I$3+($I$6/EXP(AAPL!$I$6*Analysis!C9))</f>
        <v>7.0942912811271128</v>
      </c>
      <c r="M12" s="4"/>
      <c r="N12" s="3">
        <f>MAX(Analysis!F9 - $N$6, 0)</f>
        <v>28.668032748963043</v>
      </c>
      <c r="O12" s="2">
        <f>MAX(Analysis!G9 - $N$6, 0)</f>
        <v>0</v>
      </c>
      <c r="P12" s="2">
        <f>((N12*Analysis!H9)+(O12*Analysis!I9))/EXP(AAPL!$I$6*Analysis!C9)</f>
        <v>15.330127966447005</v>
      </c>
      <c r="Q12" s="5">
        <f>P12-AAPL!$I$3+($N$6/EXP(AAPL!$I$6*Analysis!C9))</f>
        <v>6.2022668858568011</v>
      </c>
      <c r="R12" s="4"/>
      <c r="S12" s="3">
        <f>MAX(Analysis!F9 - $S$6, 0)</f>
        <v>29.668032748963043</v>
      </c>
      <c r="T12" s="2">
        <f>MAX(Analysis!G9 - $S$6, 0)</f>
        <v>0</v>
      </c>
      <c r="U12" s="2">
        <f>((S12*Analysis!H9)+(T12*Analysis!I9))/EXP(AAPL!$I$6*Analysis!C9)</f>
        <v>15.864874389429291</v>
      </c>
      <c r="V12" s="5">
        <f>U12-AAPL!$I$3+($S$6/EXP(AAPL!$I$6*Analysis!C9))</f>
        <v>5.7562546882216452</v>
      </c>
      <c r="W12" s="4"/>
      <c r="X12" s="3">
        <f>MAX(Analysis!F9 - $X$6, 0)</f>
        <v>30.668032748963043</v>
      </c>
      <c r="Y12" s="2">
        <f>MAX(Analysis!G9 - $X$6, 0)</f>
        <v>0</v>
      </c>
      <c r="Z12" s="2">
        <f>((X12*Analysis!H9)+(Y12*Analysis!I9))/EXP(AAPL!$I$6*Analysis!C9)</f>
        <v>16.399620812411577</v>
      </c>
      <c r="AA12" s="2">
        <f>Z12-AAPL!$I$3+($X$6/EXP(AAPL!$I$6*Analysis!C9))</f>
        <v>5.3102424905864609</v>
      </c>
    </row>
    <row r="13" spans="2:27">
      <c r="B13" s="16">
        <f>B12+30</f>
        <v>45583</v>
      </c>
      <c r="D13" s="2">
        <f>MAX(Analysis!F10 - Binomial!D$6, 0)</f>
        <v>26.939249613388569</v>
      </c>
      <c r="E13" s="2">
        <f>MAX(Analysis!G10 - Binomial!D$6, 0)</f>
        <v>0</v>
      </c>
      <c r="F13" s="2">
        <f>((D13*Analysis!H10)+(Binomial!E13*Analysis!I10))/EXP(AAPL!$I$6*Analysis!C10)</f>
        <v>14.46571265317726</v>
      </c>
      <c r="G13" s="2">
        <f>F13-AAPL!$I$3+(Binomial!$D$6/EXP(AAPL!$I$6*Analysis!C10))</f>
        <v>8.6455714437711606</v>
      </c>
      <c r="H13" s="20"/>
      <c r="I13" s="3">
        <f>MAX(Analysis!F10 - $I$6, 0)</f>
        <v>28.939249613388569</v>
      </c>
      <c r="J13" s="2">
        <f>MAX(Analysis!G10 - $I$6, 0)</f>
        <v>0</v>
      </c>
      <c r="K13" s="2">
        <f>((I13*Analysis!H10)+(J13*Analysis!I10))/EXP(AAPL!$I$6*Analysis!C10)</f>
        <v>15.539663328179573</v>
      </c>
      <c r="L13" s="5">
        <f>K13-AAPL!$I$3+($I$6/EXP(AAPL!$I$6*Analysis!C10))</f>
        <v>7.7654632364632334</v>
      </c>
      <c r="M13" s="4"/>
      <c r="N13" s="3">
        <f>MAX(Analysis!F10 - $N$6, 0)</f>
        <v>30.939249613388569</v>
      </c>
      <c r="O13" s="2">
        <f>MAX(Analysis!G10 - $N$6, 0)</f>
        <v>0</v>
      </c>
      <c r="P13" s="2">
        <f>((N13*Analysis!H10)+(O13*Analysis!I10))/EXP(AAPL!$I$6*Analysis!C10)</f>
        <v>16.61361400318189</v>
      </c>
      <c r="Q13" s="5">
        <f>P13-AAPL!$I$3+($N$6/EXP(AAPL!$I$6*Analysis!C10))</f>
        <v>6.8853550291553063</v>
      </c>
      <c r="R13" s="4"/>
      <c r="S13" s="3">
        <f>MAX(Analysis!F10 - $S$6, 0)</f>
        <v>31.939249613388569</v>
      </c>
      <c r="T13" s="2">
        <f>MAX(Analysis!G10 - $S$6, 0)</f>
        <v>0</v>
      </c>
      <c r="U13" s="2">
        <f>((S13*Analysis!H10)+(T13*Analysis!I10))/EXP(AAPL!$I$6*Analysis!C10)</f>
        <v>17.150589340683048</v>
      </c>
      <c r="V13" s="5">
        <f>U13-AAPL!$I$3+($S$6/EXP(AAPL!$I$6*Analysis!C10))</f>
        <v>6.4453009255013569</v>
      </c>
      <c r="W13" s="4"/>
      <c r="X13" s="3">
        <f>MAX(Analysis!F10 - $X$6, 0)</f>
        <v>32.939249613388569</v>
      </c>
      <c r="Y13" s="2">
        <f>MAX(Analysis!G10 - $X$6, 0)</f>
        <v>0</v>
      </c>
      <c r="Z13" s="2">
        <f>((X13*Analysis!H10)+(Y13*Analysis!I10))/EXP(AAPL!$I$6*Analysis!C10)</f>
        <v>17.687564678184206</v>
      </c>
      <c r="AA13" s="2">
        <f>Z13-AAPL!$I$3+($X$6/EXP(AAPL!$I$6*Analysis!C10))</f>
        <v>6.0052468218474075</v>
      </c>
    </row>
    <row r="14" spans="2:27">
      <c r="B14" s="16">
        <f>B13+31</f>
        <v>45614</v>
      </c>
      <c r="D14" s="2">
        <f>MAX(Analysis!F11 - Binomial!D$6, 0)</f>
        <v>29.123047071394325</v>
      </c>
      <c r="E14" s="2">
        <f>MAX(Analysis!G11 - Binomial!D$6, 0)</f>
        <v>0</v>
      </c>
      <c r="F14" s="2">
        <f>((D14*Analysis!H11)+(Binomial!E14*Analysis!I11))/EXP(AAPL!$I$6*Analysis!C11)</f>
        <v>15.695321117162759</v>
      </c>
      <c r="G14" s="2">
        <f>F14-AAPL!$I$3+(Binomial!$D$6/EXP(AAPL!$I$6*Analysis!C11))</f>
        <v>9.2418126235537557</v>
      </c>
      <c r="H14" s="20"/>
      <c r="I14" s="3">
        <f>MAX(Analysis!F11 - $I$6, 0)</f>
        <v>31.123047071394325</v>
      </c>
      <c r="J14" s="2">
        <f>MAX(Analysis!G11 - $I$6, 0)</f>
        <v>0</v>
      </c>
      <c r="K14" s="2">
        <f>((I14*Analysis!H11)+(J14*Analysis!I11))/EXP(AAPL!$I$6*Analysis!C11)</f>
        <v>16.773183682758052</v>
      </c>
      <c r="L14" s="5">
        <f>K14-AAPL!$I$3+($I$6/EXP(AAPL!$I$6*Analysis!C11))</f>
        <v>8.3732934860412911</v>
      </c>
      <c r="M14" s="4"/>
      <c r="N14" s="3">
        <f>MAX(Analysis!F11 - $N$6, 0)</f>
        <v>33.123047071394325</v>
      </c>
      <c r="O14" s="2">
        <f>MAX(Analysis!G11 - $N$6, 0)</f>
        <v>0</v>
      </c>
      <c r="P14" s="2">
        <f>((N14*Analysis!H11)+(O14*Analysis!I11))/EXP(AAPL!$I$6*Analysis!C11)</f>
        <v>17.851046248353345</v>
      </c>
      <c r="Q14" s="5">
        <f>P14-AAPL!$I$3+($N$6/EXP(AAPL!$I$6*Analysis!C11))</f>
        <v>7.5047743485287981</v>
      </c>
      <c r="R14" s="4"/>
      <c r="S14" s="3">
        <f>MAX(Analysis!F11 - $S$6, 0)</f>
        <v>34.123047071394325</v>
      </c>
      <c r="T14" s="2">
        <f>MAX(Analysis!G11 - $S$6, 0)</f>
        <v>0</v>
      </c>
      <c r="U14" s="2">
        <f>((S14*Analysis!H11)+(T14*Analysis!I11))/EXP(AAPL!$I$6*Analysis!C11)</f>
        <v>18.389977531150986</v>
      </c>
      <c r="V14" s="5">
        <f>U14-AAPL!$I$3+($S$6/EXP(AAPL!$I$6*Analysis!C11))</f>
        <v>7.0705147797725374</v>
      </c>
      <c r="W14" s="4"/>
      <c r="X14" s="3">
        <f>MAX(Analysis!F11 - $X$6, 0)</f>
        <v>35.123047071394325</v>
      </c>
      <c r="Y14" s="2">
        <f>MAX(Analysis!G11 - $X$6, 0)</f>
        <v>0</v>
      </c>
      <c r="Z14" s="2">
        <f>((X14*Analysis!H11)+(Y14*Analysis!I11))/EXP(AAPL!$I$6*Analysis!C11)</f>
        <v>18.928908813948635</v>
      </c>
      <c r="AA14" s="2">
        <f>Z14-AAPL!$I$3+($X$6/EXP(AAPL!$I$6*Analysis!C11))</f>
        <v>6.6362552110163051</v>
      </c>
    </row>
    <row r="15" spans="2:27">
      <c r="B15" s="16">
        <f>B14+30</f>
        <v>45644</v>
      </c>
      <c r="D15" s="2">
        <f>MAX(Analysis!F12 - Binomial!D$6, 0)</f>
        <v>31.11145326133888</v>
      </c>
      <c r="E15" s="2">
        <f>MAX(Analysis!G12 - Binomial!D$6, 0)</f>
        <v>0</v>
      </c>
      <c r="F15" s="2">
        <f>((D15*Analysis!H12)+(Binomial!E15*Analysis!I12))/EXP(AAPL!$I$6*Analysis!C12)</f>
        <v>16.817547970443901</v>
      </c>
      <c r="G15" s="2">
        <f>F15-AAPL!$I$3+(Binomial!$D$6/EXP(AAPL!$I$6*Analysis!C12))</f>
        <v>9.7534727808687762</v>
      </c>
      <c r="H15" s="20"/>
      <c r="I15" s="3">
        <f>MAX(Analysis!F12 - $I$6, 0)</f>
        <v>33.11145326133888</v>
      </c>
      <c r="J15" s="2">
        <f>MAX(Analysis!G12 - $I$6, 0)</f>
        <v>0</v>
      </c>
      <c r="K15" s="2">
        <f>((I15*Analysis!H12)+(J15*Analysis!I12))/EXP(AAPL!$I$6*Analysis!C12)</f>
        <v>17.898664164481836</v>
      </c>
      <c r="L15" s="5">
        <f>K15-AAPL!$I$3+($I$6/EXP(AAPL!$I$6*Analysis!C12))</f>
        <v>8.8956080802348936</v>
      </c>
      <c r="M15" s="4"/>
      <c r="N15" s="3">
        <f>MAX(Analysis!F12 - $N$6, 0)</f>
        <v>35.11145326133888</v>
      </c>
      <c r="O15" s="2">
        <f>MAX(Analysis!G12 - $N$6, 0)</f>
        <v>0</v>
      </c>
      <c r="P15" s="2">
        <f>((N15*Analysis!H12)+(O15*Analysis!I12))/EXP(AAPL!$I$6*Analysis!C12)</f>
        <v>18.979780358519772</v>
      </c>
      <c r="Q15" s="5">
        <f>P15-AAPL!$I$3+($N$6/EXP(AAPL!$I$6*Analysis!C12))</f>
        <v>8.0377433796010109</v>
      </c>
      <c r="R15" s="4"/>
      <c r="S15" s="3">
        <f>MAX(Analysis!F12 - $S$6, 0)</f>
        <v>36.11145326133888</v>
      </c>
      <c r="T15" s="2">
        <f>MAX(Analysis!G12 - $S$6, 0)</f>
        <v>0</v>
      </c>
      <c r="U15" s="2">
        <f>((S15*Analysis!H12)+(T15*Analysis!I12))/EXP(AAPL!$I$6*Analysis!C12)</f>
        <v>19.520338455538742</v>
      </c>
      <c r="V15" s="5">
        <f>U15-AAPL!$I$3+($S$6/EXP(AAPL!$I$6*Analysis!C12))</f>
        <v>7.6088110292840554</v>
      </c>
      <c r="W15" s="4"/>
      <c r="X15" s="3">
        <f>MAX(Analysis!F12 - $X$6, 0)</f>
        <v>37.11145326133888</v>
      </c>
      <c r="Y15" s="2">
        <f>MAX(Analysis!G12 - $X$6, 0)</f>
        <v>0</v>
      </c>
      <c r="Z15" s="2">
        <f>((X15*Analysis!H12)+(Y15*Analysis!I12))/EXP(AAPL!$I$6*Analysis!C12)</f>
        <v>20.060896552557708</v>
      </c>
      <c r="AA15" s="2">
        <f>Z15-AAPL!$I$3+($X$6/EXP(AAPL!$I$6*Analysis!C12))</f>
        <v>7.1798786789670999</v>
      </c>
    </row>
    <row r="16" spans="2:27">
      <c r="B16" s="16">
        <f>B15+31</f>
        <v>45675</v>
      </c>
      <c r="D16" s="2">
        <f>MAX(Analysis!F13 - Binomial!D$6, 0)</f>
        <v>33.060920707962936</v>
      </c>
      <c r="E16" s="2">
        <f>MAX(Analysis!G13 - Binomial!D$6, 0)</f>
        <v>0</v>
      </c>
      <c r="F16" s="2">
        <f>((D16*Analysis!H13)+(Binomial!E16*Analysis!I13))/EXP(AAPL!$I$6*Analysis!C13)</f>
        <v>17.919519781902988</v>
      </c>
      <c r="G16" s="2">
        <f>F16-AAPL!$I$3+(Binomial!$D$6/EXP(AAPL!$I$6*Analysis!C13))</f>
        <v>10.226964522204412</v>
      </c>
      <c r="H16" s="20"/>
      <c r="I16" s="3">
        <f>MAX(Analysis!F13 - $I$6, 0)</f>
        <v>35.060920707962936</v>
      </c>
      <c r="J16" s="2">
        <f>MAX(Analysis!G13 - $I$6, 0)</f>
        <v>0</v>
      </c>
      <c r="K16" s="2">
        <f>((I16*Analysis!H13)+(J16*Analysis!I13))/EXP(AAPL!$I$6*Analysis!C13)</f>
        <v>19.003550074960554</v>
      </c>
      <c r="L16" s="5">
        <f>K16-AAPL!$I$3+($I$6/EXP(AAPL!$I$6*Analysis!C13))</f>
        <v>9.3796318608340812</v>
      </c>
      <c r="M16" s="4"/>
      <c r="N16" s="3">
        <f>MAX(Analysis!F13 - $N$6, 0)</f>
        <v>37.060920707962936</v>
      </c>
      <c r="O16" s="2">
        <f>MAX(Analysis!G13 - $N$6, 0)</f>
        <v>0</v>
      </c>
      <c r="P16" s="2">
        <f>((N16*Analysis!H13)+(O16*Analysis!I13))/EXP(AAPL!$I$6*Analysis!C13)</f>
        <v>20.087580368018116</v>
      </c>
      <c r="Q16" s="5">
        <f>P16-AAPL!$I$3+($N$6/EXP(AAPL!$I$6*Analysis!C13))</f>
        <v>8.5322991994637505</v>
      </c>
      <c r="R16" s="4"/>
      <c r="S16" s="3">
        <f>MAX(Analysis!F13 - $S$6, 0)</f>
        <v>38.060920707962936</v>
      </c>
      <c r="T16" s="2">
        <f>MAX(Analysis!G13 - $S$6, 0)</f>
        <v>0</v>
      </c>
      <c r="U16" s="2">
        <f>((S16*Analysis!H13)+(T16*Analysis!I13))/EXP(AAPL!$I$6*Analysis!C13)</f>
        <v>20.629595514546899</v>
      </c>
      <c r="V16" s="5">
        <f>U16-AAPL!$I$3+($S$6/EXP(AAPL!$I$6*Analysis!C13))</f>
        <v>8.1086328687785851</v>
      </c>
      <c r="W16" s="4"/>
      <c r="X16" s="3">
        <f>MAX(Analysis!F13 - $X$6, 0)</f>
        <v>39.060920707962936</v>
      </c>
      <c r="Y16" s="2">
        <f>MAX(Analysis!G13 - $X$6, 0)</f>
        <v>0</v>
      </c>
      <c r="Z16" s="2">
        <f>((X16*Analysis!H13)+(Y16*Analysis!I13))/EXP(AAPL!$I$6*Analysis!C13)</f>
        <v>21.171610661075686</v>
      </c>
      <c r="AA16" s="2">
        <f>Z16-AAPL!$I$3+($X$6/EXP(AAPL!$I$6*Analysis!C13))</f>
        <v>7.6849665380934198</v>
      </c>
    </row>
    <row r="17" spans="2:27">
      <c r="B17" s="16">
        <f>B16+31</f>
        <v>45706</v>
      </c>
      <c r="D17" s="2">
        <f>MAX(Analysis!F14 - Binomial!D$6, 0)</f>
        <v>34.921079422373282</v>
      </c>
      <c r="E17" s="2">
        <f>MAX(Analysis!G14 - Binomial!D$6, 0)</f>
        <v>0</v>
      </c>
      <c r="F17" s="2">
        <f>((D17*Analysis!H14)+(Binomial!E17*Analysis!I14))/EXP(AAPL!$I$6*Analysis!C14)</f>
        <v>18.971999929155864</v>
      </c>
      <c r="G17" s="2">
        <f>F17-AAPL!$I$3+(Binomial!$D$6/EXP(AAPL!$I$6*Analysis!C14))</f>
        <v>10.653433795204677</v>
      </c>
      <c r="H17" s="20"/>
      <c r="I17" s="3">
        <f>MAX(Analysis!F14 - $I$6, 0)</f>
        <v>36.921079422373282</v>
      </c>
      <c r="J17" s="2">
        <f>MAX(Analysis!G14 - $I$6, 0)</f>
        <v>0</v>
      </c>
      <c r="K17" s="2">
        <f>((I17*Analysis!H14)+(J17*Analysis!I14))/EXP(AAPL!$I$6*Analysis!C14)</f>
        <v>20.058564276133112</v>
      </c>
      <c r="L17" s="5">
        <f>K17-AAPL!$I$3+($I$6/EXP(AAPL!$I$6*Analysis!C14))</f>
        <v>9.8162231983510537</v>
      </c>
      <c r="M17" s="4"/>
      <c r="N17" s="3">
        <f>MAX(Analysis!F14 - $N$6, 0)</f>
        <v>38.921079422373282</v>
      </c>
      <c r="O17" s="2">
        <f>MAX(Analysis!G14 - $N$6, 0)</f>
        <v>0</v>
      </c>
      <c r="P17" s="2">
        <f>((N17*Analysis!H14)+(O17*Analysis!I14))/EXP(AAPL!$I$6*Analysis!C14)</f>
        <v>21.145128623110363</v>
      </c>
      <c r="Q17" s="5">
        <f>P17-AAPL!$I$3+($N$6/EXP(AAPL!$I$6*Analysis!C14))</f>
        <v>8.9790126014974021</v>
      </c>
      <c r="R17" s="4"/>
      <c r="S17" s="3">
        <f>MAX(Analysis!F14 - $S$6, 0)</f>
        <v>39.921079422373282</v>
      </c>
      <c r="T17" s="2">
        <f>MAX(Analysis!G14 - $S$6, 0)</f>
        <v>0</v>
      </c>
      <c r="U17" s="2">
        <f>((S17*Analysis!H14)+(T17*Analysis!I14))/EXP(AAPL!$I$6*Analysis!C14)</f>
        <v>21.688410796598987</v>
      </c>
      <c r="V17" s="5">
        <f>U17-AAPL!$I$3+($S$6/EXP(AAPL!$I$6*Analysis!C14))</f>
        <v>8.5604073030705479</v>
      </c>
      <c r="W17" s="4"/>
      <c r="X17" s="3">
        <f>MAX(Analysis!F14 - $X$6, 0)</f>
        <v>40.921079422373282</v>
      </c>
      <c r="Y17" s="2">
        <f>MAX(Analysis!G14 - $X$6, 0)</f>
        <v>0</v>
      </c>
      <c r="Z17" s="2">
        <f>((X17*Analysis!H14)+(Y17*Analysis!I14))/EXP(AAPL!$I$6*Analysis!C14)</f>
        <v>22.231692970087614</v>
      </c>
      <c r="AA17" s="2">
        <f>Z17-AAPL!$I$3+($X$6/EXP(AAPL!$I$6*Analysis!C14))</f>
        <v>8.1418020046437221</v>
      </c>
    </row>
    <row r="18" spans="2:27">
      <c r="B18" s="16">
        <f>B17+28</f>
        <v>45734</v>
      </c>
      <c r="D18" s="2">
        <f>MAX(Analysis!F15 - Binomial!D$6, 0)</f>
        <v>36.535697725333392</v>
      </c>
      <c r="E18" s="2">
        <f>MAX(Analysis!G15 - Binomial!D$6, 0)</f>
        <v>0</v>
      </c>
      <c r="F18" s="2">
        <f>((D18*Analysis!H15)+(Binomial!E18*Analysis!I15))/EXP(AAPL!$I$6*Analysis!C15)</f>
        <v>19.885915568082289</v>
      </c>
      <c r="G18" s="2">
        <f>F18-AAPL!$I$3+(Binomial!$D$6/EXP(AAPL!$I$6*Analysis!C15))</f>
        <v>11.00403451384409</v>
      </c>
      <c r="H18" s="20"/>
      <c r="I18" s="3">
        <f>MAX(Analysis!F15 - $I$6, 0)</f>
        <v>38.535697725333392</v>
      </c>
      <c r="J18" s="2">
        <f>MAX(Analysis!G15 - $I$6, 0)</f>
        <v>0</v>
      </c>
      <c r="K18" s="2">
        <f>((I18*Analysis!H15)+(J18*Analysis!I15))/EXP(AAPL!$I$6*Analysis!C15)</f>
        <v>20.974490129738662</v>
      </c>
      <c r="L18" s="5">
        <f>K18-AAPL!$I$3+($I$6/EXP(AAPL!$I$6*Analysis!C15))</f>
        <v>10.175662191309414</v>
      </c>
      <c r="M18" s="4"/>
      <c r="N18" s="3">
        <f>MAX(Analysis!F15 - $N$6, 0)</f>
        <v>40.535697725333392</v>
      </c>
      <c r="O18" s="2">
        <f>MAX(Analysis!G15 - $N$6, 0)</f>
        <v>0</v>
      </c>
      <c r="P18" s="2">
        <f>((N18*Analysis!H15)+(O18*Analysis!I15))/EXP(AAPL!$I$6*Analysis!C15)</f>
        <v>22.063064691395038</v>
      </c>
      <c r="Q18" s="5">
        <f>P18-AAPL!$I$3+($N$6/EXP(AAPL!$I$6*Analysis!C15))</f>
        <v>9.3472898687747374</v>
      </c>
      <c r="R18" s="4"/>
      <c r="S18" s="3">
        <f>MAX(Analysis!F15 - $S$6, 0)</f>
        <v>41.535697725333392</v>
      </c>
      <c r="T18" s="2">
        <f>MAX(Analysis!G15 - $S$6, 0)</f>
        <v>0</v>
      </c>
      <c r="U18" s="2">
        <f>((S18*Analysis!H15)+(T18*Analysis!I15))/EXP(AAPL!$I$6*Analysis!C15)</f>
        <v>22.607351972223224</v>
      </c>
      <c r="V18" s="5">
        <f>U18-AAPL!$I$3+($S$6/EXP(AAPL!$I$6*Analysis!C15))</f>
        <v>8.9331037075073993</v>
      </c>
      <c r="W18" s="4"/>
      <c r="X18" s="3">
        <f>MAX(Analysis!F15 - $X$6, 0)</f>
        <v>42.535697725333392</v>
      </c>
      <c r="Y18" s="2">
        <f>MAX(Analysis!G15 - $X$6, 0)</f>
        <v>0</v>
      </c>
      <c r="Z18" s="2">
        <f>((X18*Analysis!H15)+(Y18*Analysis!I15))/EXP(AAPL!$I$6*Analysis!C15)</f>
        <v>23.15163925305141</v>
      </c>
      <c r="AA18" s="2">
        <f>Z18-AAPL!$I$3+($X$6/EXP(AAPL!$I$6*Analysis!C15))</f>
        <v>8.5189175462400613</v>
      </c>
    </row>
    <row r="19" spans="2:27">
      <c r="B19" s="16">
        <f>B18+31</f>
        <v>45765</v>
      </c>
      <c r="C19" s="14"/>
      <c r="D19" s="2">
        <f>MAX(Analysis!F16 - Binomial!D$6, 0)</f>
        <v>38.260443484545647</v>
      </c>
      <c r="E19" s="2">
        <f>MAX(Analysis!G16 - Binomial!D$6, 0)</f>
        <v>0</v>
      </c>
      <c r="F19" s="2">
        <f>((D19*Analysis!H16)+(Binomial!E19*Analysis!I16))/EXP(AAPL!$I$6*Analysis!C16)</f>
        <v>20.862140835220103</v>
      </c>
      <c r="G19" s="2">
        <f>F19-AAPL!$I$3+(Binomial!$D$6/EXP(AAPL!$I$6*Analysis!C16))</f>
        <v>11.358921574138407</v>
      </c>
      <c r="H19" s="14"/>
      <c r="I19" s="3">
        <f>MAX(Analysis!F16 - $I$6, 0)</f>
        <v>40.260443484545647</v>
      </c>
      <c r="J19" s="2">
        <f>MAX(Analysis!G16 - $I$6, 0)</f>
        <v>0</v>
      </c>
      <c r="K19" s="2">
        <f>((I19*Analysis!H16)+(J19*Analysis!I16))/EXP(AAPL!$I$6*Analysis!C16)</f>
        <v>21.952673977819291</v>
      </c>
      <c r="L19" s="2">
        <f>K19-AAPL!$I$3+($I$6/EXP(AAPL!$I$6*Analysis!C16))</f>
        <v>10.540039204750713</v>
      </c>
      <c r="M19" s="6"/>
      <c r="N19" s="2">
        <f>MAX(Analysis!F16 - $N$6, 0)</f>
        <v>42.260443484545647</v>
      </c>
      <c r="O19" s="2">
        <f>MAX(Analysis!G16 - $N$6, 0)</f>
        <v>0</v>
      </c>
      <c r="P19" s="2">
        <f>((N19*Analysis!H16)+(O19*Analysis!I16))/EXP(AAPL!$I$6*Analysis!C16)</f>
        <v>23.043207120418479</v>
      </c>
      <c r="Q19" s="2">
        <f>P19-AAPL!$I$3+($N$6/EXP(AAPL!$I$6*Analysis!C16))</f>
        <v>9.72115683536299</v>
      </c>
      <c r="R19" s="6"/>
      <c r="S19" s="2">
        <f>MAX(Analysis!F16 - $S$6, 0)</f>
        <v>43.260443484545647</v>
      </c>
      <c r="T19" s="2">
        <f>MAX(Analysis!G16 - $S$6, 0)</f>
        <v>0</v>
      </c>
      <c r="U19" s="2">
        <f>((S19*Analysis!H16)+(T19*Analysis!I16))/EXP(AAPL!$I$6*Analysis!C16)</f>
        <v>23.588473691718075</v>
      </c>
      <c r="V19" s="2">
        <f>U19-AAPL!$I$3+($S$6/EXP(AAPL!$I$6*Analysis!C16))</f>
        <v>9.3117156506691288</v>
      </c>
      <c r="W19" s="6"/>
      <c r="X19" s="2">
        <f>MAX(Analysis!F16 - $X$6, 0)</f>
        <v>44.260443484545647</v>
      </c>
      <c r="Y19" s="2">
        <f>MAX(Analysis!G16 - $X$6, 0)</f>
        <v>0</v>
      </c>
      <c r="Z19" s="2">
        <f>((X19*Analysis!H16)+(Y19*Analysis!I16))/EXP(AAPL!$I$6*Analysis!C16)</f>
        <v>24.133740263017668</v>
      </c>
      <c r="AA19" s="2">
        <f>Z19-AAPL!$I$3+($X$6/EXP(AAPL!$I$6*Analysis!C16))</f>
        <v>8.9022744659752959</v>
      </c>
    </row>
  </sheetData>
  <mergeCells count="8">
    <mergeCell ref="B2:L3"/>
    <mergeCell ref="B5:B7"/>
    <mergeCell ref="D5:AA5"/>
    <mergeCell ref="S6:V6"/>
    <mergeCell ref="X6:AA6"/>
    <mergeCell ref="D6:G6"/>
    <mergeCell ref="I6:L6"/>
    <mergeCell ref="N6:Q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A5BF-FD7E-4F8C-9B03-08EBE6AA4275}">
  <dimension ref="B2:F17"/>
  <sheetViews>
    <sheetView workbookViewId="0">
      <selection activeCell="M8" sqref="M8"/>
    </sheetView>
  </sheetViews>
  <sheetFormatPr defaultColWidth="8.81640625" defaultRowHeight="14.5"/>
  <cols>
    <col min="2" max="2" width="14.453125" bestFit="1" customWidth="1"/>
  </cols>
  <sheetData>
    <row r="2" spans="2:6">
      <c r="B2" s="47" t="s">
        <v>32</v>
      </c>
      <c r="C2" s="47"/>
      <c r="D2" s="47"/>
      <c r="E2" s="47"/>
      <c r="F2" s="47"/>
    </row>
    <row r="3" spans="2:6">
      <c r="B3" s="47"/>
      <c r="C3" s="47"/>
      <c r="D3" s="47"/>
      <c r="E3" s="47"/>
      <c r="F3" s="47"/>
    </row>
    <row r="4" spans="2:6">
      <c r="B4" s="38" t="str">
        <f>Binomial!B5</f>
        <v>Date of Maturity</v>
      </c>
      <c r="C4" s="31">
        <v>165</v>
      </c>
      <c r="D4" s="31"/>
      <c r="E4" s="31"/>
      <c r="F4" s="31"/>
    </row>
    <row r="5" spans="2:6">
      <c r="B5" s="39"/>
      <c r="C5" s="37" t="s">
        <v>26</v>
      </c>
      <c r="D5" s="37" t="s">
        <v>27</v>
      </c>
      <c r="E5" s="37" t="s">
        <v>22</v>
      </c>
      <c r="F5" s="37" t="s">
        <v>25</v>
      </c>
    </row>
    <row r="6" spans="2:6">
      <c r="B6" s="16">
        <f>DATE(2024, 5, 18)</f>
        <v>45430</v>
      </c>
      <c r="C6" s="2">
        <f>(LN(AAPL!$I$3/'Black Scholes'!$C$4) + ((AAPL!$I$6 + (((AAPL!$I$4)^2)/2)))*Analysis!C5) / (AAPL!$I$4 * SQRT(Analysis!C5))</f>
        <v>0.31309231063158555</v>
      </c>
      <c r="D6" s="2">
        <f>C6 - (AAPL!$I$4 * SQRT(Analysis!C5))</f>
        <v>0.25681063581125141</v>
      </c>
      <c r="E6" s="2">
        <f>(AAPL!$I$3*NORMSDIST('Black Scholes'!C6)) - ('Black Scholes'!$C$4*NORMSDIST('Black Scholes'!D6)/EXP(AAPL!$I$6*Analysis!C5))</f>
        <v>5.198687001565105</v>
      </c>
      <c r="F6" s="2">
        <f>E6-AAPL!$I$3+($C$4/EXP(AAPL!$I$6*Analysis!C5))</f>
        <v>2.5413016107135604</v>
      </c>
    </row>
    <row r="7" spans="2:6">
      <c r="B7" s="16">
        <f>B6+31</f>
        <v>45461</v>
      </c>
      <c r="C7" s="2">
        <f>(LN(AAPL!$I$3/'Black Scholes'!$C$4) + ((AAPL!$I$6 + (((AAPL!$I$4)^2)/2)))*Analysis!C6) / (AAPL!$I$4 * SQRT(Analysis!C6))</f>
        <v>0.28901108628606176</v>
      </c>
      <c r="D7" s="2">
        <f>C7 - (AAPL!$I$4 * SQRT(Analysis!C6))</f>
        <v>0.20875623344099659</v>
      </c>
      <c r="E7" s="2">
        <f>(AAPL!$I$3*NORMSDIST('Black Scholes'!C7)) - ('Black Scholes'!$C$4*NORMSDIST('Black Scholes'!D7)/EXP(AAPL!$I$6*Analysis!C6))</f>
        <v>7.1081108785957099</v>
      </c>
      <c r="F7" s="2">
        <f>E7-AAPL!$I$3+($C$4/EXP(AAPL!$I$6*Analysis!C6))</f>
        <v>3.8049322508678358</v>
      </c>
    </row>
    <row r="8" spans="2:6">
      <c r="B8" s="16">
        <f>B7+30</f>
        <v>45491</v>
      </c>
      <c r="C8" s="2">
        <f>(LN(AAPL!$I$3/'Black Scholes'!$C$4) + ((AAPL!$I$6 + (((AAPL!$I$4)^2)/2)))*Analysis!C7) / (AAPL!$I$4 * SQRT(Analysis!C7))</f>
        <v>0.29164588422995597</v>
      </c>
      <c r="D8" s="2">
        <f>C8 - (AAPL!$I$4 * SQRT(Analysis!C7))</f>
        <v>0.19362308930058814</v>
      </c>
      <c r="E8" s="2">
        <f>(AAPL!$I$3*NORMSDIST('Black Scholes'!C8)) - ('Black Scholes'!$C$4*NORMSDIST('Black Scholes'!D8)/EXP(AAPL!$I$6*Analysis!C7))</f>
        <v>8.604144820699787</v>
      </c>
      <c r="F8" s="2">
        <f>E8-AAPL!$I$3+($C$4/EXP(AAPL!$I$6*Analysis!C7))</f>
        <v>4.678420866190379</v>
      </c>
    </row>
    <row r="9" spans="2:6">
      <c r="B9" s="16">
        <f>B8 + 31</f>
        <v>45522</v>
      </c>
      <c r="C9" s="2">
        <f>(LN(AAPL!$I$3/'Black Scholes'!$C$4) + ((AAPL!$I$6 + (((AAPL!$I$4)^2)/2)))*Analysis!C8) / (AAPL!$I$4 * SQRT(Analysis!C8))</f>
        <v>0.30098572112503297</v>
      </c>
      <c r="D9" s="2">
        <f>C9 - (AAPL!$I$4 * SQRT(Analysis!C8))</f>
        <v>0.18748821978528482</v>
      </c>
      <c r="E9" s="2">
        <f>(AAPL!$I$3*NORMSDIST('Black Scholes'!C9)) - ('Black Scholes'!$C$4*NORMSDIST('Black Scholes'!D9)/EXP(AAPL!$I$6*Analysis!C8))</f>
        <v>9.9598389272337613</v>
      </c>
      <c r="F9" s="2">
        <f>E9-AAPL!$I$3+($C$4/EXP(AAPL!$I$6*Analysis!C8))</f>
        <v>5.3933048315626309</v>
      </c>
    </row>
    <row r="10" spans="2:6">
      <c r="B10" s="16">
        <f>B9+31</f>
        <v>45553</v>
      </c>
      <c r="C10" s="2">
        <f>(LN(AAPL!$I$3/'Black Scholes'!$C$4) + ((AAPL!$I$6 + (((AAPL!$I$4)^2)/2)))*Analysis!C9) / (AAPL!$I$4 * SQRT(Analysis!C9))</f>
        <v>0.31261770728312477</v>
      </c>
      <c r="D10" s="2">
        <f>C10 - (AAPL!$I$4 * SQRT(Analysis!C9))</f>
        <v>0.18551579032288629</v>
      </c>
      <c r="E10" s="2">
        <f>(AAPL!$I$3*NORMSDIST('Black Scholes'!C10)) - ('Black Scholes'!$C$4*NORMSDIST('Black Scholes'!D10)/EXP(AAPL!$I$6*Analysis!C9))</f>
        <v>11.191055170156062</v>
      </c>
      <c r="F10" s="2">
        <f>E10-AAPL!$I$3+($C$4/EXP(AAPL!$I$6*Analysis!C9))</f>
        <v>5.9862285720356567</v>
      </c>
    </row>
    <row r="11" spans="2:6">
      <c r="B11" s="16">
        <f>B10+30</f>
        <v>45583</v>
      </c>
      <c r="C11" s="2">
        <f>(LN(AAPL!$I$3/'Black Scholes'!$C$4) + ((AAPL!$I$6 + (((AAPL!$I$4)^2)/2)))*Analysis!C10) / (AAPL!$I$4 * SQRT(Analysis!C10))</f>
        <v>0.32464699594726709</v>
      </c>
      <c r="D11" s="2">
        <f>C11 - (AAPL!$I$4 * SQRT(Analysis!C10))</f>
        <v>0.18564151326565054</v>
      </c>
      <c r="E11" s="2">
        <f>(AAPL!$I$3*NORMSDIST('Black Scholes'!C11)) - ('Black Scholes'!$C$4*NORMSDIST('Black Scholes'!D11)/EXP(AAPL!$I$6*Analysis!C10))</f>
        <v>12.297940864266991</v>
      </c>
      <c r="F11" s="2">
        <f>E11-AAPL!$I$3+($C$4/EXP(AAPL!$I$6*Analysis!C10))</f>
        <v>6.4777996548608883</v>
      </c>
    </row>
    <row r="12" spans="2:6">
      <c r="B12" s="16">
        <f>B11+31</f>
        <v>45614</v>
      </c>
      <c r="C12" s="2">
        <f>(LN(AAPL!$I$3/'Black Scholes'!$C$4) + ((AAPL!$I$6 + (((AAPL!$I$4)^2)/2)))*Analysis!C11) / (AAPL!$I$4 * SQRT(Analysis!C11))</f>
        <v>0.3372891364782577</v>
      </c>
      <c r="D12" s="2">
        <f>C12 - (AAPL!$I$4 * SQRT(Analysis!C11))</f>
        <v>0.18697034623515327</v>
      </c>
      <c r="E12" s="2">
        <f>(AAPL!$I$3*NORMSDIST('Black Scholes'!C12)) - ('Black Scholes'!$C$4*NORMSDIST('Black Scholes'!D12)/EXP(AAPL!$I$6*Analysis!C11))</f>
        <v>13.375112691842332</v>
      </c>
      <c r="F12" s="2">
        <f>E12-AAPL!$I$3+($C$4/EXP(AAPL!$I$6*Analysis!C11))</f>
        <v>6.9216041982333252</v>
      </c>
    </row>
    <row r="13" spans="2:6">
      <c r="B13" s="16">
        <f>B12+30</f>
        <v>45644</v>
      </c>
      <c r="C13" s="2">
        <f>(LN(AAPL!$I$3/'Black Scholes'!$C$4) + ((AAPL!$I$6 + (((AAPL!$I$4)^2)/2)))*Analysis!C12) / (AAPL!$I$4 * SQRT(Analysis!C12))</f>
        <v>0.34947604705744012</v>
      </c>
      <c r="D13" s="2">
        <f>C13 - (AAPL!$I$4 * SQRT(Analysis!C12))</f>
        <v>0.18896634136730978</v>
      </c>
      <c r="E13" s="2">
        <f>(AAPL!$I$3*NORMSDIST('Black Scholes'!C13)) - ('Black Scholes'!$C$4*NORMSDIST('Black Scholes'!D13)/EXP(AAPL!$I$6*Analysis!C12))</f>
        <v>14.366108090208812</v>
      </c>
      <c r="F13" s="2">
        <f>E13-AAPL!$I$3+($C$4/EXP(AAPL!$I$6*Analysis!C12))</f>
        <v>7.3020329006336908</v>
      </c>
    </row>
    <row r="14" spans="2:6">
      <c r="B14" s="16">
        <f>B13+31</f>
        <v>45675</v>
      </c>
      <c r="C14" s="2">
        <f>(LN(AAPL!$I$3/'Black Scholes'!$C$4) + ((AAPL!$I$6 + (((AAPL!$I$4)^2)/2)))*Analysis!C13) / (AAPL!$I$4 * SQRT(Analysis!C13))</f>
        <v>0.3618957390563155</v>
      </c>
      <c r="D14" s="2">
        <f>C14 - (AAPL!$I$4 * SQRT(Analysis!C13))</f>
        <v>0.19149450635733092</v>
      </c>
      <c r="E14" s="2">
        <f>(AAPL!$I$3*NORMSDIST('Black Scholes'!C14)) - ('Black Scholes'!$C$4*NORMSDIST('Black Scholes'!D14)/EXP(AAPL!$I$6*Analysis!C13))</f>
        <v>15.34647893388734</v>
      </c>
      <c r="F14" s="2">
        <f>E14-AAPL!$I$3+($C$4/EXP(AAPL!$I$6*Analysis!C13))</f>
        <v>7.6539236741887748</v>
      </c>
    </row>
    <row r="15" spans="2:6">
      <c r="B15" s="16">
        <f>B14+31</f>
        <v>45706</v>
      </c>
      <c r="C15" s="2">
        <f>(LN(AAPL!$I$3/'Black Scholes'!$C$4) + ((AAPL!$I$6 + (((AAPL!$I$4)^2)/2)))*Analysis!C14) / (AAPL!$I$4 * SQRT(Analysis!C14))</f>
        <v>0.37408034161234432</v>
      </c>
      <c r="D15" s="2">
        <f>C15 - (AAPL!$I$4 * SQRT(Analysis!C14))</f>
        <v>0.19433108684355616</v>
      </c>
      <c r="E15" s="2">
        <f>(AAPL!$I$3*NORMSDIST('Black Scholes'!C15)) - ('Black Scholes'!$C$4*NORMSDIST('Black Scholes'!D15)/EXP(AAPL!$I$6*Analysis!C14))</f>
        <v>16.289493381230699</v>
      </c>
      <c r="F15" s="2">
        <f>E15-AAPL!$I$3+($C$4/EXP(AAPL!$I$6*Analysis!C14))</f>
        <v>7.9709272472795192</v>
      </c>
    </row>
    <row r="16" spans="2:6">
      <c r="B16" s="16">
        <f>B15+28</f>
        <v>45734</v>
      </c>
      <c r="C16" s="2">
        <f>(LN(AAPL!$I$3/'Black Scholes'!$C$4) + ((AAPL!$I$6 + (((AAPL!$I$4)^2)/2)))*Analysis!C15) / (AAPL!$I$4 * SQRT(Analysis!C15))</f>
        <v>0.38486242060144493</v>
      </c>
      <c r="D16" s="2">
        <f>C16 - (AAPL!$I$4 * SQRT(Analysis!C15))</f>
        <v>0.19706932599336899</v>
      </c>
      <c r="E16" s="2">
        <f>(AAPL!$I$3*NORMSDIST('Black Scholes'!C16)) - ('Black Scholes'!$C$4*NORMSDIST('Black Scholes'!D16)/EXP(AAPL!$I$6*Analysis!C15))</f>
        <v>17.113619299753509</v>
      </c>
      <c r="F16" s="2">
        <f>E16-AAPL!$I$3+($C$4/EXP(AAPL!$I$6*Analysis!C15))</f>
        <v>8.2317382455153165</v>
      </c>
    </row>
    <row r="17" spans="2:6">
      <c r="B17" s="16">
        <f>B16+31</f>
        <v>45765</v>
      </c>
      <c r="C17" s="2">
        <f>(LN(AAPL!$I$3/'Black Scholes'!$C$4) + ((AAPL!$I$6 + (((AAPL!$I$4)^2)/2)))*Analysis!C16) / (AAPL!$I$4 * SQRT(Analysis!C16))</f>
        <v>0.39654538413349999</v>
      </c>
      <c r="D17" s="2">
        <f>C17 - (AAPL!$I$4 * SQRT(Analysis!C16))</f>
        <v>0.20023068558273177</v>
      </c>
      <c r="E17" s="2">
        <f>(AAPL!$I$3*NORMSDIST('Black Scholes'!C17)) - ('Black Scholes'!$C$4*NORMSDIST('Black Scholes'!D17)/EXP(AAPL!$I$6*Analysis!C16))</f>
        <v>17.999318997120554</v>
      </c>
      <c r="F17" s="2">
        <f>E17-AAPL!$I$3+($C$4/EXP(AAPL!$I$6*Analysis!C16))</f>
        <v>8.4960997360388433</v>
      </c>
    </row>
  </sheetData>
  <mergeCells count="3">
    <mergeCell ref="B2:F3"/>
    <mergeCell ref="C4:F4"/>
    <mergeCell ref="B4:B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9B47-4844-4351-B1AA-C9B833100D47}">
  <dimension ref="B2:G17"/>
  <sheetViews>
    <sheetView tabSelected="1" workbookViewId="0">
      <selection activeCell="D22" sqref="D22"/>
    </sheetView>
  </sheetViews>
  <sheetFormatPr defaultColWidth="8.81640625" defaultRowHeight="14.5"/>
  <cols>
    <col min="2" max="2" width="15.36328125" bestFit="1" customWidth="1"/>
    <col min="7" max="7" width="11.36328125" bestFit="1" customWidth="1"/>
  </cols>
  <sheetData>
    <row r="2" spans="2:7">
      <c r="B2" s="36" t="s">
        <v>33</v>
      </c>
      <c r="C2" s="36"/>
      <c r="D2" s="36"/>
      <c r="E2" s="36"/>
      <c r="F2" s="36"/>
      <c r="G2" s="36"/>
    </row>
    <row r="4" spans="2:7">
      <c r="B4" s="36" t="s">
        <v>45</v>
      </c>
      <c r="C4" s="40">
        <v>165</v>
      </c>
      <c r="D4" s="40"/>
      <c r="E4" s="40"/>
      <c r="F4" s="40"/>
      <c r="G4" s="40"/>
    </row>
    <row r="5" spans="2:7">
      <c r="B5" s="36"/>
      <c r="C5" s="9" t="s">
        <v>34</v>
      </c>
      <c r="D5" s="9" t="s">
        <v>35</v>
      </c>
      <c r="E5" s="9" t="s">
        <v>36</v>
      </c>
      <c r="F5" s="9" t="s">
        <v>37</v>
      </c>
      <c r="G5" s="9" t="s">
        <v>46</v>
      </c>
    </row>
    <row r="6" spans="2:7">
      <c r="B6" s="48">
        <f>DATE(2024, 5, 18)</f>
        <v>45430</v>
      </c>
      <c r="C6" s="2" cm="1">
        <f t="array" ref="C6:C17">Binomial!D8:D19</f>
        <v>11.700305074508123</v>
      </c>
      <c r="D6" s="2" cm="1">
        <f t="array" ref="D6:D17">Binomial!E8:E19</f>
        <v>0</v>
      </c>
      <c r="E6" s="2" cm="1">
        <f t="array" ref="E6:F17">Table5[[Su(T)]:[Sd(T)]]</f>
        <v>176.70030507450812</v>
      </c>
      <c r="F6" s="2">
        <v>157.88892132458966</v>
      </c>
      <c r="G6" s="41">
        <f>(C6-D6)/(E6-F6)</f>
        <v>0.62198003241302424</v>
      </c>
    </row>
    <row r="7" spans="2:7">
      <c r="B7" s="49">
        <f>DATE(2024, 6, 18)</f>
        <v>45461</v>
      </c>
      <c r="C7" s="2">
        <v>15.98755714725246</v>
      </c>
      <c r="D7" s="2">
        <v>0</v>
      </c>
      <c r="E7" s="2">
        <v>180.98755714725246</v>
      </c>
      <c r="F7" s="2">
        <v>154.14883213900282</v>
      </c>
      <c r="G7" s="2">
        <f t="shared" ref="G7:G17" si="0">(C7-D7)/(E7-F7)</f>
        <v>0.59568988997570615</v>
      </c>
    </row>
    <row r="8" spans="2:7">
      <c r="B8" s="48">
        <f>DATE(2024, 7, 18)</f>
        <v>45491</v>
      </c>
      <c r="C8" s="2">
        <v>19.232072402925041</v>
      </c>
      <c r="D8" s="2">
        <v>0</v>
      </c>
      <c r="E8" s="2">
        <v>184.23207240292504</v>
      </c>
      <c r="F8" s="2">
        <v>151.43411351810346</v>
      </c>
      <c r="G8" s="2">
        <f t="shared" si="0"/>
        <v>0.58638016074303223</v>
      </c>
    </row>
    <row r="9" spans="2:7">
      <c r="B9" s="49">
        <f>DATE(2024, 8, 18)</f>
        <v>45522</v>
      </c>
      <c r="C9" s="2">
        <v>22.10518256863574</v>
      </c>
      <c r="D9" s="2">
        <v>0</v>
      </c>
      <c r="E9" s="2">
        <v>187.10518256863574</v>
      </c>
      <c r="F9" s="2">
        <v>149.10875360550642</v>
      </c>
      <c r="G9" s="2">
        <f t="shared" si="0"/>
        <v>0.58177000238854015</v>
      </c>
    </row>
    <row r="10" spans="2:7">
      <c r="B10" s="48">
        <f>DATE(2024, 9, 18)</f>
        <v>45553</v>
      </c>
      <c r="C10" s="2">
        <v>24.668032748963043</v>
      </c>
      <c r="D10" s="2">
        <v>0</v>
      </c>
      <c r="E10" s="2">
        <v>189.66803274896304</v>
      </c>
      <c r="F10" s="2">
        <v>147.09395232071617</v>
      </c>
      <c r="G10" s="2">
        <f t="shared" si="0"/>
        <v>0.57941434085788024</v>
      </c>
    </row>
    <row r="11" spans="2:7">
      <c r="B11" s="49">
        <f>DATE(2024, 10, 18)</f>
        <v>45583</v>
      </c>
      <c r="C11" s="2">
        <v>26.939249613388569</v>
      </c>
      <c r="D11" s="2">
        <v>0</v>
      </c>
      <c r="E11" s="2">
        <v>191.93924961338857</v>
      </c>
      <c r="F11" s="2">
        <v>145.35338979461096</v>
      </c>
      <c r="G11" s="2">
        <f t="shared" si="0"/>
        <v>0.57827095428063824</v>
      </c>
    </row>
    <row r="12" spans="2:7">
      <c r="B12" s="48">
        <f>DATE(2024, 11, 18)</f>
        <v>45614</v>
      </c>
      <c r="C12" s="2">
        <v>29.123047071394325</v>
      </c>
      <c r="D12" s="2">
        <v>0</v>
      </c>
      <c r="E12" s="2">
        <v>194.12304707139432</v>
      </c>
      <c r="F12" s="2">
        <v>143.71822916873612</v>
      </c>
      <c r="G12" s="2">
        <f t="shared" si="0"/>
        <v>0.57778300335568633</v>
      </c>
    </row>
    <row r="13" spans="2:7">
      <c r="B13" s="49">
        <f>DATE(2024, 12, 18)</f>
        <v>45644</v>
      </c>
      <c r="C13" s="2">
        <v>31.11145326133888</v>
      </c>
      <c r="D13" s="2">
        <v>0</v>
      </c>
      <c r="E13" s="2">
        <v>196.11145326133888</v>
      </c>
      <c r="F13" s="2">
        <v>142.26104647116995</v>
      </c>
      <c r="G13" s="2">
        <f t="shared" si="0"/>
        <v>0.57773850033420115</v>
      </c>
    </row>
    <row r="14" spans="2:7">
      <c r="B14" s="48">
        <f>DATE(2024, 13, 18)</f>
        <v>45675</v>
      </c>
      <c r="C14" s="2">
        <v>33.060920707962936</v>
      </c>
      <c r="D14" s="2">
        <v>0</v>
      </c>
      <c r="E14" s="2">
        <v>198.06092070796294</v>
      </c>
      <c r="F14" s="2">
        <v>140.86080417184661</v>
      </c>
      <c r="G14" s="2">
        <f t="shared" si="0"/>
        <v>0.5779869467064489</v>
      </c>
    </row>
    <row r="15" spans="2:7">
      <c r="B15" s="49">
        <f>DATE(2024, 14, 18)</f>
        <v>45706</v>
      </c>
      <c r="C15" s="2">
        <v>34.921079422373282</v>
      </c>
      <c r="D15" s="2">
        <v>0</v>
      </c>
      <c r="E15" s="2">
        <v>199.92107942237328</v>
      </c>
      <c r="F15" s="2">
        <v>139.5501697297149</v>
      </c>
      <c r="G15" s="2">
        <f t="shared" si="0"/>
        <v>0.57844216030788054</v>
      </c>
    </row>
    <row r="16" spans="2:7">
      <c r="B16" s="48">
        <f>DATE(2024, 15, 18)</f>
        <v>45734</v>
      </c>
      <c r="C16" s="2">
        <v>36.535697725333392</v>
      </c>
      <c r="D16" s="2">
        <v>0</v>
      </c>
      <c r="E16" s="2">
        <v>201.53569772533339</v>
      </c>
      <c r="F16" s="2">
        <v>138.43215311643047</v>
      </c>
      <c r="G16" s="2">
        <f t="shared" si="0"/>
        <v>0.57898011833995733</v>
      </c>
    </row>
    <row r="17" spans="2:7">
      <c r="B17" s="49">
        <f>DATE(2024, 16, 18)</f>
        <v>45765</v>
      </c>
      <c r="C17" s="2">
        <v>38.260443484545647</v>
      </c>
      <c r="D17" s="2">
        <v>0</v>
      </c>
      <c r="E17" s="2">
        <v>203.26044348454565</v>
      </c>
      <c r="F17" s="2">
        <v>137.25750120220133</v>
      </c>
      <c r="G17" s="2">
        <f t="shared" si="0"/>
        <v>0.57967784710076864</v>
      </c>
    </row>
  </sheetData>
  <mergeCells count="3">
    <mergeCell ref="C4:G4"/>
    <mergeCell ref="B4:B5"/>
    <mergeCell ref="B2:G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44EAA-8EC4-47D7-AC1C-E63655A45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</vt:lpstr>
      <vt:lpstr>Analysis</vt:lpstr>
      <vt:lpstr>Binomial</vt:lpstr>
      <vt:lpstr>Black Scholes</vt:lpstr>
      <vt:lpstr>Delta Neutral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2024-04-18T19:53:29Z</dcterms:created>
  <dcterms:modified xsi:type="dcterms:W3CDTF">2024-04-22T00:11:12Z</dcterms:modified>
</cp:coreProperties>
</file>