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416"/>
  <workbookPr autoCompressPictures="0"/>
  <bookViews>
    <workbookView xWindow="0" yWindow="-460" windowWidth="28800" windowHeight="18000"/>
  </bookViews>
  <sheets>
    <sheet name="Overview_CurrentState" sheetId="9" r:id="rId1"/>
    <sheet name="CHANGE ANALYSIS" sheetId="6" r:id="rId2"/>
    <sheet name="Overview_ProposedState" sheetId="10" r:id="rId3"/>
    <sheet name="DataSource_CashRegister" sheetId="1" r:id="rId4"/>
    <sheet name="DataSource_DeliveryData" sheetId="2" r:id="rId5"/>
    <sheet name="DataSource_ItemMaster" sheetId="4"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6" i="10" l="1"/>
  <c r="K14" i="10"/>
  <c r="I10" i="10"/>
  <c r="F11" i="10"/>
  <c r="G11" i="10"/>
  <c r="H11" i="10"/>
  <c r="I11" i="10"/>
  <c r="F7" i="10"/>
  <c r="G7" i="10"/>
  <c r="H7" i="10"/>
  <c r="I7" i="10"/>
  <c r="I16" i="10"/>
  <c r="I8" i="10"/>
  <c r="I13" i="10"/>
  <c r="I12" i="10"/>
  <c r="I14" i="10"/>
  <c r="F43" i="10"/>
  <c r="G43" i="10"/>
  <c r="H43" i="10"/>
  <c r="H16" i="10"/>
  <c r="G16" i="10"/>
  <c r="F16" i="10"/>
  <c r="E16" i="10"/>
  <c r="E13" i="10"/>
  <c r="E12" i="10"/>
  <c r="E14" i="10"/>
  <c r="F13" i="10"/>
  <c r="F12" i="10"/>
  <c r="F14" i="10"/>
  <c r="G13" i="10"/>
  <c r="G12" i="10"/>
  <c r="G14" i="10"/>
  <c r="H13" i="10"/>
  <c r="H12" i="10"/>
  <c r="H14" i="10"/>
  <c r="M19" i="6"/>
  <c r="N19" i="6"/>
  <c r="P19" i="6"/>
  <c r="O19" i="6"/>
  <c r="R19" i="6"/>
  <c r="M20" i="6"/>
  <c r="N20" i="6"/>
  <c r="P20" i="6"/>
  <c r="O20" i="6"/>
  <c r="R20" i="6"/>
  <c r="M21" i="6"/>
  <c r="N21" i="6"/>
  <c r="P21" i="6"/>
  <c r="O21" i="6"/>
  <c r="R21" i="6"/>
  <c r="M22" i="6"/>
  <c r="N22" i="6"/>
  <c r="P22" i="6"/>
  <c r="O22" i="6"/>
  <c r="R22" i="6"/>
  <c r="R23" i="6"/>
  <c r="P23" i="6"/>
  <c r="O23" i="6"/>
  <c r="N23" i="6"/>
  <c r="M23" i="6"/>
  <c r="D11" i="6"/>
  <c r="E11" i="6"/>
  <c r="H11" i="6"/>
  <c r="D19" i="6"/>
  <c r="D12" i="6"/>
  <c r="D13" i="6"/>
  <c r="D14" i="6"/>
  <c r="E12" i="6"/>
  <c r="G12" i="6"/>
  <c r="J12" i="6"/>
  <c r="P12" i="6"/>
  <c r="O12" i="6"/>
  <c r="K12" i="6"/>
  <c r="M12" i="6"/>
  <c r="N12" i="6"/>
  <c r="R12" i="6"/>
  <c r="G11" i="6"/>
  <c r="J11" i="6"/>
  <c r="P11" i="6"/>
  <c r="O11" i="6"/>
  <c r="K11" i="6"/>
  <c r="M11" i="6"/>
  <c r="N11" i="6"/>
  <c r="R11" i="6"/>
  <c r="E13" i="6"/>
  <c r="G13" i="6"/>
  <c r="J13" i="6"/>
  <c r="P13" i="6"/>
  <c r="O13" i="6"/>
  <c r="K13" i="6"/>
  <c r="M13" i="6"/>
  <c r="N13" i="6"/>
  <c r="R13" i="6"/>
  <c r="E14" i="6"/>
  <c r="G14" i="6"/>
  <c r="J14" i="6"/>
  <c r="P14" i="6"/>
  <c r="O14" i="6"/>
  <c r="K14" i="6"/>
  <c r="M14" i="6"/>
  <c r="N14" i="6"/>
  <c r="R14" i="6"/>
  <c r="R15" i="6"/>
  <c r="O15" i="6"/>
  <c r="P15" i="6"/>
  <c r="F37" i="9"/>
  <c r="G37" i="9"/>
  <c r="H37" i="9"/>
  <c r="F7" i="9"/>
  <c r="G7" i="9"/>
  <c r="H7" i="9"/>
  <c r="F11" i="9"/>
  <c r="G11" i="9"/>
  <c r="H11" i="9"/>
  <c r="H16" i="9"/>
  <c r="G16" i="9"/>
  <c r="F16" i="9"/>
  <c r="E16" i="9"/>
  <c r="E13" i="9"/>
  <c r="F13" i="9"/>
  <c r="G13" i="9"/>
  <c r="H13" i="9"/>
  <c r="E12" i="9"/>
  <c r="F12" i="9"/>
  <c r="G12" i="9"/>
  <c r="H12" i="9"/>
  <c r="H14" i="9"/>
  <c r="G14" i="9"/>
  <c r="F14" i="9"/>
  <c r="E14" i="9"/>
  <c r="J22" i="6"/>
  <c r="H14" i="6"/>
  <c r="D22" i="6"/>
  <c r="E22" i="6"/>
  <c r="G22" i="6"/>
  <c r="J21" i="6"/>
  <c r="H13" i="6"/>
  <c r="D21" i="6"/>
  <c r="E21" i="6"/>
  <c r="G21" i="6"/>
  <c r="J20" i="6"/>
  <c r="H12" i="6"/>
  <c r="D20" i="6"/>
  <c r="E20" i="6"/>
  <c r="G20" i="6"/>
  <c r="J19" i="6"/>
  <c r="E19" i="6"/>
  <c r="G19" i="6"/>
  <c r="N7" i="1"/>
  <c r="M7" i="1"/>
  <c r="L7" i="1"/>
  <c r="K7" i="1"/>
  <c r="I6" i="1"/>
  <c r="I7" i="1"/>
  <c r="I8" i="1"/>
  <c r="I9" i="1"/>
  <c r="I10" i="1"/>
  <c r="I11" i="1"/>
  <c r="I12" i="1"/>
  <c r="I13" i="1"/>
  <c r="I14" i="1"/>
  <c r="I15" i="1"/>
  <c r="I16" i="1"/>
  <c r="I17" i="1"/>
  <c r="I18" i="1"/>
  <c r="I19" i="1"/>
  <c r="I20" i="1"/>
  <c r="I5" i="1"/>
  <c r="G8" i="1"/>
  <c r="H8" i="1"/>
  <c r="G12" i="1"/>
  <c r="H12" i="1"/>
  <c r="G16" i="1"/>
  <c r="H16" i="1"/>
  <c r="G20" i="1"/>
  <c r="H20" i="1"/>
  <c r="G5" i="1"/>
  <c r="H5" i="1"/>
  <c r="G6" i="1"/>
  <c r="H6" i="1"/>
  <c r="G7" i="1"/>
  <c r="H7" i="1"/>
  <c r="G9" i="1"/>
  <c r="H9" i="1"/>
  <c r="G10" i="1"/>
  <c r="H10" i="1"/>
  <c r="G11" i="1"/>
  <c r="H11" i="1"/>
  <c r="G13" i="1"/>
  <c r="H13" i="1"/>
  <c r="G14" i="1"/>
  <c r="H14" i="1"/>
  <c r="G15" i="1"/>
  <c r="H15" i="1"/>
  <c r="G17" i="1"/>
  <c r="H17" i="1"/>
  <c r="G18" i="1"/>
  <c r="H18" i="1"/>
  <c r="G19" i="1"/>
  <c r="H19" i="1"/>
  <c r="N6" i="1"/>
  <c r="M6" i="1"/>
  <c r="L6" i="1"/>
  <c r="K6" i="1"/>
  <c r="N5" i="1"/>
  <c r="M5" i="1"/>
  <c r="L5" i="1"/>
  <c r="K5" i="1"/>
  <c r="C5" i="1"/>
  <c r="K5" i="2"/>
  <c r="J5" i="2"/>
  <c r="I5" i="2"/>
  <c r="H5" i="2"/>
  <c r="F6" i="2"/>
  <c r="F7" i="2"/>
  <c r="F8" i="2"/>
  <c r="F9" i="2"/>
  <c r="F10" i="2"/>
  <c r="F11" i="2"/>
  <c r="F12" i="2"/>
  <c r="F13" i="2"/>
  <c r="F14" i="2"/>
  <c r="F15" i="2"/>
  <c r="F16" i="2"/>
  <c r="F17" i="2"/>
  <c r="F18" i="2"/>
  <c r="F19" i="2"/>
  <c r="F20" i="2"/>
  <c r="F5" i="2"/>
  <c r="F6" i="1"/>
  <c r="F7" i="1"/>
  <c r="F8" i="1"/>
  <c r="F9" i="1"/>
  <c r="F10" i="1"/>
  <c r="F11" i="1"/>
  <c r="F12" i="1"/>
  <c r="F13" i="1"/>
  <c r="F14" i="1"/>
  <c r="F15" i="1"/>
  <c r="F16" i="1"/>
  <c r="F17" i="1"/>
  <c r="F18" i="1"/>
  <c r="F19" i="1"/>
  <c r="F20" i="1"/>
  <c r="F5" i="1"/>
  <c r="K19" i="6"/>
  <c r="K20" i="6"/>
  <c r="K21" i="6"/>
  <c r="K22" i="6"/>
  <c r="N15" i="6"/>
  <c r="D23" i="6"/>
  <c r="E23" i="6"/>
  <c r="H23" i="6"/>
  <c r="H20" i="6"/>
  <c r="H21" i="6"/>
  <c r="H22" i="6"/>
  <c r="H19" i="6"/>
  <c r="D15" i="6"/>
  <c r="E15" i="6"/>
  <c r="H15" i="6"/>
  <c r="C11" i="2"/>
  <c r="C6" i="1"/>
  <c r="C7" i="1"/>
  <c r="C8" i="1"/>
  <c r="C9" i="1"/>
  <c r="C10" i="1"/>
  <c r="C11" i="1"/>
  <c r="C12" i="1"/>
  <c r="C13" i="1"/>
  <c r="C14" i="1"/>
  <c r="C15" i="1"/>
  <c r="C16" i="1"/>
  <c r="C17" i="1"/>
  <c r="C18" i="1"/>
  <c r="C19" i="1"/>
  <c r="C20" i="1"/>
  <c r="G23" i="6"/>
  <c r="M15" i="6"/>
  <c r="C11" i="6"/>
  <c r="C12" i="6"/>
  <c r="C13" i="6"/>
  <c r="C14" i="6"/>
  <c r="C22" i="6"/>
  <c r="C21" i="6"/>
  <c r="C20" i="6"/>
  <c r="C19" i="6"/>
  <c r="G15" i="6"/>
  <c r="C20" i="2"/>
  <c r="C6" i="2"/>
  <c r="C7" i="2"/>
  <c r="C8" i="2"/>
  <c r="C9" i="2"/>
  <c r="C10" i="2"/>
  <c r="C12" i="2"/>
  <c r="C13" i="2"/>
  <c r="C14" i="2"/>
  <c r="C15" i="2"/>
  <c r="C16" i="2"/>
  <c r="C17" i="2"/>
  <c r="C18" i="2"/>
  <c r="C19" i="2"/>
  <c r="C5" i="2"/>
  <c r="D8" i="4"/>
  <c r="C8" i="4"/>
</calcChain>
</file>

<file path=xl/sharedStrings.xml><?xml version="1.0" encoding="utf-8"?>
<sst xmlns="http://schemas.openxmlformats.org/spreadsheetml/2006/main" count="188" uniqueCount="100">
  <si>
    <t>Year1</t>
  </si>
  <si>
    <t>Year2</t>
  </si>
  <si>
    <t>Year3</t>
  </si>
  <si>
    <t>Year4</t>
  </si>
  <si>
    <t>Data Source</t>
  </si>
  <si>
    <t>Cash Register</t>
  </si>
  <si>
    <t>Delivery Data</t>
  </si>
  <si>
    <t>Inventory On Hand</t>
  </si>
  <si>
    <t>Wastage</t>
  </si>
  <si>
    <t>PROFIT</t>
  </si>
  <si>
    <t>Avg. Cost/unit</t>
  </si>
  <si>
    <t>Item Master (From COGS)</t>
  </si>
  <si>
    <t>Item #</t>
  </si>
  <si>
    <t>Item Name</t>
  </si>
  <si>
    <t>Price / unit</t>
  </si>
  <si>
    <t>Average</t>
  </si>
  <si>
    <t># of items sold</t>
  </si>
  <si>
    <t>Item Number</t>
  </si>
  <si>
    <t>Items Delivered</t>
  </si>
  <si>
    <t># sold /transaction</t>
  </si>
  <si>
    <t>COUNT</t>
  </si>
  <si>
    <t>$</t>
  </si>
  <si>
    <t>Annual COGS</t>
  </si>
  <si>
    <t>Annual Revenue</t>
  </si>
  <si>
    <t>A</t>
  </si>
  <si>
    <t>B</t>
  </si>
  <si>
    <t>C</t>
  </si>
  <si>
    <t>D</t>
  </si>
  <si>
    <t>E</t>
  </si>
  <si>
    <t>F</t>
  </si>
  <si>
    <t>G</t>
  </si>
  <si>
    <t>H</t>
  </si>
  <si>
    <t>I</t>
  </si>
  <si>
    <t>J</t>
  </si>
  <si>
    <t>K</t>
  </si>
  <si>
    <t># of items delivered</t>
  </si>
  <si>
    <t>Cash Register and Delivery Data</t>
  </si>
  <si>
    <t>Data Sources</t>
  </si>
  <si>
    <t>Based on # of items sold</t>
  </si>
  <si>
    <t>= ( D / A )</t>
  </si>
  <si>
    <t>= ( B - A ) * H</t>
  </si>
  <si>
    <t>See YoY Tab</t>
  </si>
  <si>
    <t>CASH REGISTER</t>
  </si>
  <si>
    <t>Aggregated by item, by year  (does not factor in Store Data)</t>
  </si>
  <si>
    <t>Transaction Year</t>
  </si>
  <si>
    <t>Delivery Year</t>
  </si>
  <si>
    <t>( A - B )</t>
  </si>
  <si>
    <t>( A / B ) -1</t>
  </si>
  <si>
    <t>Year</t>
  </si>
  <si>
    <t>Price/Unit</t>
  </si>
  <si>
    <t>Annual Rev</t>
  </si>
  <si>
    <t>X</t>
  </si>
  <si>
    <t>Current State</t>
  </si>
  <si>
    <t>Topping1</t>
  </si>
  <si>
    <t>Topping2</t>
  </si>
  <si>
    <t>Flavor1</t>
  </si>
  <si>
    <t>Flavor2</t>
  </si>
  <si>
    <t>Cost/ unit</t>
  </si>
  <si>
    <t>Price/ unit</t>
  </si>
  <si>
    <t>DELIVERY</t>
  </si>
  <si>
    <t>CURRENT STATE Years 1 through 4 (Average)</t>
  </si>
  <si>
    <t>FORECAST w/ changes: YEAR 5</t>
  </si>
  <si>
    <t>BUSINESS METRICS CHANGE ANALYSIS</t>
  </si>
  <si>
    <t>Assumes the 10% YoY drop in revenue is driven by # of items sold</t>
  </si>
  <si>
    <t>Assumes the number of items delivered stays flat</t>
  </si>
  <si>
    <t xml:space="preserve">Assumptions </t>
  </si>
  <si>
    <t>Assumes 1 week of wastage</t>
  </si>
  <si>
    <t>Assumes that COGS includes operating costs. Based on # of items sold</t>
  </si>
  <si>
    <t>Calculations</t>
  </si>
  <si>
    <t>Year over Year Analysis (CURRENT STATE)</t>
  </si>
  <si>
    <t>Annual Company Data</t>
  </si>
  <si>
    <t>= ( C - ( D + E + F )</t>
  </si>
  <si>
    <t xml:space="preserve">The table below represents the Year over Year performance of the Happy Hat company over the last 4 years. Key drivers that influence profitability are i) Revenue, 2) Cost of goods sold, 3) wastage and 4) Inventory on Hand at the End of the Year. 
Data sources are based on company data provided by the client. Assumptions listed below are based on information provided in the client summary. </t>
  </si>
  <si>
    <t>ANALYZING THE DATA: As we already know, revenues are down 10% Year over Year. As a result, Cost of goods sold will also drop. These trends are represented in the first graph below. With a drop in sales, we see a corresponding increase in wastage, as well as a small impact of In store Inventory on Hand at the end of the year. The effect of both these trends results in an overall drop in profitability as represented in the last graph below.
THE GOAL OF THE BUSINESS PROCESS CHANGE reccomended is to reverse the downward trend of the Annual Revenues, as well as the upward trend in wastage.</t>
  </si>
  <si>
    <t>Wastage %</t>
  </si>
  <si>
    <t>Inventory on Harnd (at EOY)</t>
  </si>
  <si>
    <t>  ( B * F )  </t>
  </si>
  <si>
    <t> ( B * E ) </t>
  </si>
  <si>
    <t>( C * E )</t>
  </si>
  <si>
    <t>Notes</t>
  </si>
  <si>
    <t>The data below represents a more detailed view of the Overview shared in the first tab. Here, the same drivers (revenue, COGS, wastage and IOH) are represented by Product.
Data is represented as an average of the aggregated totals of the last 4 years of customer data.</t>
  </si>
  <si>
    <t>ANALYSIS: The profitability for the 2 flavors and 2 toppings listed above allow us to drive the following conclusions.
1) Flavor1 and Topping1 are the least profitable items due to maximum wastage totalling $12k. 2) Topping2 is the best performer, but with 1% wastage. This indicates the possibility that stores are running out of Topping2. Revenues could be increased here by increasing deliveries. 3) Flavor2 appears to be performing well. Improvements would require further analysis.</t>
  </si>
  <si>
    <t>Top performer</t>
  </si>
  <si>
    <t>Product is running at a loss</t>
  </si>
  <si>
    <t>Adequate performer</t>
  </si>
  <si>
    <t>Adjusted for increased revenues of previously unavailble items</t>
  </si>
  <si>
    <t>Adusted for decreased deliveries of previous wastage</t>
  </si>
  <si>
    <t>Increased due to drops in shortage</t>
  </si>
  <si>
    <t>Follows Revenue patterns</t>
  </si>
  <si>
    <t>Follows wastage patterns</t>
  </si>
  <si>
    <t>Decreased due to adjustments in deliveries</t>
  </si>
  <si>
    <t>Projectiing a $34K increase in profitability</t>
  </si>
  <si>
    <t>Year 5 (w/ change)</t>
  </si>
  <si>
    <t>Year 5 
(w/o change)</t>
  </si>
  <si>
    <t>The increase in profitability can be measured based on the metrics represented in the 'Change Analysis' and 'Overivew_Proposed State' tabs.</t>
  </si>
  <si>
    <t>Year over Year Analysis (PROPOSED STATE)</t>
  </si>
  <si>
    <t>( G - (H + I + J )</t>
  </si>
  <si>
    <t>Maximum wastage but still profitable</t>
  </si>
  <si>
    <t>SUGGESTED BUSINESS PROCESS CHANGE 
1) TO REDUCE WASTAGE: Base delivery reforecasts on Items SOLD rather than Items delivered. 
ACTION - Decrease/Reset # of items to be delivered for products with a Wastage % &gt;20% to a 5% safety stock buffer. This should reduce wastage for Flavor1 and Topping1. 
2) TO INCREASE REVENUES: Base delivery reforecasts on Items SOLD rather than Items delivered. Increases in Sales can be assumed due to the fact that the number of customers has remained flat.
ACTION - Increase/Reset # of items to be sold for products with a &lt;10% wastage in prior years to a 10% safety stock buffer. This should eliminate the possibility of losing revenues due to unavailability of flavors. As in the case of Topping2.
As a result all items should have a minimum of a 5% safety stock buffer, with high performers at a 10% buffer. (More analysis can refine the % value of the safety stock buffer.)</t>
  </si>
  <si>
    <t>The table below represents the Year over Year performance of the Happy Hat company over the last 4 years as rseen in the first tab.
Also included is a view of Year 5 with: i)  a projection of the 5th year if NO business process changes are made and ii) a projection of the 5th year with the business process changes illustrated earlier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</si>
</sst>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_([$$-409]* #,##0.00_);_([$$-409]* \(#,##0.00\);_([$$-409]* &quot;-&quot;??_);_(@_)"/>
    <numFmt numFmtId="165" formatCode="_([$$-409]* #,##0_);_([$$-409]* \(#,##0\);_([$$-409]* &quot;-&quot;??_);_(@_)"/>
    <numFmt numFmtId="166" formatCode="_(* #,##0_);_(* \(#,##0\);_(* &quot;-&quot;??_);_(@_)"/>
    <numFmt numFmtId="168" formatCode="_-* #,##0_-;\-* #,##0_-;_-* &quot;-&quot;??_-;_-@_-"/>
    <numFmt numFmtId="169" formatCode="_-&quot;$&quot;* #,##0_-;\-&quot;$&quot;* #,##0_-;_-&quot;$&quot;* &quot;-&quot;??_-;_-@_-"/>
    <numFmt numFmtId="170" formatCode="[$-409]mmmm\ d\,\ yyyy;@"/>
  </numFmts>
  <fonts count="39" x14ac:knownFonts="1">
    <font>
      <sz val="11"/>
      <color theme="1"/>
      <name val="Calibri"/>
      <family val="2"/>
      <scheme val="minor"/>
    </font>
    <font>
      <b/>
      <sz val="11"/>
      <color rgb="FFFFFFFF"/>
      <name val="Calibri"/>
      <family val="2"/>
      <scheme val="minor"/>
    </font>
    <font>
      <i/>
      <sz val="11"/>
      <color theme="1"/>
      <name val="Calibri"/>
      <family val="2"/>
      <scheme val="minor"/>
    </font>
    <font>
      <b/>
      <sz val="10"/>
      <color rgb="FFFFFFFF"/>
      <name val="Calibri"/>
      <family val="2"/>
      <scheme val="minor"/>
    </font>
    <font>
      <sz val="10"/>
      <color theme="1"/>
      <name val="Calibri"/>
      <family val="2"/>
      <scheme val="minor"/>
    </font>
    <font>
      <sz val="10"/>
      <color rgb="FFFFFFFF"/>
      <name val="Calibri"/>
      <family val="2"/>
      <scheme val="minor"/>
    </font>
    <font>
      <b/>
      <sz val="10"/>
      <color theme="1"/>
      <name val="Calibri"/>
      <family val="2"/>
      <scheme val="minor"/>
    </font>
    <font>
      <i/>
      <sz val="10"/>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11"/>
      <color theme="0"/>
      <name val="Calibri"/>
      <scheme val="minor"/>
    </font>
    <font>
      <sz val="11"/>
      <name val="Calibri"/>
      <scheme val="minor"/>
    </font>
    <font>
      <i/>
      <sz val="11"/>
      <name val="Calibri"/>
      <scheme val="minor"/>
    </font>
    <font>
      <sz val="10"/>
      <color theme="0"/>
      <name val="Calibri"/>
      <scheme val="minor"/>
    </font>
    <font>
      <b/>
      <sz val="10"/>
      <color theme="0"/>
      <name val="Calibri"/>
      <scheme val="minor"/>
    </font>
    <font>
      <b/>
      <sz val="14"/>
      <color rgb="FFFFFFFF"/>
      <name val="Calibri"/>
      <scheme val="minor"/>
    </font>
    <font>
      <b/>
      <sz val="14"/>
      <color theme="0"/>
      <name val="Calibri"/>
      <scheme val="minor"/>
    </font>
    <font>
      <sz val="10"/>
      <color theme="0"/>
      <name val="Calibri"/>
    </font>
    <font>
      <sz val="10"/>
      <color theme="1"/>
      <name val="Calibri"/>
    </font>
    <font>
      <sz val="10"/>
      <color rgb="FF800000"/>
      <name val="Calibri"/>
    </font>
    <font>
      <i/>
      <sz val="10"/>
      <name val="Calibri"/>
    </font>
    <font>
      <b/>
      <sz val="10"/>
      <color theme="0"/>
      <name val="Calibri"/>
    </font>
    <font>
      <b/>
      <sz val="10"/>
      <color theme="1"/>
      <name val="Calibri"/>
    </font>
    <font>
      <sz val="10"/>
      <color rgb="FFFFFFFF"/>
      <name val="Calibri"/>
    </font>
    <font>
      <b/>
      <sz val="10"/>
      <color rgb="FF800000"/>
      <name val="Calibri"/>
    </font>
    <font>
      <i/>
      <sz val="10"/>
      <color theme="1"/>
      <name val="Calibri"/>
    </font>
    <font>
      <i/>
      <sz val="10"/>
      <color rgb="FF800000"/>
      <name val="Calibri"/>
    </font>
    <font>
      <sz val="14"/>
      <color theme="0"/>
      <name val="Calibri"/>
    </font>
    <font>
      <sz val="14"/>
      <color theme="1"/>
      <name val="Calibri"/>
    </font>
    <font>
      <sz val="14"/>
      <color rgb="FF800000"/>
      <name val="Calibri"/>
    </font>
    <font>
      <sz val="8"/>
      <name val="Calibri"/>
      <family val="2"/>
      <scheme val="minor"/>
    </font>
    <font>
      <b/>
      <sz val="10"/>
      <name val="Calibri"/>
    </font>
    <font>
      <sz val="10"/>
      <name val="Calibri"/>
    </font>
    <font>
      <b/>
      <sz val="10"/>
      <name val="Calibri"/>
      <scheme val="minor"/>
    </font>
    <font>
      <b/>
      <sz val="10"/>
      <color rgb="FF0000FF"/>
      <name val="Calibri"/>
      <scheme val="minor"/>
    </font>
    <font>
      <sz val="12"/>
      <color rgb="FFFFFFFF"/>
      <name val="Calibri"/>
      <scheme val="minor"/>
    </font>
    <font>
      <b/>
      <i/>
      <sz val="10"/>
      <color rgb="FF800000"/>
      <name val="Calibri"/>
      <scheme val="minor"/>
    </font>
  </fonts>
  <fills count="17">
    <fill>
      <patternFill patternType="none"/>
    </fill>
    <fill>
      <patternFill patternType="gray125"/>
    </fill>
    <fill>
      <patternFill patternType="solid">
        <fgColor rgb="FFFFFF00"/>
        <bgColor indexed="64"/>
      </patternFill>
    </fill>
    <fill>
      <patternFill patternType="solid">
        <fgColor rgb="FF7F7F7F"/>
        <bgColor indexed="64"/>
      </patternFill>
    </fill>
    <fill>
      <patternFill patternType="solid">
        <fgColor rgb="FFEBF1DD"/>
        <bgColor indexed="64"/>
      </patternFill>
    </fill>
    <fill>
      <patternFill patternType="solid">
        <fgColor rgb="FF000000"/>
        <bgColor indexed="64"/>
      </patternFill>
    </fill>
    <fill>
      <patternFill patternType="solid">
        <fgColor rgb="FFDBE5F1"/>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800000"/>
        <bgColor indexed="64"/>
      </patternFill>
    </fill>
    <fill>
      <patternFill patternType="solid">
        <fgColor rgb="FF008000"/>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s>
  <cellStyleXfs count="132">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90">
    <xf numFmtId="0" fontId="0" fillId="0" borderId="0" xfId="0"/>
    <xf numFmtId="164" fontId="0" fillId="0" borderId="0" xfId="0" applyNumberFormat="1"/>
    <xf numFmtId="0" fontId="0" fillId="0" borderId="0" xfId="0" applyAlignment="1">
      <alignment horizontal="left" vertical="top" wrapText="1"/>
    </xf>
    <xf numFmtId="0" fontId="2" fillId="0" borderId="0" xfId="0" applyFont="1"/>
    <xf numFmtId="0" fontId="4" fillId="0" borderId="0" xfId="0" applyFont="1" applyBorder="1" applyAlignment="1">
      <alignment horizontal="center" wrapText="1"/>
    </xf>
    <xf numFmtId="165" fontId="4" fillId="0" borderId="0" xfId="0" applyNumberFormat="1" applyFont="1" applyFill="1" applyBorder="1"/>
    <xf numFmtId="0" fontId="4" fillId="0" borderId="0" xfId="0" applyFont="1" applyBorder="1"/>
    <xf numFmtId="166" fontId="4" fillId="0" borderId="0" xfId="0" applyNumberFormat="1" applyFont="1" applyBorder="1"/>
    <xf numFmtId="165" fontId="4" fillId="0" borderId="0" xfId="0" applyNumberFormat="1" applyFont="1" applyBorder="1"/>
    <xf numFmtId="0" fontId="4" fillId="0" borderId="0" xfId="0" applyFont="1" applyFill="1" applyBorder="1"/>
    <xf numFmtId="166" fontId="4" fillId="0" borderId="0" xfId="0" applyNumberFormat="1" applyFont="1" applyFill="1" applyBorder="1"/>
    <xf numFmtId="165" fontId="4" fillId="0" borderId="0" xfId="0" applyNumberFormat="1" applyFont="1" applyFill="1" applyBorder="1" applyAlignment="1">
      <alignment horizontal="center" wrapText="1"/>
    </xf>
    <xf numFmtId="0" fontId="0" fillId="9" borderId="0" xfId="0" applyFill="1"/>
    <xf numFmtId="164" fontId="0" fillId="9" borderId="0" xfId="0" applyNumberFormat="1" applyFill="1"/>
    <xf numFmtId="0" fontId="11" fillId="9" borderId="0" xfId="0" applyFont="1" applyFill="1"/>
    <xf numFmtId="0" fontId="11" fillId="9" borderId="0" xfId="0" applyFont="1" applyFill="1" applyAlignment="1">
      <alignment horizontal="left"/>
    </xf>
    <xf numFmtId="170" fontId="0" fillId="0" borderId="0" xfId="0" applyNumberFormat="1"/>
    <xf numFmtId="168" fontId="0" fillId="0" borderId="0" xfId="1" applyNumberFormat="1" applyFont="1"/>
    <xf numFmtId="0" fontId="14" fillId="10" borderId="0" xfId="0" applyFont="1" applyFill="1"/>
    <xf numFmtId="170" fontId="14" fillId="10" borderId="0" xfId="0" applyNumberFormat="1" applyFont="1" applyFill="1"/>
    <xf numFmtId="0" fontId="0" fillId="0" borderId="0" xfId="0" applyAlignment="1">
      <alignment horizontal="left" vertical="top"/>
    </xf>
    <xf numFmtId="0" fontId="11" fillId="9" borderId="0" xfId="0" applyFont="1" applyFill="1" applyAlignment="1">
      <alignment horizontal="left" vertical="top"/>
    </xf>
    <xf numFmtId="168" fontId="11" fillId="9" borderId="0" xfId="1" applyNumberFormat="1" applyFont="1" applyFill="1" applyAlignment="1">
      <alignment horizontal="left" vertical="top" wrapText="1"/>
    </xf>
    <xf numFmtId="170" fontId="11" fillId="9" borderId="0" xfId="0" applyNumberFormat="1" applyFont="1" applyFill="1" applyAlignment="1">
      <alignment horizontal="left" vertical="top" wrapText="1"/>
    </xf>
    <xf numFmtId="0" fontId="11" fillId="9" borderId="0" xfId="0" applyFont="1" applyFill="1" applyAlignment="1">
      <alignment horizontal="left" vertical="top" wrapText="1"/>
    </xf>
    <xf numFmtId="0" fontId="0" fillId="0" borderId="0" xfId="0" applyFont="1" applyAlignment="1">
      <alignment horizontal="left" vertical="top"/>
    </xf>
    <xf numFmtId="0" fontId="13" fillId="10" borderId="0" xfId="0" applyFont="1" applyFill="1" applyAlignment="1">
      <alignment horizontal="left" vertical="top"/>
    </xf>
    <xf numFmtId="0" fontId="0" fillId="0" borderId="0" xfId="1" applyNumberFormat="1" applyFont="1"/>
    <xf numFmtId="169" fontId="0" fillId="0" borderId="0" xfId="2" applyNumberFormat="1" applyFont="1"/>
    <xf numFmtId="0" fontId="1" fillId="0" borderId="0" xfId="0" applyFont="1" applyFill="1"/>
    <xf numFmtId="0" fontId="18" fillId="8" borderId="0" xfId="0" applyFont="1" applyFill="1"/>
    <xf numFmtId="164" fontId="18" fillId="8" borderId="0" xfId="0" applyNumberFormat="1" applyFont="1" applyFill="1"/>
    <xf numFmtId="0" fontId="0" fillId="0" borderId="8" xfId="0" applyBorder="1"/>
    <xf numFmtId="164" fontId="0" fillId="0" borderId="8" xfId="0" applyNumberFormat="1" applyBorder="1"/>
    <xf numFmtId="0" fontId="17" fillId="0" borderId="0" xfId="0" applyFont="1" applyFill="1"/>
    <xf numFmtId="43" fontId="17" fillId="0" borderId="0" xfId="1" applyFont="1" applyFill="1"/>
    <xf numFmtId="0" fontId="0" fillId="0" borderId="9" xfId="0" applyBorder="1"/>
    <xf numFmtId="168" fontId="0" fillId="0" borderId="9" xfId="1" applyNumberFormat="1" applyFont="1" applyBorder="1"/>
    <xf numFmtId="170" fontId="0" fillId="0" borderId="9" xfId="0" applyNumberFormat="1" applyBorder="1"/>
    <xf numFmtId="0" fontId="0" fillId="0" borderId="9" xfId="1" applyNumberFormat="1" applyFont="1" applyBorder="1"/>
    <xf numFmtId="0" fontId="20" fillId="0" borderId="0" xfId="0" applyFont="1"/>
    <xf numFmtId="169" fontId="21" fillId="0" borderId="0" xfId="2" applyNumberFormat="1" applyFont="1" applyFill="1"/>
    <xf numFmtId="0" fontId="20" fillId="0" borderId="0" xfId="0" applyFont="1" applyFill="1"/>
    <xf numFmtId="0" fontId="20" fillId="0" borderId="0" xfId="0" applyFont="1" applyFill="1" applyAlignment="1">
      <alignment vertical="top" wrapText="1"/>
    </xf>
    <xf numFmtId="0" fontId="20" fillId="0" borderId="0" xfId="0" applyFont="1" applyAlignment="1">
      <alignment vertical="top" wrapText="1"/>
    </xf>
    <xf numFmtId="169" fontId="21" fillId="0" borderId="0" xfId="2" applyNumberFormat="1" applyFont="1" applyFill="1" applyAlignment="1">
      <alignment vertical="top" wrapText="1"/>
    </xf>
    <xf numFmtId="0" fontId="20" fillId="0" borderId="0" xfId="0" applyFont="1" applyFill="1" applyAlignment="1">
      <alignment horizontal="center" vertical="top" wrapText="1"/>
    </xf>
    <xf numFmtId="0" fontId="20" fillId="0" borderId="0" xfId="0" applyFont="1" applyAlignment="1">
      <alignment horizontal="center" vertical="top" wrapText="1"/>
    </xf>
    <xf numFmtId="164" fontId="24" fillId="7" borderId="0" xfId="0" applyNumberFormat="1" applyFont="1" applyFill="1" applyAlignment="1">
      <alignment horizontal="center" vertical="top" wrapText="1"/>
    </xf>
    <xf numFmtId="0" fontId="24" fillId="7" borderId="0" xfId="0" applyFont="1" applyFill="1" applyAlignment="1">
      <alignment horizontal="left" vertical="top" wrapText="1"/>
    </xf>
    <xf numFmtId="0" fontId="24" fillId="7" borderId="0" xfId="0" applyFont="1" applyFill="1" applyAlignment="1">
      <alignment horizontal="center" vertical="top" wrapText="1"/>
    </xf>
    <xf numFmtId="169" fontId="21" fillId="0" borderId="0" xfId="2" applyNumberFormat="1" applyFont="1" applyFill="1" applyAlignment="1">
      <alignment horizontal="center" vertical="top" wrapText="1"/>
    </xf>
    <xf numFmtId="0" fontId="24" fillId="0" borderId="0" xfId="0" applyFont="1" applyFill="1" applyAlignment="1">
      <alignment horizontal="center"/>
    </xf>
    <xf numFmtId="164" fontId="20" fillId="0" borderId="0" xfId="0" applyNumberFormat="1" applyFont="1"/>
    <xf numFmtId="0" fontId="20" fillId="0" borderId="0" xfId="0" applyFont="1" applyAlignment="1">
      <alignment horizontal="center"/>
    </xf>
    <xf numFmtId="0" fontId="24" fillId="0" borderId="0" xfId="0" applyFont="1" applyAlignment="1">
      <alignment horizontal="center"/>
    </xf>
    <xf numFmtId="166" fontId="20" fillId="0" borderId="0" xfId="0" applyNumberFormat="1" applyFont="1" applyFill="1"/>
    <xf numFmtId="166" fontId="19" fillId="8" borderId="0" xfId="0" applyNumberFormat="1" applyFont="1" applyFill="1" applyAlignment="1">
      <alignment horizontal="center"/>
    </xf>
    <xf numFmtId="166" fontId="23" fillId="8" borderId="8" xfId="0" applyNumberFormat="1" applyFont="1" applyFill="1" applyBorder="1" applyAlignment="1">
      <alignment horizontal="center"/>
    </xf>
    <xf numFmtId="0" fontId="19" fillId="8" borderId="0" xfId="0" applyFont="1" applyFill="1" applyAlignment="1">
      <alignment horizontal="center"/>
    </xf>
    <xf numFmtId="0" fontId="20" fillId="6" borderId="0" xfId="0" applyFont="1" applyFill="1"/>
    <xf numFmtId="169" fontId="20" fillId="6" borderId="0" xfId="2" applyNumberFormat="1" applyFont="1" applyFill="1"/>
    <xf numFmtId="0" fontId="20" fillId="2" borderId="0" xfId="0" applyFont="1" applyFill="1"/>
    <xf numFmtId="169" fontId="20" fillId="2" borderId="0" xfId="2" applyNumberFormat="1" applyFont="1" applyFill="1"/>
    <xf numFmtId="169" fontId="25" fillId="5" borderId="0" xfId="2" applyNumberFormat="1" applyFont="1" applyFill="1"/>
    <xf numFmtId="0" fontId="20" fillId="9" borderId="0" xfId="0" applyFont="1" applyFill="1"/>
    <xf numFmtId="164" fontId="20" fillId="9" borderId="0" xfId="0" applyNumberFormat="1" applyFont="1" applyFill="1"/>
    <xf numFmtId="0" fontId="20" fillId="9" borderId="0" xfId="0" quotePrefix="1" applyFont="1" applyFill="1"/>
    <xf numFmtId="0" fontId="20" fillId="9" borderId="0" xfId="0" applyFont="1" applyFill="1" applyAlignment="1">
      <alignment horizontal="center"/>
    </xf>
    <xf numFmtId="169" fontId="26" fillId="0" borderId="0" xfId="2" applyNumberFormat="1" applyFont="1" applyFill="1" applyAlignment="1"/>
    <xf numFmtId="0" fontId="27" fillId="0" borderId="0" xfId="0" applyFont="1" applyFill="1"/>
    <xf numFmtId="0" fontId="27" fillId="0" borderId="0" xfId="0" applyFont="1"/>
    <xf numFmtId="0" fontId="27" fillId="0" borderId="0" xfId="0" applyFont="1" applyAlignment="1">
      <alignment horizontal="center" vertical="top" wrapText="1"/>
    </xf>
    <xf numFmtId="164" fontId="27" fillId="0" borderId="0" xfId="0" applyNumberFormat="1" applyFont="1"/>
    <xf numFmtId="0" fontId="27" fillId="0" borderId="0" xfId="0" applyFont="1" applyAlignment="1">
      <alignment horizontal="center"/>
    </xf>
    <xf numFmtId="169" fontId="28" fillId="0" borderId="0" xfId="2" applyNumberFormat="1" applyFont="1" applyFill="1"/>
    <xf numFmtId="0" fontId="30" fillId="0" borderId="0" xfId="0" applyFont="1"/>
    <xf numFmtId="169" fontId="31" fillId="0" borderId="0" xfId="2" applyNumberFormat="1" applyFont="1" applyFill="1"/>
    <xf numFmtId="0" fontId="24" fillId="0" borderId="0" xfId="0" applyFont="1"/>
    <xf numFmtId="0" fontId="6" fillId="0" borderId="0" xfId="0" applyFont="1" applyBorder="1" applyAlignment="1">
      <alignment horizontal="center" vertical="top" wrapText="1"/>
    </xf>
    <xf numFmtId="165" fontId="6" fillId="0" borderId="0" xfId="0" applyNumberFormat="1" applyFont="1" applyFill="1" applyBorder="1" applyAlignment="1">
      <alignment horizontal="center" vertical="top" wrapText="1"/>
    </xf>
    <xf numFmtId="0" fontId="4" fillId="0" borderId="0" xfId="0" applyFont="1" applyBorder="1" applyAlignment="1">
      <alignment horizontal="center"/>
    </xf>
    <xf numFmtId="165" fontId="4" fillId="0" borderId="0" xfId="0" applyNumberFormat="1" applyFont="1" applyFill="1" applyBorder="1" applyAlignment="1">
      <alignment horizontal="center"/>
    </xf>
    <xf numFmtId="166" fontId="20" fillId="9" borderId="0" xfId="0" applyNumberFormat="1" applyFont="1" applyFill="1"/>
    <xf numFmtId="166" fontId="20" fillId="9" borderId="0" xfId="0" applyNumberFormat="1" applyFont="1" applyFill="1" applyAlignment="1">
      <alignment horizontal="center"/>
    </xf>
    <xf numFmtId="0" fontId="20" fillId="11" borderId="0" xfId="0" applyFont="1" applyFill="1"/>
    <xf numFmtId="169" fontId="20" fillId="11" borderId="0" xfId="2" applyNumberFormat="1" applyFont="1" applyFill="1"/>
    <xf numFmtId="0" fontId="20" fillId="11" borderId="0" xfId="0" applyFont="1" applyFill="1" applyAlignment="1">
      <alignment horizontal="center"/>
    </xf>
    <xf numFmtId="0" fontId="20" fillId="12" borderId="0" xfId="0" applyFont="1" applyFill="1"/>
    <xf numFmtId="169" fontId="20" fillId="12" borderId="0" xfId="2" applyNumberFormat="1" applyFont="1" applyFill="1"/>
    <xf numFmtId="0" fontId="20" fillId="12" borderId="0" xfId="0" applyFont="1" applyFill="1" applyAlignment="1">
      <alignment horizontal="center"/>
    </xf>
    <xf numFmtId="0" fontId="20" fillId="14" borderId="0" xfId="0" applyFont="1" applyFill="1"/>
    <xf numFmtId="169" fontId="25" fillId="14" borderId="0" xfId="2" applyNumberFormat="1" applyFont="1" applyFill="1"/>
    <xf numFmtId="0" fontId="20" fillId="14" borderId="0" xfId="0" applyFont="1" applyFill="1" applyAlignment="1">
      <alignment horizontal="center"/>
    </xf>
    <xf numFmtId="166" fontId="24" fillId="9" borderId="0" xfId="0" applyNumberFormat="1" applyFont="1" applyFill="1"/>
    <xf numFmtId="0" fontId="24" fillId="11" borderId="0" xfId="0" applyFont="1" applyFill="1"/>
    <xf numFmtId="0" fontId="24" fillId="12" borderId="0" xfId="0" applyFont="1" applyFill="1"/>
    <xf numFmtId="0" fontId="23" fillId="14" borderId="0" xfId="0" applyFont="1" applyFill="1"/>
    <xf numFmtId="0" fontId="19" fillId="14" borderId="0" xfId="0" quotePrefix="1" applyFont="1" applyFill="1"/>
    <xf numFmtId="0" fontId="29" fillId="8" borderId="0" xfId="0" applyFont="1" applyFill="1" applyAlignment="1">
      <alignment horizontal="left"/>
    </xf>
    <xf numFmtId="164" fontId="19" fillId="8" borderId="10" xfId="0" applyNumberFormat="1" applyFont="1" applyFill="1" applyBorder="1" applyAlignment="1">
      <alignment horizontal="center" vertical="top" wrapText="1"/>
    </xf>
    <xf numFmtId="0" fontId="23" fillId="8" borderId="11" xfId="0" applyFont="1" applyFill="1" applyBorder="1" applyAlignment="1">
      <alignment horizontal="center" vertical="top"/>
    </xf>
    <xf numFmtId="0" fontId="23" fillId="8" borderId="12" xfId="0" applyFont="1" applyFill="1" applyBorder="1" applyAlignment="1">
      <alignment horizontal="center" vertical="top"/>
    </xf>
    <xf numFmtId="0" fontId="22" fillId="7" borderId="0" xfId="0" applyFont="1" applyFill="1" applyAlignment="1">
      <alignment horizontal="left" vertical="center" wrapText="1"/>
    </xf>
    <xf numFmtId="0" fontId="22" fillId="7" borderId="0" xfId="0" applyFont="1" applyFill="1" applyAlignment="1">
      <alignment horizontal="left" vertical="top" wrapText="1"/>
    </xf>
    <xf numFmtId="0" fontId="18" fillId="8" borderId="0" xfId="0" applyFont="1" applyFill="1" applyAlignment="1">
      <alignment horizontal="left"/>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5" xfId="0" applyFont="1" applyFill="1" applyBorder="1" applyAlignment="1">
      <alignment horizontal="left" vertical="top" wrapText="1"/>
    </xf>
    <xf numFmtId="0" fontId="14" fillId="7" borderId="6" xfId="0" applyFont="1" applyFill="1" applyBorder="1" applyAlignment="1">
      <alignment horizontal="left" vertical="top" wrapText="1"/>
    </xf>
    <xf numFmtId="0" fontId="14" fillId="7" borderId="7" xfId="0" applyFont="1" applyFill="1" applyBorder="1" applyAlignment="1">
      <alignment horizontal="left" vertical="top" wrapText="1"/>
    </xf>
    <xf numFmtId="0" fontId="14" fillId="7" borderId="4" xfId="0" applyFont="1" applyFill="1" applyBorder="1" applyAlignment="1">
      <alignment horizontal="left" vertical="top" wrapText="1"/>
    </xf>
    <xf numFmtId="0" fontId="14" fillId="7" borderId="0" xfId="0" applyFont="1" applyFill="1" applyBorder="1" applyAlignment="1">
      <alignment horizontal="left" vertical="top" wrapText="1"/>
    </xf>
    <xf numFmtId="0" fontId="17" fillId="8" borderId="0" xfId="0" applyFont="1" applyFill="1" applyAlignment="1">
      <alignment horizontal="left"/>
    </xf>
    <xf numFmtId="166" fontId="4" fillId="9" borderId="10" xfId="0" applyNumberFormat="1" applyFont="1" applyFill="1" applyBorder="1" applyAlignment="1">
      <alignment horizontal="center" wrapText="1"/>
    </xf>
    <xf numFmtId="166" fontId="4" fillId="9" borderId="10" xfId="0" applyNumberFormat="1" applyFont="1" applyFill="1" applyBorder="1" applyAlignment="1">
      <alignment horizontal="center"/>
    </xf>
    <xf numFmtId="166" fontId="6" fillId="9" borderId="10" xfId="0" applyNumberFormat="1" applyFont="1" applyFill="1" applyBorder="1" applyAlignment="1">
      <alignment horizontal="center" vertical="top" wrapText="1"/>
    </xf>
    <xf numFmtId="166" fontId="4" fillId="9" borderId="10" xfId="0" applyNumberFormat="1" applyFont="1" applyFill="1" applyBorder="1" applyAlignment="1">
      <alignment horizontal="right"/>
    </xf>
    <xf numFmtId="166" fontId="5" fillId="5" borderId="10" xfId="0" applyNumberFormat="1" applyFont="1" applyFill="1" applyBorder="1" applyAlignment="1">
      <alignment horizontal="right"/>
    </xf>
    <xf numFmtId="9" fontId="4" fillId="9" borderId="10" xfId="3" applyFont="1" applyFill="1" applyBorder="1" applyAlignment="1">
      <alignment horizontal="right"/>
    </xf>
    <xf numFmtId="9" fontId="5" fillId="5" borderId="10" xfId="3" applyFont="1" applyFill="1" applyBorder="1" applyAlignment="1">
      <alignment horizontal="right"/>
    </xf>
    <xf numFmtId="0" fontId="18" fillId="8" borderId="0" xfId="0" applyFont="1" applyFill="1" applyBorder="1" applyAlignment="1">
      <alignment horizontal="left"/>
    </xf>
    <xf numFmtId="0" fontId="17" fillId="0" borderId="0" xfId="0" applyFont="1" applyFill="1" applyBorder="1"/>
    <xf numFmtId="0" fontId="7" fillId="7" borderId="0" xfId="0" applyFont="1" applyFill="1" applyBorder="1" applyAlignment="1">
      <alignment horizontal="left" vertical="top"/>
    </xf>
    <xf numFmtId="166" fontId="4" fillId="0" borderId="0" xfId="0" applyNumberFormat="1" applyFont="1" applyBorder="1" applyAlignment="1">
      <alignment horizontal="right"/>
    </xf>
    <xf numFmtId="0" fontId="6" fillId="0" borderId="0" xfId="0" applyFont="1" applyFill="1" applyBorder="1" applyAlignment="1">
      <alignment wrapText="1"/>
    </xf>
    <xf numFmtId="166" fontId="5" fillId="3" borderId="0" xfId="0" applyNumberFormat="1" applyFont="1" applyFill="1" applyBorder="1" applyAlignment="1">
      <alignment horizontal="right"/>
    </xf>
    <xf numFmtId="166" fontId="5" fillId="3" borderId="0" xfId="0" applyNumberFormat="1" applyFont="1" applyFill="1" applyBorder="1"/>
    <xf numFmtId="165" fontId="3" fillId="3" borderId="0" xfId="0" applyNumberFormat="1" applyFont="1" applyFill="1" applyBorder="1"/>
    <xf numFmtId="165" fontId="4" fillId="3" borderId="0" xfId="0" applyNumberFormat="1" applyFont="1" applyFill="1" applyBorder="1"/>
    <xf numFmtId="165" fontId="5" fillId="3" borderId="0" xfId="0" applyNumberFormat="1" applyFont="1" applyFill="1" applyBorder="1"/>
    <xf numFmtId="0" fontId="4" fillId="0" borderId="0" xfId="0" applyFont="1" applyBorder="1" applyAlignment="1"/>
    <xf numFmtId="0" fontId="7" fillId="0" borderId="0" xfId="0" applyFont="1" applyBorder="1"/>
    <xf numFmtId="43" fontId="4"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9" fontId="4" fillId="0" borderId="0" xfId="3" applyFont="1" applyFill="1" applyBorder="1"/>
    <xf numFmtId="166" fontId="4" fillId="0" borderId="0" xfId="0" applyNumberFormat="1" applyFont="1" applyFill="1" applyBorder="1" applyAlignment="1">
      <alignment horizontal="left"/>
    </xf>
    <xf numFmtId="0" fontId="16" fillId="8" borderId="0" xfId="0" applyFont="1" applyFill="1" applyBorder="1" applyAlignment="1">
      <alignment horizontal="left"/>
    </xf>
    <xf numFmtId="166" fontId="6" fillId="0" borderId="10" xfId="0" applyNumberFormat="1" applyFont="1" applyFill="1" applyBorder="1" applyAlignment="1">
      <alignment horizontal="center" vertical="top" wrapText="1"/>
    </xf>
    <xf numFmtId="166" fontId="4" fillId="0" borderId="10" xfId="0" applyNumberFormat="1" applyFont="1" applyFill="1" applyBorder="1"/>
    <xf numFmtId="166" fontId="4" fillId="0" borderId="10" xfId="0" applyNumberFormat="1" applyFont="1" applyFill="1" applyBorder="1" applyAlignment="1">
      <alignment horizontal="center" wrapText="1"/>
    </xf>
    <xf numFmtId="166" fontId="4" fillId="0" borderId="10" xfId="0" applyNumberFormat="1" applyFont="1" applyFill="1" applyBorder="1" applyAlignment="1">
      <alignment horizontal="center"/>
    </xf>
    <xf numFmtId="166" fontId="4" fillId="9" borderId="13" xfId="0" applyNumberFormat="1" applyFont="1" applyFill="1" applyBorder="1" applyAlignment="1">
      <alignment horizontal="right"/>
    </xf>
    <xf numFmtId="0" fontId="4" fillId="0" borderId="9" xfId="0" applyFont="1" applyBorder="1"/>
    <xf numFmtId="166" fontId="3" fillId="3" borderId="0" xfId="0" applyNumberFormat="1" applyFont="1" applyFill="1" applyBorder="1" applyAlignment="1">
      <alignment horizontal="left"/>
    </xf>
    <xf numFmtId="0" fontId="7" fillId="7" borderId="0" xfId="0" applyFont="1" applyFill="1" applyBorder="1" applyAlignment="1">
      <alignment horizontal="left" vertical="top" wrapText="1"/>
    </xf>
    <xf numFmtId="0" fontId="24" fillId="2" borderId="0" xfId="0" applyFont="1" applyFill="1"/>
    <xf numFmtId="0" fontId="20" fillId="2" borderId="0" xfId="0" applyFont="1" applyFill="1" applyAlignment="1">
      <alignment horizontal="center"/>
    </xf>
    <xf numFmtId="0" fontId="33" fillId="13" borderId="0" xfId="0" applyFont="1" applyFill="1"/>
    <xf numFmtId="169" fontId="34" fillId="13" borderId="0" xfId="2" applyNumberFormat="1" applyFont="1" applyFill="1"/>
    <xf numFmtId="0" fontId="34" fillId="13" borderId="0" xfId="0" applyFont="1" applyFill="1"/>
    <xf numFmtId="0" fontId="34" fillId="13" borderId="0" xfId="0" quotePrefix="1" applyFont="1" applyFill="1"/>
    <xf numFmtId="0" fontId="19" fillId="13" borderId="0" xfId="0" applyFont="1" applyFill="1" applyAlignment="1">
      <alignment horizontal="center"/>
    </xf>
    <xf numFmtId="165" fontId="6" fillId="11" borderId="10" xfId="0" applyNumberFormat="1" applyFont="1" applyFill="1" applyBorder="1" applyAlignment="1">
      <alignment horizontal="center" vertical="top" wrapText="1"/>
    </xf>
    <xf numFmtId="165" fontId="6" fillId="12" borderId="10" xfId="0" applyNumberFormat="1" applyFont="1" applyFill="1" applyBorder="1" applyAlignment="1">
      <alignment horizontal="center" vertical="top" wrapText="1"/>
    </xf>
    <xf numFmtId="165" fontId="6" fillId="2" borderId="10" xfId="0" applyNumberFormat="1" applyFont="1" applyFill="1" applyBorder="1" applyAlignment="1">
      <alignment horizontal="center" vertical="top" wrapText="1"/>
    </xf>
    <xf numFmtId="165" fontId="35" fillId="13" borderId="10" xfId="0" applyNumberFormat="1" applyFont="1" applyFill="1" applyBorder="1" applyAlignment="1">
      <alignment horizontal="center" vertical="top" wrapText="1"/>
    </xf>
    <xf numFmtId="165" fontId="4" fillId="11" borderId="10" xfId="0" applyNumberFormat="1" applyFont="1" applyFill="1" applyBorder="1" applyAlignment="1">
      <alignment horizontal="center" wrapText="1"/>
    </xf>
    <xf numFmtId="165" fontId="4" fillId="4" borderId="10" xfId="0" applyNumberFormat="1" applyFont="1" applyFill="1" applyBorder="1" applyAlignment="1">
      <alignment horizontal="center" wrapText="1"/>
    </xf>
    <xf numFmtId="165" fontId="4" fillId="2" borderId="10" xfId="0" applyNumberFormat="1" applyFont="1" applyFill="1" applyBorder="1" applyAlignment="1">
      <alignment horizontal="center" wrapText="1"/>
    </xf>
    <xf numFmtId="165" fontId="4" fillId="13" borderId="10" xfId="0" applyNumberFormat="1" applyFont="1" applyFill="1" applyBorder="1" applyAlignment="1">
      <alignment horizontal="center" wrapText="1"/>
    </xf>
    <xf numFmtId="165" fontId="4" fillId="11" borderId="10" xfId="0" applyNumberFormat="1" applyFont="1" applyFill="1" applyBorder="1" applyAlignment="1">
      <alignment horizontal="center"/>
    </xf>
    <xf numFmtId="165" fontId="4" fillId="4" borderId="10" xfId="0" applyNumberFormat="1" applyFont="1" applyFill="1" applyBorder="1" applyAlignment="1">
      <alignment horizontal="center"/>
    </xf>
    <xf numFmtId="165" fontId="4" fillId="2" borderId="10" xfId="0" applyNumberFormat="1" applyFont="1" applyFill="1" applyBorder="1" applyAlignment="1">
      <alignment horizontal="center"/>
    </xf>
    <xf numFmtId="165" fontId="4" fillId="13" borderId="10" xfId="0" applyNumberFormat="1" applyFont="1" applyFill="1" applyBorder="1" applyAlignment="1">
      <alignment horizontal="center"/>
    </xf>
    <xf numFmtId="165" fontId="16" fillId="14" borderId="10" xfId="0" applyNumberFormat="1" applyFont="1" applyFill="1" applyBorder="1" applyAlignment="1">
      <alignment horizontal="center" vertical="top" wrapText="1"/>
    </xf>
    <xf numFmtId="165" fontId="15" fillId="14" borderId="10" xfId="0" applyNumberFormat="1" applyFont="1" applyFill="1" applyBorder="1" applyAlignment="1">
      <alignment horizontal="center" wrapText="1"/>
    </xf>
    <xf numFmtId="165" fontId="15" fillId="14" borderId="10" xfId="0" applyNumberFormat="1" applyFont="1" applyFill="1" applyBorder="1" applyAlignment="1">
      <alignment horizontal="center"/>
    </xf>
    <xf numFmtId="169" fontId="4" fillId="11" borderId="10" xfId="2" applyNumberFormat="1" applyFont="1" applyFill="1" applyBorder="1" applyAlignment="1">
      <alignment horizontal="right"/>
    </xf>
    <xf numFmtId="169" fontId="4" fillId="4" borderId="10" xfId="2" applyNumberFormat="1" applyFont="1" applyFill="1" applyBorder="1" applyAlignment="1">
      <alignment horizontal="right"/>
    </xf>
    <xf numFmtId="169" fontId="4" fillId="2" borderId="10" xfId="2" applyNumberFormat="1" applyFont="1" applyFill="1" applyBorder="1" applyAlignment="1">
      <alignment horizontal="right"/>
    </xf>
    <xf numFmtId="169" fontId="4" fillId="13" borderId="10" xfId="2" applyNumberFormat="1" applyFont="1" applyFill="1" applyBorder="1" applyAlignment="1">
      <alignment horizontal="right"/>
    </xf>
    <xf numFmtId="169" fontId="4" fillId="0" borderId="0" xfId="2" applyNumberFormat="1" applyFont="1" applyFill="1" applyBorder="1"/>
    <xf numFmtId="169" fontId="15" fillId="14" borderId="10" xfId="2" applyNumberFormat="1" applyFont="1" applyFill="1" applyBorder="1" applyAlignment="1">
      <alignment horizontal="right"/>
    </xf>
    <xf numFmtId="169" fontId="5" fillId="5" borderId="10" xfId="2" applyNumberFormat="1" applyFont="1" applyFill="1" applyBorder="1" applyAlignment="1">
      <alignment horizontal="right"/>
    </xf>
    <xf numFmtId="166" fontId="36" fillId="9" borderId="13" xfId="0" applyNumberFormat="1" applyFont="1" applyFill="1" applyBorder="1" applyAlignment="1">
      <alignment horizontal="right"/>
    </xf>
    <xf numFmtId="166" fontId="36" fillId="9" borderId="10" xfId="0" applyNumberFormat="1" applyFont="1" applyFill="1" applyBorder="1" applyAlignment="1">
      <alignment horizontal="right"/>
    </xf>
    <xf numFmtId="169" fontId="37" fillId="5" borderId="0" xfId="2" applyNumberFormat="1" applyFont="1" applyFill="1" applyBorder="1" applyAlignment="1">
      <alignment horizontal="right"/>
    </xf>
    <xf numFmtId="169" fontId="7" fillId="0" borderId="0" xfId="2" applyNumberFormat="1" applyFont="1" applyFill="1" applyBorder="1"/>
    <xf numFmtId="164" fontId="19" fillId="8" borderId="0" xfId="0" applyNumberFormat="1" applyFont="1" applyFill="1" applyBorder="1" applyAlignment="1">
      <alignment horizontal="center" vertical="top" wrapText="1"/>
    </xf>
    <xf numFmtId="164" fontId="19" fillId="8" borderId="14" xfId="0" applyNumberFormat="1" applyFont="1" applyFill="1" applyBorder="1" applyAlignment="1">
      <alignment horizontal="center" vertical="top" wrapText="1"/>
    </xf>
    <xf numFmtId="164" fontId="19" fillId="8" borderId="0" xfId="0" applyNumberFormat="1" applyFont="1" applyFill="1" applyBorder="1" applyAlignment="1">
      <alignment horizontal="center" vertical="top" wrapText="1"/>
    </xf>
    <xf numFmtId="169" fontId="19" fillId="14" borderId="0" xfId="0" applyNumberFormat="1" applyFont="1" applyFill="1"/>
    <xf numFmtId="164" fontId="20" fillId="0" borderId="0" xfId="0" applyNumberFormat="1" applyFont="1" applyAlignment="1">
      <alignment wrapText="1"/>
    </xf>
    <xf numFmtId="0" fontId="12" fillId="0" borderId="0" xfId="0" applyFont="1" applyAlignment="1">
      <alignment horizontal="left" vertical="top" wrapText="1"/>
    </xf>
    <xf numFmtId="0" fontId="12" fillId="0" borderId="0" xfId="0" applyFont="1"/>
    <xf numFmtId="169" fontId="38" fillId="0" borderId="0" xfId="2" applyNumberFormat="1" applyFont="1" applyFill="1" applyBorder="1"/>
    <xf numFmtId="169" fontId="15" fillId="15" borderId="10" xfId="2" applyNumberFormat="1" applyFont="1" applyFill="1" applyBorder="1" applyAlignment="1">
      <alignment horizontal="right"/>
    </xf>
    <xf numFmtId="169" fontId="15" fillId="16" borderId="10" xfId="2" applyNumberFormat="1" applyFont="1" applyFill="1" applyBorder="1" applyAlignment="1">
      <alignment horizontal="right"/>
    </xf>
  </cellXfs>
  <cellStyles count="132">
    <cellStyle name="Comma" xfId="1" builtinId="3"/>
    <cellStyle name="Currency" xfId="2" builtinId="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Normal" xfId="0" builtinId="0"/>
    <cellStyle name="Percent" xfId="3" builtinId="5"/>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Overview_CurrentState!$C$36:$D$36</c:f>
              <c:strCache>
                <c:ptCount val="1"/>
                <c:pt idx="0">
                  <c:v>Annual Revenue</c:v>
                </c:pt>
              </c:strCache>
            </c:strRef>
          </c:tx>
          <c:spPr>
            <a:solidFill>
              <a:schemeClr val="accent3"/>
            </a:solidFill>
          </c:spPr>
          <c:invertIfNegative val="0"/>
          <c:dLbls>
            <c:delete val="1"/>
          </c:dLbls>
          <c:cat>
            <c:strRef>
              <c:f>Overview_CurrentState!$E$35:$H$35</c:f>
              <c:strCache>
                <c:ptCount val="4"/>
                <c:pt idx="0">
                  <c:v>Year1</c:v>
                </c:pt>
                <c:pt idx="1">
                  <c:v>Year2</c:v>
                </c:pt>
                <c:pt idx="2">
                  <c:v>Year3</c:v>
                </c:pt>
                <c:pt idx="3">
                  <c:v>Year4</c:v>
                </c:pt>
              </c:strCache>
            </c:strRef>
          </c:cat>
          <c:val>
            <c:numRef>
              <c:f>Overview_CurrentState!$E$36:$H$36</c:f>
              <c:numCache>
                <c:formatCode>_-"$"* #,##0_-;\-"$"* #,##0_-;_-"$"* "-"??_-;_-@_-</c:formatCode>
                <c:ptCount val="4"/>
                <c:pt idx="0">
                  <c:v>105800.0</c:v>
                </c:pt>
                <c:pt idx="1">
                  <c:v>95650.0</c:v>
                </c:pt>
                <c:pt idx="2">
                  <c:v>85800.0</c:v>
                </c:pt>
                <c:pt idx="3">
                  <c:v>77990.0</c:v>
                </c:pt>
              </c:numCache>
            </c:numRef>
          </c:val>
        </c:ser>
        <c:ser>
          <c:idx val="1"/>
          <c:order val="1"/>
          <c:tx>
            <c:strRef>
              <c:f>Overview_CurrentState!$C$37:$D$37</c:f>
              <c:strCache>
                <c:ptCount val="1"/>
                <c:pt idx="0">
                  <c:v>Annual COGS</c:v>
                </c:pt>
              </c:strCache>
            </c:strRef>
          </c:tx>
          <c:spPr>
            <a:solidFill>
              <a:srgbClr val="CCFFCC"/>
            </a:solidFill>
          </c:spPr>
          <c:invertIfNegative val="0"/>
          <c:dLbls>
            <c:delete val="1"/>
          </c:dLbls>
          <c:cat>
            <c:strRef>
              <c:f>Overview_CurrentState!$E$35:$H$35</c:f>
              <c:strCache>
                <c:ptCount val="4"/>
                <c:pt idx="0">
                  <c:v>Year1</c:v>
                </c:pt>
                <c:pt idx="1">
                  <c:v>Year2</c:v>
                </c:pt>
                <c:pt idx="2">
                  <c:v>Year3</c:v>
                </c:pt>
                <c:pt idx="3">
                  <c:v>Year4</c:v>
                </c:pt>
              </c:strCache>
            </c:strRef>
          </c:cat>
          <c:val>
            <c:numRef>
              <c:f>Overview_CurrentState!$E$37:$H$37</c:f>
              <c:numCache>
                <c:formatCode>_-"$"* #,##0_-;\-"$"* #,##0_-;_-"$"* "-"??_-;_-@_-</c:formatCode>
                <c:ptCount val="4"/>
                <c:pt idx="0">
                  <c:v>60000.0</c:v>
                </c:pt>
                <c:pt idx="1">
                  <c:v>54000.0</c:v>
                </c:pt>
                <c:pt idx="2">
                  <c:v>48600.0</c:v>
                </c:pt>
                <c:pt idx="3">
                  <c:v>43740.0</c:v>
                </c:pt>
              </c:numCache>
            </c:numRef>
          </c:val>
        </c:ser>
        <c:dLbls>
          <c:showLegendKey val="0"/>
          <c:showVal val="1"/>
          <c:showCatName val="0"/>
          <c:showSerName val="0"/>
          <c:showPercent val="0"/>
          <c:showBubbleSize val="0"/>
        </c:dLbls>
        <c:gapWidth val="75"/>
        <c:axId val="2064519784"/>
        <c:axId val="2064522760"/>
      </c:barChart>
      <c:catAx>
        <c:axId val="2064519784"/>
        <c:scaling>
          <c:orientation val="minMax"/>
        </c:scaling>
        <c:delete val="0"/>
        <c:axPos val="b"/>
        <c:majorTickMark val="none"/>
        <c:minorTickMark val="none"/>
        <c:tickLblPos val="nextTo"/>
        <c:crossAx val="2064522760"/>
        <c:crosses val="autoZero"/>
        <c:auto val="1"/>
        <c:lblAlgn val="ctr"/>
        <c:lblOffset val="100"/>
        <c:noMultiLvlLbl val="0"/>
      </c:catAx>
      <c:valAx>
        <c:axId val="2064522760"/>
        <c:scaling>
          <c:orientation val="minMax"/>
        </c:scaling>
        <c:delete val="0"/>
        <c:axPos val="l"/>
        <c:numFmt formatCode="_-&quot;$&quot;* #,##0_-;\-&quot;$&quot;* #,##0_-;_-&quot;$&quot;* &quot;-&quot;??_-;_-@_-" sourceLinked="1"/>
        <c:majorTickMark val="none"/>
        <c:minorTickMark val="none"/>
        <c:tickLblPos val="nextTo"/>
        <c:crossAx val="206451978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Overview_CurrentState!$C$40:$D$40</c:f>
              <c:strCache>
                <c:ptCount val="1"/>
                <c:pt idx="0">
                  <c:v>Inventory On Hand</c:v>
                </c:pt>
              </c:strCache>
            </c:strRef>
          </c:tx>
          <c:spPr>
            <a:solidFill>
              <a:srgbClr val="FF6600"/>
            </a:solidFill>
          </c:spPr>
          <c:invertIfNegative val="0"/>
          <c:dLbls>
            <c:delete val="1"/>
          </c:dLbls>
          <c:cat>
            <c:strRef>
              <c:f>Overview_CurrentState!$E$35:$H$35</c:f>
              <c:strCache>
                <c:ptCount val="4"/>
                <c:pt idx="0">
                  <c:v>Year1</c:v>
                </c:pt>
                <c:pt idx="1">
                  <c:v>Year2</c:v>
                </c:pt>
                <c:pt idx="2">
                  <c:v>Year3</c:v>
                </c:pt>
                <c:pt idx="3">
                  <c:v>Year4</c:v>
                </c:pt>
              </c:strCache>
            </c:strRef>
          </c:cat>
          <c:val>
            <c:numRef>
              <c:f>Overview_CurrentState!$E$40:$H$40</c:f>
              <c:numCache>
                <c:formatCode>_-"$"* #,##0_-;\-"$"* #,##0_-;_-"$"* "-"??_-;_-@_-</c:formatCode>
                <c:ptCount val="4"/>
                <c:pt idx="0">
                  <c:v>115.3846153846154</c:v>
                </c:pt>
                <c:pt idx="1">
                  <c:v>230.7692307692308</c:v>
                </c:pt>
                <c:pt idx="2">
                  <c:v>334.6153846153846</c:v>
                </c:pt>
                <c:pt idx="3">
                  <c:v>428.0769230769231</c:v>
                </c:pt>
              </c:numCache>
            </c:numRef>
          </c:val>
        </c:ser>
        <c:ser>
          <c:idx val="1"/>
          <c:order val="1"/>
          <c:tx>
            <c:strRef>
              <c:f>Overview_CurrentState!$C$41:$D$41</c:f>
              <c:strCache>
                <c:ptCount val="1"/>
                <c:pt idx="0">
                  <c:v>Wastage</c:v>
                </c:pt>
              </c:strCache>
            </c:strRef>
          </c:tx>
          <c:invertIfNegative val="0"/>
          <c:dLbls>
            <c:delete val="1"/>
          </c:dLbls>
          <c:cat>
            <c:strRef>
              <c:f>Overview_CurrentState!$E$35:$H$35</c:f>
              <c:strCache>
                <c:ptCount val="4"/>
                <c:pt idx="0">
                  <c:v>Year1</c:v>
                </c:pt>
                <c:pt idx="1">
                  <c:v>Year2</c:v>
                </c:pt>
                <c:pt idx="2">
                  <c:v>Year3</c:v>
                </c:pt>
                <c:pt idx="3">
                  <c:v>Year4</c:v>
                </c:pt>
              </c:strCache>
            </c:strRef>
          </c:cat>
          <c:val>
            <c:numRef>
              <c:f>Overview_CurrentState!$E$41:$H$41</c:f>
              <c:numCache>
                <c:formatCode>_-"$"* #,##0_-;\-"$"* #,##0_-;_-"$"* "-"??_-;_-@_-</c:formatCode>
                <c:ptCount val="4"/>
                <c:pt idx="0">
                  <c:v>6000.0</c:v>
                </c:pt>
                <c:pt idx="1">
                  <c:v>12000.0</c:v>
                </c:pt>
                <c:pt idx="2">
                  <c:v>17400.0</c:v>
                </c:pt>
                <c:pt idx="3">
                  <c:v>22260.0</c:v>
                </c:pt>
              </c:numCache>
            </c:numRef>
          </c:val>
        </c:ser>
        <c:dLbls>
          <c:showLegendKey val="0"/>
          <c:showVal val="1"/>
          <c:showCatName val="0"/>
          <c:showSerName val="0"/>
          <c:showPercent val="0"/>
          <c:showBubbleSize val="0"/>
        </c:dLbls>
        <c:gapWidth val="75"/>
        <c:axId val="2065417592"/>
        <c:axId val="2065420568"/>
      </c:barChart>
      <c:catAx>
        <c:axId val="2065417592"/>
        <c:scaling>
          <c:orientation val="minMax"/>
        </c:scaling>
        <c:delete val="0"/>
        <c:axPos val="b"/>
        <c:majorTickMark val="none"/>
        <c:minorTickMark val="none"/>
        <c:tickLblPos val="nextTo"/>
        <c:crossAx val="2065420568"/>
        <c:crosses val="autoZero"/>
        <c:auto val="1"/>
        <c:lblAlgn val="ctr"/>
        <c:lblOffset val="100"/>
        <c:noMultiLvlLbl val="0"/>
      </c:catAx>
      <c:valAx>
        <c:axId val="2065420568"/>
        <c:scaling>
          <c:orientation val="minMax"/>
        </c:scaling>
        <c:delete val="0"/>
        <c:axPos val="l"/>
        <c:numFmt formatCode="_-&quot;$&quot;* #,##0_-;\-&quot;$&quot;* #,##0_-;_-&quot;$&quot;* &quot;-&quot;??_-;_-@_-" sourceLinked="1"/>
        <c:majorTickMark val="none"/>
        <c:minorTickMark val="none"/>
        <c:tickLblPos val="nextTo"/>
        <c:crossAx val="2065417592"/>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Overview_CurrentState!$C$44:$D$44</c:f>
              <c:strCache>
                <c:ptCount val="1"/>
                <c:pt idx="0">
                  <c:v>PROFIT</c:v>
                </c:pt>
              </c:strCache>
            </c:strRef>
          </c:tx>
          <c:invertIfNegative val="0"/>
          <c:dLbls>
            <c:delete val="1"/>
          </c:dLbls>
          <c:cat>
            <c:strRef>
              <c:f>Overview_CurrentState!$E$35:$H$35</c:f>
              <c:strCache>
                <c:ptCount val="4"/>
                <c:pt idx="0">
                  <c:v>Year1</c:v>
                </c:pt>
                <c:pt idx="1">
                  <c:v>Year2</c:v>
                </c:pt>
                <c:pt idx="2">
                  <c:v>Year3</c:v>
                </c:pt>
                <c:pt idx="3">
                  <c:v>Year4</c:v>
                </c:pt>
              </c:strCache>
            </c:strRef>
          </c:cat>
          <c:val>
            <c:numRef>
              <c:f>Overview_CurrentState!$E$44:$H$44</c:f>
              <c:numCache>
                <c:formatCode>_-"$"* #,##0_-;\-"$"* #,##0_-;_-"$"* "-"??_-;_-@_-</c:formatCode>
                <c:ptCount val="4"/>
                <c:pt idx="0">
                  <c:v>39684.61538461539</c:v>
                </c:pt>
                <c:pt idx="1">
                  <c:v>29419.23076923077</c:v>
                </c:pt>
                <c:pt idx="2">
                  <c:v>19465.38461538461</c:v>
                </c:pt>
                <c:pt idx="3">
                  <c:v>11561.92307692308</c:v>
                </c:pt>
              </c:numCache>
            </c:numRef>
          </c:val>
        </c:ser>
        <c:dLbls>
          <c:showLegendKey val="0"/>
          <c:showVal val="1"/>
          <c:showCatName val="0"/>
          <c:showSerName val="0"/>
          <c:showPercent val="0"/>
          <c:showBubbleSize val="0"/>
        </c:dLbls>
        <c:gapWidth val="75"/>
        <c:axId val="2064500824"/>
        <c:axId val="2064526824"/>
      </c:barChart>
      <c:catAx>
        <c:axId val="2064500824"/>
        <c:scaling>
          <c:orientation val="minMax"/>
        </c:scaling>
        <c:delete val="0"/>
        <c:axPos val="b"/>
        <c:majorTickMark val="none"/>
        <c:minorTickMark val="none"/>
        <c:tickLblPos val="nextTo"/>
        <c:crossAx val="2064526824"/>
        <c:crosses val="autoZero"/>
        <c:auto val="1"/>
        <c:lblAlgn val="ctr"/>
        <c:lblOffset val="100"/>
        <c:noMultiLvlLbl val="0"/>
      </c:catAx>
      <c:valAx>
        <c:axId val="2064526824"/>
        <c:scaling>
          <c:orientation val="minMax"/>
        </c:scaling>
        <c:delete val="0"/>
        <c:axPos val="l"/>
        <c:numFmt formatCode="_-&quot;$&quot;* #,##0_-;\-&quot;$&quot;* #,##0_-;_-&quot;$&quot;* &quot;-&quot;??_-;_-@_-" sourceLinked="1"/>
        <c:majorTickMark val="none"/>
        <c:minorTickMark val="none"/>
        <c:tickLblPos val="nextTo"/>
        <c:crossAx val="2064500824"/>
        <c:crosses val="autoZero"/>
        <c:crossBetween val="between"/>
      </c:valAx>
    </c:plotArea>
    <c:legend>
      <c:legendPos val="b"/>
      <c:layout/>
      <c:overlay val="0"/>
    </c:legend>
    <c:plotVisOnly val="1"/>
    <c:dispBlanksAs val="gap"/>
    <c:showDLblsOverMax val="0"/>
  </c:chart>
  <c:txPr>
    <a:bodyPr/>
    <a:lstStyle/>
    <a:p>
      <a:pPr>
        <a:defRPr b="0"/>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Overview_ProposedState!$C$42:$D$42</c:f>
              <c:strCache>
                <c:ptCount val="1"/>
                <c:pt idx="0">
                  <c:v>Annual Revenue</c:v>
                </c:pt>
              </c:strCache>
            </c:strRef>
          </c:tx>
          <c:spPr>
            <a:solidFill>
              <a:schemeClr val="accent3"/>
            </a:solidFill>
          </c:spPr>
          <c:invertIfNegative val="0"/>
          <c:dLbls>
            <c:delete val="1"/>
          </c:dLbls>
          <c:cat>
            <c:strRef>
              <c:f>Overview_ProposedState!$E$41:$K$41</c:f>
              <c:strCache>
                <c:ptCount val="7"/>
                <c:pt idx="0">
                  <c:v>Year1</c:v>
                </c:pt>
                <c:pt idx="1">
                  <c:v>Year2</c:v>
                </c:pt>
                <c:pt idx="2">
                  <c:v>Year3</c:v>
                </c:pt>
                <c:pt idx="3">
                  <c:v>Year4</c:v>
                </c:pt>
                <c:pt idx="4">
                  <c:v>Year 5 _x000d_(w/o change)</c:v>
                </c:pt>
                <c:pt idx="6">
                  <c:v>Year 5 (w/ change)</c:v>
                </c:pt>
              </c:strCache>
            </c:strRef>
          </c:cat>
          <c:val>
            <c:numRef>
              <c:f>Overview_ProposedState!$E$42:$K$42</c:f>
              <c:numCache>
                <c:formatCode>_-"$"* #,##0_-;\-"$"* #,##0_-;_-"$"* "-"??_-;_-@_-</c:formatCode>
                <c:ptCount val="7"/>
                <c:pt idx="0">
                  <c:v>105800.0</c:v>
                </c:pt>
                <c:pt idx="1">
                  <c:v>95650.0</c:v>
                </c:pt>
                <c:pt idx="2">
                  <c:v>85800.0</c:v>
                </c:pt>
                <c:pt idx="3">
                  <c:v>77990.0</c:v>
                </c:pt>
                <c:pt idx="4">
                  <c:v>70191.0</c:v>
                </c:pt>
                <c:pt idx="6">
                  <c:v>98113.0</c:v>
                </c:pt>
              </c:numCache>
            </c:numRef>
          </c:val>
        </c:ser>
        <c:ser>
          <c:idx val="1"/>
          <c:order val="1"/>
          <c:tx>
            <c:strRef>
              <c:f>Overview_ProposedState!$C$43:$D$43</c:f>
              <c:strCache>
                <c:ptCount val="1"/>
                <c:pt idx="0">
                  <c:v>Annual COGS</c:v>
                </c:pt>
              </c:strCache>
            </c:strRef>
          </c:tx>
          <c:spPr>
            <a:solidFill>
              <a:srgbClr val="CCFFCC"/>
            </a:solidFill>
          </c:spPr>
          <c:invertIfNegative val="0"/>
          <c:dLbls>
            <c:delete val="1"/>
          </c:dLbls>
          <c:cat>
            <c:strRef>
              <c:f>Overview_ProposedState!$E$41:$K$41</c:f>
              <c:strCache>
                <c:ptCount val="7"/>
                <c:pt idx="0">
                  <c:v>Year1</c:v>
                </c:pt>
                <c:pt idx="1">
                  <c:v>Year2</c:v>
                </c:pt>
                <c:pt idx="2">
                  <c:v>Year3</c:v>
                </c:pt>
                <c:pt idx="3">
                  <c:v>Year4</c:v>
                </c:pt>
                <c:pt idx="4">
                  <c:v>Year 5 _x000d_(w/o change)</c:v>
                </c:pt>
                <c:pt idx="6">
                  <c:v>Year 5 (w/ change)</c:v>
                </c:pt>
              </c:strCache>
            </c:strRef>
          </c:cat>
          <c:val>
            <c:numRef>
              <c:f>Overview_ProposedState!$E$43:$K$43</c:f>
              <c:numCache>
                <c:formatCode>_-"$"* #,##0_-;\-"$"* #,##0_-;_-"$"* "-"??_-;_-@_-</c:formatCode>
                <c:ptCount val="7"/>
                <c:pt idx="0">
                  <c:v>60000.0</c:v>
                </c:pt>
                <c:pt idx="1">
                  <c:v>54000.0</c:v>
                </c:pt>
                <c:pt idx="2">
                  <c:v>48600.0</c:v>
                </c:pt>
                <c:pt idx="3">
                  <c:v>43740.0</c:v>
                </c:pt>
                <c:pt idx="4">
                  <c:v>39366.0</c:v>
                </c:pt>
                <c:pt idx="6">
                  <c:v>55253.0</c:v>
                </c:pt>
              </c:numCache>
            </c:numRef>
          </c:val>
        </c:ser>
        <c:dLbls>
          <c:showLegendKey val="0"/>
          <c:showVal val="1"/>
          <c:showCatName val="0"/>
          <c:showSerName val="0"/>
          <c:showPercent val="0"/>
          <c:showBubbleSize val="0"/>
        </c:dLbls>
        <c:gapWidth val="75"/>
        <c:axId val="2140750440"/>
        <c:axId val="2140753416"/>
      </c:barChart>
      <c:catAx>
        <c:axId val="2140750440"/>
        <c:scaling>
          <c:orientation val="minMax"/>
        </c:scaling>
        <c:delete val="0"/>
        <c:axPos val="b"/>
        <c:majorTickMark val="none"/>
        <c:minorTickMark val="none"/>
        <c:tickLblPos val="nextTo"/>
        <c:crossAx val="2140753416"/>
        <c:crosses val="autoZero"/>
        <c:auto val="1"/>
        <c:lblAlgn val="ctr"/>
        <c:lblOffset val="100"/>
        <c:noMultiLvlLbl val="0"/>
      </c:catAx>
      <c:valAx>
        <c:axId val="2140753416"/>
        <c:scaling>
          <c:orientation val="minMax"/>
        </c:scaling>
        <c:delete val="0"/>
        <c:axPos val="l"/>
        <c:numFmt formatCode="_-&quot;$&quot;* #,##0_-;\-&quot;$&quot;* #,##0_-;_-&quot;$&quot;* &quot;-&quot;??_-;_-@_-" sourceLinked="1"/>
        <c:majorTickMark val="none"/>
        <c:minorTickMark val="none"/>
        <c:tickLblPos val="nextTo"/>
        <c:crossAx val="214075044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Overview_ProposedState!$C$45:$D$45</c:f>
              <c:strCache>
                <c:ptCount val="1"/>
                <c:pt idx="0">
                  <c:v>Inventory On Hand</c:v>
                </c:pt>
              </c:strCache>
            </c:strRef>
          </c:tx>
          <c:spPr>
            <a:solidFill>
              <a:srgbClr val="FF6600"/>
            </a:solidFill>
          </c:spPr>
          <c:invertIfNegative val="0"/>
          <c:dLbls>
            <c:delete val="1"/>
          </c:dLbls>
          <c:cat>
            <c:strRef>
              <c:f>Overview_ProposedState!$E$41:$K$41</c:f>
              <c:strCache>
                <c:ptCount val="7"/>
                <c:pt idx="0">
                  <c:v>Year1</c:v>
                </c:pt>
                <c:pt idx="1">
                  <c:v>Year2</c:v>
                </c:pt>
                <c:pt idx="2">
                  <c:v>Year3</c:v>
                </c:pt>
                <c:pt idx="3">
                  <c:v>Year4</c:v>
                </c:pt>
                <c:pt idx="4">
                  <c:v>Year 5 _x000d_(w/o change)</c:v>
                </c:pt>
                <c:pt idx="6">
                  <c:v>Year 5 (w/ change)</c:v>
                </c:pt>
              </c:strCache>
            </c:strRef>
          </c:cat>
          <c:val>
            <c:numRef>
              <c:f>Overview_ProposedState!$E$45:$K$45</c:f>
              <c:numCache>
                <c:formatCode>_-"$"* #,##0_-;\-"$"* #,##0_-;_-"$"* "-"??_-;_-@_-</c:formatCode>
                <c:ptCount val="7"/>
                <c:pt idx="0">
                  <c:v>115.3846153846154</c:v>
                </c:pt>
                <c:pt idx="1">
                  <c:v>230.7692307692308</c:v>
                </c:pt>
                <c:pt idx="2">
                  <c:v>334.6153846153846</c:v>
                </c:pt>
                <c:pt idx="3">
                  <c:v>428.0769230769231</c:v>
                </c:pt>
                <c:pt idx="4">
                  <c:v>512.0</c:v>
                </c:pt>
                <c:pt idx="6">
                  <c:v>85.0</c:v>
                </c:pt>
              </c:numCache>
            </c:numRef>
          </c:val>
        </c:ser>
        <c:ser>
          <c:idx val="1"/>
          <c:order val="1"/>
          <c:tx>
            <c:strRef>
              <c:f>Overview_ProposedState!$C$46:$D$46</c:f>
              <c:strCache>
                <c:ptCount val="1"/>
                <c:pt idx="0">
                  <c:v>Wastage</c:v>
                </c:pt>
              </c:strCache>
            </c:strRef>
          </c:tx>
          <c:invertIfNegative val="0"/>
          <c:dLbls>
            <c:delete val="1"/>
          </c:dLbls>
          <c:cat>
            <c:strRef>
              <c:f>Overview_ProposedState!$E$41:$K$41</c:f>
              <c:strCache>
                <c:ptCount val="7"/>
                <c:pt idx="0">
                  <c:v>Year1</c:v>
                </c:pt>
                <c:pt idx="1">
                  <c:v>Year2</c:v>
                </c:pt>
                <c:pt idx="2">
                  <c:v>Year3</c:v>
                </c:pt>
                <c:pt idx="3">
                  <c:v>Year4</c:v>
                </c:pt>
                <c:pt idx="4">
                  <c:v>Year 5 _x000d_(w/o change)</c:v>
                </c:pt>
                <c:pt idx="6">
                  <c:v>Year 5 (w/ change)</c:v>
                </c:pt>
              </c:strCache>
            </c:strRef>
          </c:cat>
          <c:val>
            <c:numRef>
              <c:f>Overview_ProposedState!$E$46:$K$46</c:f>
              <c:numCache>
                <c:formatCode>_-"$"* #,##0_-;\-"$"* #,##0_-;_-"$"* "-"??_-;_-@_-</c:formatCode>
                <c:ptCount val="7"/>
                <c:pt idx="0">
                  <c:v>6000.0</c:v>
                </c:pt>
                <c:pt idx="1">
                  <c:v>12000.0</c:v>
                </c:pt>
                <c:pt idx="2">
                  <c:v>17400.0</c:v>
                </c:pt>
                <c:pt idx="3">
                  <c:v>22260.0</c:v>
                </c:pt>
                <c:pt idx="4">
                  <c:v>26634.0</c:v>
                </c:pt>
                <c:pt idx="6">
                  <c:v>4413.0</c:v>
                </c:pt>
              </c:numCache>
            </c:numRef>
          </c:val>
        </c:ser>
        <c:dLbls>
          <c:showLegendKey val="0"/>
          <c:showVal val="1"/>
          <c:showCatName val="0"/>
          <c:showSerName val="0"/>
          <c:showPercent val="0"/>
          <c:showBubbleSize val="0"/>
        </c:dLbls>
        <c:gapWidth val="75"/>
        <c:axId val="2140782904"/>
        <c:axId val="2140785880"/>
      </c:barChart>
      <c:catAx>
        <c:axId val="2140782904"/>
        <c:scaling>
          <c:orientation val="minMax"/>
        </c:scaling>
        <c:delete val="0"/>
        <c:axPos val="b"/>
        <c:majorTickMark val="none"/>
        <c:minorTickMark val="none"/>
        <c:tickLblPos val="nextTo"/>
        <c:crossAx val="2140785880"/>
        <c:crosses val="autoZero"/>
        <c:auto val="1"/>
        <c:lblAlgn val="ctr"/>
        <c:lblOffset val="100"/>
        <c:noMultiLvlLbl val="0"/>
      </c:catAx>
      <c:valAx>
        <c:axId val="2140785880"/>
        <c:scaling>
          <c:orientation val="minMax"/>
        </c:scaling>
        <c:delete val="0"/>
        <c:axPos val="l"/>
        <c:numFmt formatCode="_-&quot;$&quot;* #,##0_-;\-&quot;$&quot;* #,##0_-;_-&quot;$&quot;* &quot;-&quot;??_-;_-@_-" sourceLinked="1"/>
        <c:majorTickMark val="none"/>
        <c:minorTickMark val="none"/>
        <c:tickLblPos val="nextTo"/>
        <c:crossAx val="214078290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Overview_ProposedState!$C$48:$D$48</c:f>
              <c:strCache>
                <c:ptCount val="1"/>
                <c:pt idx="0">
                  <c:v>PROFIT</c:v>
                </c:pt>
              </c:strCache>
            </c:strRef>
          </c:tx>
          <c:invertIfNegative val="0"/>
          <c:dLbls>
            <c:delete val="1"/>
          </c:dLbls>
          <c:cat>
            <c:strRef>
              <c:f>Overview_ProposedState!$E$41:$K$41</c:f>
              <c:strCache>
                <c:ptCount val="7"/>
                <c:pt idx="0">
                  <c:v>Year1</c:v>
                </c:pt>
                <c:pt idx="1">
                  <c:v>Year2</c:v>
                </c:pt>
                <c:pt idx="2">
                  <c:v>Year3</c:v>
                </c:pt>
                <c:pt idx="3">
                  <c:v>Year4</c:v>
                </c:pt>
                <c:pt idx="4">
                  <c:v>Year 5 _x000d_(w/o change)</c:v>
                </c:pt>
                <c:pt idx="6">
                  <c:v>Year 5 (w/ change)</c:v>
                </c:pt>
              </c:strCache>
            </c:strRef>
          </c:cat>
          <c:val>
            <c:numRef>
              <c:f>Overview_ProposedState!$E$48:$K$48</c:f>
              <c:numCache>
                <c:formatCode>_-"$"* #,##0_-;\-"$"* #,##0_-;_-"$"* "-"??_-;_-@_-</c:formatCode>
                <c:ptCount val="7"/>
                <c:pt idx="0">
                  <c:v>39684.61538461539</c:v>
                </c:pt>
                <c:pt idx="1">
                  <c:v>29419.23076923077</c:v>
                </c:pt>
                <c:pt idx="2">
                  <c:v>19465.38461538461</c:v>
                </c:pt>
                <c:pt idx="3">
                  <c:v>11561.92307692308</c:v>
                </c:pt>
                <c:pt idx="4">
                  <c:v>3679.0</c:v>
                </c:pt>
                <c:pt idx="6">
                  <c:v>38362.0</c:v>
                </c:pt>
              </c:numCache>
            </c:numRef>
          </c:val>
        </c:ser>
        <c:dLbls>
          <c:showLegendKey val="0"/>
          <c:showVal val="1"/>
          <c:showCatName val="0"/>
          <c:showSerName val="0"/>
          <c:showPercent val="0"/>
          <c:showBubbleSize val="0"/>
        </c:dLbls>
        <c:gapWidth val="75"/>
        <c:axId val="2104948120"/>
        <c:axId val="2104945160"/>
      </c:barChart>
      <c:catAx>
        <c:axId val="2104948120"/>
        <c:scaling>
          <c:orientation val="minMax"/>
        </c:scaling>
        <c:delete val="0"/>
        <c:axPos val="b"/>
        <c:majorTickMark val="none"/>
        <c:minorTickMark val="none"/>
        <c:tickLblPos val="nextTo"/>
        <c:crossAx val="2104945160"/>
        <c:crosses val="autoZero"/>
        <c:auto val="1"/>
        <c:lblAlgn val="ctr"/>
        <c:lblOffset val="100"/>
        <c:noMultiLvlLbl val="0"/>
      </c:catAx>
      <c:valAx>
        <c:axId val="2104945160"/>
        <c:scaling>
          <c:orientation val="minMax"/>
        </c:scaling>
        <c:delete val="0"/>
        <c:axPos val="l"/>
        <c:numFmt formatCode="_-&quot;$&quot;* #,##0_-;\-&quot;$&quot;* #,##0_-;_-&quot;$&quot;* &quot;-&quot;??_-;_-@_-" sourceLinked="1"/>
        <c:majorTickMark val="none"/>
        <c:minorTickMark val="none"/>
        <c:tickLblPos val="nextTo"/>
        <c:crossAx val="2104948120"/>
        <c:crosses val="autoZero"/>
        <c:crossBetween val="between"/>
      </c:valAx>
    </c:plotArea>
    <c:legend>
      <c:legendPos val="b"/>
      <c:layout/>
      <c:overlay val="0"/>
    </c:legend>
    <c:plotVisOnly val="1"/>
    <c:dispBlanksAs val="gap"/>
    <c:showDLblsOverMax val="0"/>
  </c:chart>
  <c:txPr>
    <a:bodyPr/>
    <a:lstStyle/>
    <a:p>
      <a:pPr>
        <a:defRPr b="0"/>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30505</xdr:colOff>
      <xdr:row>19</xdr:row>
      <xdr:rowOff>20320</xdr:rowOff>
    </xdr:from>
    <xdr:to>
      <xdr:col>6</xdr:col>
      <xdr:colOff>660425</xdr:colOff>
      <xdr:row>30</xdr:row>
      <xdr:rowOff>91440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71134</xdr:colOff>
      <xdr:row>19</xdr:row>
      <xdr:rowOff>10160</xdr:rowOff>
    </xdr:from>
    <xdr:to>
      <xdr:col>9</xdr:col>
      <xdr:colOff>2824494</xdr:colOff>
      <xdr:row>30</xdr:row>
      <xdr:rowOff>81280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3058160</xdr:colOff>
      <xdr:row>19</xdr:row>
      <xdr:rowOff>0</xdr:rowOff>
    </xdr:from>
    <xdr:to>
      <xdr:col>15</xdr:col>
      <xdr:colOff>223520</xdr:colOff>
      <xdr:row>30</xdr:row>
      <xdr:rowOff>71120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30505</xdr:colOff>
      <xdr:row>18</xdr:row>
      <xdr:rowOff>20320</xdr:rowOff>
    </xdr:from>
    <xdr:to>
      <xdr:col>6</xdr:col>
      <xdr:colOff>558825</xdr:colOff>
      <xdr:row>29</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650254</xdr:colOff>
      <xdr:row>18</xdr:row>
      <xdr:rowOff>20320</xdr:rowOff>
    </xdr:from>
    <xdr:to>
      <xdr:col>12</xdr:col>
      <xdr:colOff>782334</xdr:colOff>
      <xdr:row>29</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853440</xdr:colOff>
      <xdr:row>18</xdr:row>
      <xdr:rowOff>30480</xdr:rowOff>
    </xdr:from>
    <xdr:to>
      <xdr:col>16</xdr:col>
      <xdr:colOff>40640</xdr:colOff>
      <xdr:row>29</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tabSelected="1" zoomScale="125" zoomScaleNormal="125" zoomScalePageLayoutView="125" workbookViewId="0">
      <selection activeCell="R20" sqref="R20"/>
    </sheetView>
  </sheetViews>
  <sheetFormatPr baseColWidth="10" defaultColWidth="8.83203125" defaultRowHeight="14" x14ac:dyDescent="0"/>
  <cols>
    <col min="1" max="1" width="1.33203125" style="42" customWidth="1"/>
    <col min="2" max="2" width="2.33203125" style="42" customWidth="1"/>
    <col min="3" max="3" width="16.1640625" style="40" customWidth="1"/>
    <col min="4" max="4" width="1.33203125" style="40" customWidth="1"/>
    <col min="5" max="8" width="9.33203125" style="53" customWidth="1"/>
    <col min="9" max="9" width="1.33203125" style="40" customWidth="1"/>
    <col min="10" max="10" width="41.5" style="40" customWidth="1"/>
    <col min="11" max="11" width="13.83203125" style="40" customWidth="1"/>
    <col min="12" max="12" width="1.33203125" style="40" customWidth="1"/>
    <col min="13" max="15" width="12.1640625" style="54" customWidth="1"/>
    <col min="16" max="16" width="3.1640625" style="40" customWidth="1"/>
    <col min="17" max="17" width="1.33203125" style="41" customWidth="1"/>
    <col min="18" max="16384" width="8.83203125" style="40"/>
  </cols>
  <sheetData>
    <row r="1" spans="1:18" s="76" customFormat="1" ht="18">
      <c r="A1" s="99" t="s">
        <v>69</v>
      </c>
      <c r="B1" s="99"/>
      <c r="C1" s="99"/>
      <c r="D1" s="99"/>
      <c r="E1" s="99"/>
      <c r="F1" s="99"/>
      <c r="G1" s="99"/>
      <c r="H1" s="99"/>
      <c r="I1" s="99"/>
      <c r="J1" s="99"/>
      <c r="K1" s="99"/>
      <c r="L1" s="99"/>
      <c r="M1" s="99"/>
      <c r="N1" s="99"/>
      <c r="O1" s="99"/>
      <c r="Q1" s="77"/>
    </row>
    <row r="2" spans="1:18" ht="50" customHeight="1">
      <c r="A2" s="103" t="s">
        <v>72</v>
      </c>
      <c r="B2" s="103"/>
      <c r="C2" s="103"/>
      <c r="D2" s="103"/>
      <c r="E2" s="103"/>
      <c r="F2" s="103"/>
      <c r="G2" s="103"/>
      <c r="H2" s="103"/>
      <c r="I2" s="103"/>
      <c r="J2" s="103"/>
      <c r="K2" s="103"/>
      <c r="L2" s="103"/>
      <c r="M2" s="103"/>
      <c r="N2" s="103"/>
      <c r="O2" s="103"/>
      <c r="P2" s="103"/>
    </row>
    <row r="3" spans="1:18" s="55" customFormat="1" ht="6" customHeight="1">
      <c r="A3" s="52"/>
      <c r="B3" s="52"/>
      <c r="C3" s="40"/>
      <c r="D3" s="47"/>
      <c r="E3" s="53"/>
      <c r="F3" s="53"/>
      <c r="G3" s="53"/>
      <c r="H3" s="53"/>
      <c r="I3" s="47"/>
      <c r="J3" s="40"/>
      <c r="K3" s="40"/>
      <c r="L3" s="44"/>
      <c r="M3" s="54"/>
      <c r="N3" s="54"/>
      <c r="P3" s="47"/>
      <c r="Q3" s="51"/>
    </row>
    <row r="4" spans="1:18" s="44" customFormat="1">
      <c r="A4" s="43"/>
      <c r="B4" s="43"/>
      <c r="E4" s="100" t="s">
        <v>52</v>
      </c>
      <c r="F4" s="100"/>
      <c r="G4" s="100"/>
      <c r="H4" s="100"/>
      <c r="M4" s="101" t="s">
        <v>37</v>
      </c>
      <c r="N4" s="102"/>
      <c r="O4" s="102"/>
      <c r="Q4" s="45"/>
    </row>
    <row r="5" spans="1:18" s="47" customFormat="1" ht="28">
      <c r="A5" s="46"/>
      <c r="B5" s="46"/>
      <c r="E5" s="48" t="s">
        <v>0</v>
      </c>
      <c r="F5" s="48" t="s">
        <v>1</v>
      </c>
      <c r="G5" s="48" t="s">
        <v>2</v>
      </c>
      <c r="H5" s="48" t="s">
        <v>3</v>
      </c>
      <c r="J5" s="49" t="s">
        <v>65</v>
      </c>
      <c r="K5" s="49" t="s">
        <v>68</v>
      </c>
      <c r="L5" s="44"/>
      <c r="M5" s="50" t="s">
        <v>5</v>
      </c>
      <c r="N5" s="50" t="s">
        <v>6</v>
      </c>
      <c r="O5" s="50" t="s">
        <v>70</v>
      </c>
      <c r="Q5" s="51"/>
    </row>
    <row r="6" spans="1:18" s="52" customFormat="1" ht="6" customHeight="1">
      <c r="C6" s="40"/>
      <c r="D6" s="47"/>
      <c r="E6" s="53"/>
      <c r="F6" s="53"/>
      <c r="G6" s="53"/>
      <c r="H6" s="53"/>
      <c r="I6" s="47"/>
      <c r="J6" s="40"/>
      <c r="K6" s="40"/>
      <c r="L6" s="44"/>
      <c r="M6" s="54"/>
      <c r="N6" s="54"/>
      <c r="O6" s="55"/>
      <c r="P6" s="47"/>
      <c r="Q6" s="51"/>
      <c r="R6" s="47"/>
    </row>
    <row r="7" spans="1:18" s="56" customFormat="1">
      <c r="B7" s="57" t="s">
        <v>24</v>
      </c>
      <c r="C7" s="94" t="s">
        <v>16</v>
      </c>
      <c r="D7" s="47"/>
      <c r="E7" s="83">
        <v>10000</v>
      </c>
      <c r="F7" s="83">
        <f>E7*0.9</f>
        <v>9000</v>
      </c>
      <c r="G7" s="83">
        <f>F7*0.9</f>
        <v>8100</v>
      </c>
      <c r="H7" s="83">
        <f>G7*0.9</f>
        <v>7290</v>
      </c>
      <c r="I7" s="47"/>
      <c r="J7" s="83" t="s">
        <v>63</v>
      </c>
      <c r="K7" s="83"/>
      <c r="L7" s="44"/>
      <c r="M7" s="58" t="s">
        <v>51</v>
      </c>
      <c r="N7" s="84"/>
      <c r="O7" s="84"/>
      <c r="P7" s="47"/>
      <c r="Q7" s="51"/>
      <c r="R7" s="47"/>
    </row>
    <row r="8" spans="1:18" s="56" customFormat="1">
      <c r="B8" s="57" t="s">
        <v>25</v>
      </c>
      <c r="C8" s="94" t="s">
        <v>35</v>
      </c>
      <c r="D8" s="47"/>
      <c r="E8" s="83">
        <v>11000</v>
      </c>
      <c r="F8" s="83">
        <v>11000</v>
      </c>
      <c r="G8" s="83">
        <v>11000</v>
      </c>
      <c r="H8" s="83">
        <v>11000</v>
      </c>
      <c r="I8" s="47"/>
      <c r="J8" s="83" t="s">
        <v>64</v>
      </c>
      <c r="K8" s="83"/>
      <c r="L8" s="44"/>
      <c r="M8" s="84"/>
      <c r="N8" s="58" t="s">
        <v>51</v>
      </c>
      <c r="O8" s="84"/>
      <c r="P8" s="47"/>
      <c r="Q8" s="51"/>
      <c r="R8" s="47"/>
    </row>
    <row r="9" spans="1:18" s="52" customFormat="1" ht="6" customHeight="1">
      <c r="C9" s="40"/>
      <c r="D9" s="47"/>
      <c r="E9" s="53"/>
      <c r="F9" s="53"/>
      <c r="G9" s="53"/>
      <c r="H9" s="53"/>
      <c r="I9" s="47"/>
      <c r="J9" s="40"/>
      <c r="K9" s="40"/>
      <c r="L9" s="44"/>
      <c r="M9" s="54"/>
      <c r="N9" s="54"/>
      <c r="O9" s="55"/>
      <c r="P9" s="47"/>
      <c r="Q9" s="51"/>
      <c r="R9" s="47"/>
    </row>
    <row r="10" spans="1:18" s="42" customFormat="1">
      <c r="B10" s="59" t="s">
        <v>26</v>
      </c>
      <c r="C10" s="95" t="s">
        <v>23</v>
      </c>
      <c r="D10" s="47"/>
      <c r="E10" s="86">
        <v>105800</v>
      </c>
      <c r="F10" s="86">
        <v>95650</v>
      </c>
      <c r="G10" s="86">
        <v>85800</v>
      </c>
      <c r="H10" s="86">
        <v>77990</v>
      </c>
      <c r="I10" s="47"/>
      <c r="J10" s="85" t="s">
        <v>38</v>
      </c>
      <c r="K10" s="85"/>
      <c r="L10" s="44"/>
      <c r="M10" s="58" t="s">
        <v>51</v>
      </c>
      <c r="N10" s="87"/>
      <c r="O10" s="58" t="s">
        <v>51</v>
      </c>
      <c r="P10" s="47"/>
      <c r="Q10" s="51"/>
      <c r="R10" s="47"/>
    </row>
    <row r="11" spans="1:18" s="42" customFormat="1">
      <c r="B11" s="59" t="s">
        <v>27</v>
      </c>
      <c r="C11" s="96" t="s">
        <v>22</v>
      </c>
      <c r="D11" s="47"/>
      <c r="E11" s="89">
        <v>60000</v>
      </c>
      <c r="F11" s="89">
        <f>E11*0.9</f>
        <v>54000</v>
      </c>
      <c r="G11" s="89">
        <f>F11*0.9</f>
        <v>48600</v>
      </c>
      <c r="H11" s="89">
        <f>G11*0.9</f>
        <v>43740</v>
      </c>
      <c r="I11" s="47"/>
      <c r="J11" s="88" t="s">
        <v>67</v>
      </c>
      <c r="K11" s="88"/>
      <c r="L11" s="44"/>
      <c r="M11" s="90"/>
      <c r="N11" s="90"/>
      <c r="O11" s="58" t="s">
        <v>51</v>
      </c>
      <c r="P11" s="47"/>
      <c r="Q11" s="51"/>
      <c r="R11" s="47"/>
    </row>
    <row r="12" spans="1:18" s="42" customFormat="1">
      <c r="B12" s="59" t="s">
        <v>28</v>
      </c>
      <c r="C12" s="147" t="s">
        <v>7</v>
      </c>
      <c r="D12" s="47"/>
      <c r="E12" s="63">
        <f>E13/52</f>
        <v>115.38461538461539</v>
      </c>
      <c r="F12" s="63">
        <f>F13/52</f>
        <v>230.76923076923077</v>
      </c>
      <c r="G12" s="63">
        <f>G13/52</f>
        <v>334.61538461538464</v>
      </c>
      <c r="H12" s="63">
        <f>H13/52</f>
        <v>428.07692307692309</v>
      </c>
      <c r="I12" s="47"/>
      <c r="J12" s="62" t="s">
        <v>66</v>
      </c>
      <c r="K12" s="62"/>
      <c r="L12" s="44"/>
      <c r="M12" s="148"/>
      <c r="N12" s="148"/>
      <c r="O12" s="58" t="s">
        <v>51</v>
      </c>
      <c r="P12" s="47"/>
      <c r="Q12" s="51"/>
      <c r="R12" s="47"/>
    </row>
    <row r="13" spans="1:18" s="42" customFormat="1">
      <c r="B13" s="59" t="s">
        <v>29</v>
      </c>
      <c r="C13" s="149" t="s">
        <v>8</v>
      </c>
      <c r="D13" s="47"/>
      <c r="E13" s="150">
        <f>(E8-E7)*E16</f>
        <v>6000</v>
      </c>
      <c r="F13" s="150">
        <f>(F8-F7)*F16</f>
        <v>12000</v>
      </c>
      <c r="G13" s="150">
        <f>(G8-G7)*G16</f>
        <v>17400</v>
      </c>
      <c r="H13" s="150">
        <f>(H8-H7)*H16</f>
        <v>22260</v>
      </c>
      <c r="I13" s="47"/>
      <c r="J13" s="151"/>
      <c r="K13" s="152" t="s">
        <v>40</v>
      </c>
      <c r="L13" s="44"/>
      <c r="M13" s="58" t="s">
        <v>51</v>
      </c>
      <c r="N13" s="58" t="s">
        <v>51</v>
      </c>
      <c r="O13" s="153"/>
      <c r="P13" s="47"/>
      <c r="Q13" s="51"/>
      <c r="R13" s="47"/>
    </row>
    <row r="14" spans="1:18" s="42" customFormat="1">
      <c r="B14" s="59" t="s">
        <v>30</v>
      </c>
      <c r="C14" s="97" t="s">
        <v>9</v>
      </c>
      <c r="D14" s="47"/>
      <c r="E14" s="92">
        <f>E10-(E11+E13+E12)</f>
        <v>39684.61538461539</v>
      </c>
      <c r="F14" s="92">
        <f>F10-(F11+F13+F12)</f>
        <v>29419.230769230766</v>
      </c>
      <c r="G14" s="92">
        <f>G10-(G11+G13+G12)</f>
        <v>19465.38461538461</v>
      </c>
      <c r="H14" s="92">
        <f>H10-(H11+H13+H12)</f>
        <v>11561.923076923078</v>
      </c>
      <c r="I14" s="47"/>
      <c r="J14" s="91"/>
      <c r="K14" s="98" t="s">
        <v>71</v>
      </c>
      <c r="L14" s="44"/>
      <c r="M14" s="93"/>
      <c r="N14" s="93"/>
      <c r="O14" s="93"/>
      <c r="P14" s="47"/>
      <c r="Q14" s="51"/>
      <c r="R14" s="47"/>
    </row>
    <row r="15" spans="1:18" s="55" customFormat="1" ht="6" customHeight="1">
      <c r="A15" s="52"/>
      <c r="B15" s="52"/>
      <c r="C15" s="40"/>
      <c r="D15" s="47"/>
      <c r="E15" s="53"/>
      <c r="F15" s="53"/>
      <c r="G15" s="53"/>
      <c r="H15" s="53"/>
      <c r="I15" s="47"/>
      <c r="J15" s="40"/>
      <c r="K15" s="40"/>
      <c r="L15" s="44"/>
      <c r="M15" s="54"/>
      <c r="N15" s="54"/>
      <c r="P15" s="47"/>
      <c r="Q15" s="51"/>
      <c r="R15" s="47"/>
    </row>
    <row r="16" spans="1:18">
      <c r="B16" s="59" t="s">
        <v>31</v>
      </c>
      <c r="C16" s="65" t="s">
        <v>10</v>
      </c>
      <c r="D16" s="47"/>
      <c r="E16" s="66">
        <f>E11/E7</f>
        <v>6</v>
      </c>
      <c r="F16" s="66">
        <f>F11/F7</f>
        <v>6</v>
      </c>
      <c r="G16" s="66">
        <f>G11/G7</f>
        <v>6</v>
      </c>
      <c r="H16" s="66">
        <f>H11/H7</f>
        <v>6</v>
      </c>
      <c r="I16" s="47"/>
      <c r="J16" s="65"/>
      <c r="K16" s="67" t="s">
        <v>39</v>
      </c>
      <c r="L16" s="44"/>
      <c r="M16" s="68"/>
      <c r="N16" s="68"/>
      <c r="O16" s="68"/>
      <c r="P16" s="47"/>
      <c r="Q16" s="51"/>
    </row>
    <row r="17" spans="1:17">
      <c r="D17" s="47"/>
      <c r="I17" s="47"/>
      <c r="L17" s="44"/>
    </row>
    <row r="18" spans="1:17" ht="44" customHeight="1">
      <c r="B18" s="104" t="s">
        <v>73</v>
      </c>
      <c r="C18" s="104"/>
      <c r="D18" s="104"/>
      <c r="E18" s="104"/>
      <c r="F18" s="104"/>
      <c r="G18" s="104"/>
      <c r="H18" s="104"/>
      <c r="I18" s="104"/>
      <c r="J18" s="104"/>
      <c r="K18" s="104"/>
      <c r="L18" s="104"/>
      <c r="M18" s="104"/>
      <c r="N18" s="104"/>
      <c r="O18" s="104"/>
      <c r="P18" s="104"/>
    </row>
    <row r="19" spans="1:17" s="55" customFormat="1">
      <c r="A19" s="52"/>
      <c r="B19" s="52"/>
      <c r="C19" s="40"/>
      <c r="D19" s="47"/>
      <c r="E19" s="53"/>
      <c r="F19" s="53"/>
      <c r="G19" s="53"/>
      <c r="H19" s="53"/>
      <c r="I19" s="47"/>
      <c r="J19" s="40"/>
      <c r="K19" s="40"/>
      <c r="L19" s="44"/>
      <c r="M19" s="54"/>
      <c r="N19" s="54"/>
      <c r="Q19" s="69"/>
    </row>
    <row r="20" spans="1:17">
      <c r="A20" s="52"/>
      <c r="B20" s="52"/>
      <c r="D20" s="47"/>
      <c r="I20" s="47"/>
      <c r="L20" s="44"/>
    </row>
    <row r="21" spans="1:17">
      <c r="A21" s="52"/>
      <c r="B21" s="52"/>
      <c r="D21" s="47"/>
      <c r="I21" s="47"/>
      <c r="K21" s="78"/>
      <c r="L21" s="44"/>
    </row>
    <row r="22" spans="1:17">
      <c r="D22" s="47"/>
      <c r="I22" s="47"/>
      <c r="L22" s="44"/>
    </row>
    <row r="23" spans="1:17">
      <c r="D23" s="47"/>
      <c r="I23" s="47"/>
      <c r="L23" s="44"/>
    </row>
    <row r="24" spans="1:17">
      <c r="D24" s="47"/>
    </row>
    <row r="25" spans="1:17">
      <c r="D25" s="47"/>
    </row>
    <row r="26" spans="1:17">
      <c r="D26" s="47"/>
    </row>
    <row r="27" spans="1:17">
      <c r="D27" s="47"/>
    </row>
    <row r="28" spans="1:17">
      <c r="D28" s="47"/>
    </row>
    <row r="29" spans="1:17" s="71" customFormat="1">
      <c r="A29" s="70"/>
      <c r="B29" s="70"/>
      <c r="D29" s="72"/>
      <c r="E29" s="73"/>
      <c r="F29" s="73"/>
      <c r="G29" s="73"/>
      <c r="H29" s="73"/>
      <c r="M29" s="74"/>
      <c r="N29" s="74"/>
      <c r="O29" s="74"/>
      <c r="Q29" s="75"/>
    </row>
    <row r="30" spans="1:17">
      <c r="D30" s="47"/>
    </row>
    <row r="31" spans="1:17">
      <c r="D31" s="47"/>
    </row>
    <row r="32" spans="1:17">
      <c r="D32" s="47"/>
    </row>
    <row r="35" spans="3:9">
      <c r="E35" s="48" t="s">
        <v>0</v>
      </c>
      <c r="F35" s="48" t="s">
        <v>1</v>
      </c>
      <c r="G35" s="48" t="s">
        <v>2</v>
      </c>
      <c r="H35" s="48" t="s">
        <v>3</v>
      </c>
    </row>
    <row r="36" spans="3:9">
      <c r="C36" s="60" t="s">
        <v>23</v>
      </c>
      <c r="D36" s="47"/>
      <c r="E36" s="61">
        <v>105800</v>
      </c>
      <c r="F36" s="61">
        <v>95650</v>
      </c>
      <c r="G36" s="61">
        <v>85800</v>
      </c>
      <c r="H36" s="61">
        <v>77990</v>
      </c>
    </row>
    <row r="37" spans="3:9">
      <c r="C37" s="60" t="s">
        <v>22</v>
      </c>
      <c r="D37" s="47"/>
      <c r="E37" s="61">
        <v>60000</v>
      </c>
      <c r="F37" s="61">
        <f>E37*0.9</f>
        <v>54000</v>
      </c>
      <c r="G37" s="61">
        <f>F37*0.9</f>
        <v>48600</v>
      </c>
      <c r="H37" s="61">
        <f>G37*0.9</f>
        <v>43740</v>
      </c>
    </row>
    <row r="39" spans="3:9">
      <c r="E39" s="48" t="s">
        <v>0</v>
      </c>
      <c r="F39" s="48" t="s">
        <v>1</v>
      </c>
      <c r="G39" s="48" t="s">
        <v>2</v>
      </c>
      <c r="H39" s="48" t="s">
        <v>3</v>
      </c>
    </row>
    <row r="40" spans="3:9">
      <c r="C40" s="60" t="s">
        <v>7</v>
      </c>
      <c r="D40" s="47"/>
      <c r="E40" s="61">
        <v>115.38461538461539</v>
      </c>
      <c r="F40" s="61">
        <v>230.76923076923077</v>
      </c>
      <c r="G40" s="61">
        <v>334.61538461538464</v>
      </c>
      <c r="H40" s="61">
        <v>428.07692307692309</v>
      </c>
    </row>
    <row r="41" spans="3:9">
      <c r="C41" s="62" t="s">
        <v>8</v>
      </c>
      <c r="D41" s="47"/>
      <c r="E41" s="63">
        <v>6000</v>
      </c>
      <c r="F41" s="63">
        <v>12000</v>
      </c>
      <c r="G41" s="63">
        <v>17400</v>
      </c>
      <c r="H41" s="63">
        <v>22260</v>
      </c>
    </row>
    <row r="43" spans="3:9">
      <c r="E43" s="48" t="s">
        <v>0</v>
      </c>
      <c r="F43" s="48" t="s">
        <v>1</v>
      </c>
      <c r="G43" s="48" t="s">
        <v>2</v>
      </c>
      <c r="H43" s="48" t="s">
        <v>3</v>
      </c>
    </row>
    <row r="44" spans="3:9">
      <c r="C44" s="40" t="s">
        <v>9</v>
      </c>
      <c r="D44" s="47"/>
      <c r="E44" s="64">
        <v>39684.61538461539</v>
      </c>
      <c r="F44" s="64">
        <v>29419.230769230766</v>
      </c>
      <c r="G44" s="64">
        <v>19465.38461538461</v>
      </c>
      <c r="H44" s="64">
        <v>11561.923076923078</v>
      </c>
    </row>
    <row r="45" spans="3:9">
      <c r="C45" s="42"/>
      <c r="D45" s="42"/>
      <c r="E45" s="42"/>
      <c r="F45" s="42"/>
      <c r="G45" s="42"/>
      <c r="H45" s="42"/>
      <c r="I45" s="42"/>
    </row>
  </sheetData>
  <mergeCells count="5">
    <mergeCell ref="A1:O1"/>
    <mergeCell ref="E4:H4"/>
    <mergeCell ref="M4:O4"/>
    <mergeCell ref="A2:P2"/>
    <mergeCell ref="B18:P18"/>
  </mergeCells>
  <phoneticPr fontId="32" type="noConversion"/>
  <pageMargins left="0.25" right="0.25" top="0.5" bottom="0.5" header="0.3" footer="0.3"/>
  <pageSetup paperSize="5"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showGridLines="0" zoomScale="125" zoomScaleNormal="125" zoomScalePageLayoutView="125" workbookViewId="0">
      <selection activeCell="W23" sqref="W23"/>
    </sheetView>
  </sheetViews>
  <sheetFormatPr baseColWidth="10" defaultColWidth="8.83203125" defaultRowHeight="14" x14ac:dyDescent="0"/>
  <cols>
    <col min="1" max="1" width="2" style="6" customWidth="1"/>
    <col min="2" max="2" width="2.5" style="6" bestFit="1" customWidth="1"/>
    <col min="3" max="3" width="12.5" style="6" customWidth="1"/>
    <col min="4" max="5" width="8.6640625" style="125" customWidth="1"/>
    <col min="6" max="6" width="1.5" style="10" customWidth="1"/>
    <col min="7" max="8" width="7.5" style="7" customWidth="1"/>
    <col min="9" max="9" width="1.5" style="6" customWidth="1"/>
    <col min="10" max="11" width="6.6640625" style="8" customWidth="1"/>
    <col min="12" max="12" width="1.6640625" style="8" customWidth="1"/>
    <col min="13" max="16" width="12.1640625" style="8" customWidth="1"/>
    <col min="17" max="17" width="1.6640625" style="5" customWidth="1"/>
    <col min="18" max="18" width="10.5" style="8" customWidth="1"/>
    <col min="19" max="19" width="26.83203125" style="8" customWidth="1"/>
    <col min="20" max="20" width="1.83203125" style="6" customWidth="1"/>
    <col min="21" max="21" width="1.5" style="6" customWidth="1"/>
    <col min="22" max="16384" width="8.83203125" style="6"/>
  </cols>
  <sheetData>
    <row r="1" spans="1:21" s="123" customFormat="1" ht="18">
      <c r="A1" s="122" t="s">
        <v>62</v>
      </c>
      <c r="B1" s="122"/>
      <c r="C1" s="122"/>
      <c r="D1" s="122"/>
      <c r="E1" s="122"/>
      <c r="F1" s="122"/>
      <c r="G1" s="122"/>
      <c r="H1" s="122"/>
      <c r="I1" s="122"/>
      <c r="J1" s="122"/>
      <c r="K1" s="122"/>
      <c r="L1" s="122"/>
      <c r="M1" s="122"/>
      <c r="N1" s="122"/>
      <c r="O1" s="122"/>
      <c r="P1" s="122"/>
      <c r="Q1" s="122"/>
      <c r="R1" s="122"/>
      <c r="S1" s="122"/>
    </row>
    <row r="2" spans="1:21" ht="32" customHeight="1">
      <c r="A2" s="146" t="s">
        <v>80</v>
      </c>
      <c r="B2" s="124"/>
      <c r="C2" s="124"/>
      <c r="D2" s="124"/>
      <c r="E2" s="124"/>
      <c r="F2" s="124"/>
      <c r="G2" s="124"/>
      <c r="H2" s="124"/>
      <c r="I2" s="124"/>
      <c r="J2" s="124"/>
      <c r="K2" s="124"/>
      <c r="L2" s="124"/>
      <c r="M2" s="124"/>
      <c r="N2" s="124"/>
      <c r="O2" s="124"/>
      <c r="P2" s="124"/>
      <c r="Q2" s="124"/>
      <c r="R2" s="124"/>
      <c r="S2" s="124"/>
      <c r="T2" s="124"/>
    </row>
    <row r="3" spans="1:21" ht="6" customHeight="1"/>
    <row r="4" spans="1:21" s="126" customFormat="1">
      <c r="B4" s="138" t="s">
        <v>60</v>
      </c>
      <c r="C4" s="138"/>
      <c r="D4" s="138"/>
      <c r="E4" s="138"/>
      <c r="F4" s="138"/>
      <c r="G4" s="138"/>
      <c r="H4" s="138"/>
      <c r="I4" s="138"/>
      <c r="J4" s="138"/>
      <c r="K4" s="138"/>
      <c r="L4" s="138"/>
      <c r="M4" s="138"/>
      <c r="N4" s="138"/>
      <c r="O4" s="138"/>
      <c r="P4" s="138"/>
      <c r="Q4" s="138"/>
      <c r="R4" s="138"/>
      <c r="S4" s="138"/>
    </row>
    <row r="5" spans="1:21">
      <c r="D5" s="145" t="s">
        <v>20</v>
      </c>
      <c r="E5" s="127"/>
      <c r="F5" s="127"/>
      <c r="G5" s="127"/>
      <c r="H5" s="128"/>
      <c r="J5" s="129" t="s">
        <v>21</v>
      </c>
      <c r="K5" s="130"/>
      <c r="L5" s="130"/>
      <c r="M5" s="129"/>
      <c r="N5" s="131"/>
      <c r="O5" s="131"/>
      <c r="P5" s="131"/>
      <c r="Q5" s="131"/>
      <c r="R5" s="131"/>
      <c r="S5" s="131"/>
    </row>
    <row r="6" spans="1:21" s="79" customFormat="1" ht="29" customHeight="1">
      <c r="D6" s="117" t="s">
        <v>35</v>
      </c>
      <c r="E6" s="117" t="s">
        <v>16</v>
      </c>
      <c r="F6" s="139"/>
      <c r="G6" s="117" t="s">
        <v>8</v>
      </c>
      <c r="H6" s="117" t="s">
        <v>74</v>
      </c>
      <c r="J6" s="117" t="s">
        <v>57</v>
      </c>
      <c r="K6" s="117" t="s">
        <v>58</v>
      </c>
      <c r="L6" s="5"/>
      <c r="M6" s="154" t="s">
        <v>23</v>
      </c>
      <c r="N6" s="155" t="s">
        <v>22</v>
      </c>
      <c r="O6" s="156" t="s">
        <v>75</v>
      </c>
      <c r="P6" s="157" t="s">
        <v>8</v>
      </c>
      <c r="Q6" s="80"/>
      <c r="R6" s="166" t="s">
        <v>9</v>
      </c>
      <c r="S6" s="80"/>
      <c r="U6" s="81"/>
    </row>
    <row r="7" spans="1:21" ht="6" customHeight="1"/>
    <row r="8" spans="1:21" s="4" customFormat="1">
      <c r="D8" s="115" t="s">
        <v>24</v>
      </c>
      <c r="E8" s="115" t="s">
        <v>25</v>
      </c>
      <c r="F8" s="141"/>
      <c r="G8" s="115" t="s">
        <v>26</v>
      </c>
      <c r="H8" s="115" t="s">
        <v>27</v>
      </c>
      <c r="J8" s="115" t="s">
        <v>28</v>
      </c>
      <c r="K8" s="115" t="s">
        <v>29</v>
      </c>
      <c r="L8" s="5"/>
      <c r="M8" s="158" t="s">
        <v>30</v>
      </c>
      <c r="N8" s="159" t="s">
        <v>31</v>
      </c>
      <c r="O8" s="160" t="s">
        <v>32</v>
      </c>
      <c r="P8" s="161" t="s">
        <v>33</v>
      </c>
      <c r="Q8" s="11"/>
      <c r="R8" s="167" t="s">
        <v>34</v>
      </c>
      <c r="S8" s="11"/>
      <c r="U8" s="6"/>
    </row>
    <row r="9" spans="1:21" s="81" customFormat="1">
      <c r="D9" s="116"/>
      <c r="E9" s="116"/>
      <c r="F9" s="142"/>
      <c r="G9" s="116" t="s">
        <v>46</v>
      </c>
      <c r="H9" s="116" t="s">
        <v>47</v>
      </c>
      <c r="J9" s="116"/>
      <c r="K9" s="116"/>
      <c r="L9" s="5"/>
      <c r="M9" s="162" t="s">
        <v>76</v>
      </c>
      <c r="N9" s="163" t="s">
        <v>77</v>
      </c>
      <c r="O9" s="164"/>
      <c r="P9" s="165" t="s">
        <v>78</v>
      </c>
      <c r="Q9" s="82"/>
      <c r="R9" s="168" t="s">
        <v>96</v>
      </c>
      <c r="S9" s="82"/>
      <c r="U9" s="132"/>
    </row>
    <row r="10" spans="1:21" ht="6" customHeight="1"/>
    <row r="11" spans="1:21">
      <c r="B11" s="144">
        <v>1</v>
      </c>
      <c r="C11" s="144" t="str">
        <f>VLOOKUP(B11,DataSource_ItemMaster!$A$1:$E$1005,2,FALSE)</f>
        <v>Flavor1</v>
      </c>
      <c r="D11" s="143">
        <f>(SUMIF(DataSource_DeliveryData!B:B,B11,DataSource_DeliveryData!D:D))/4</f>
        <v>2500</v>
      </c>
      <c r="E11" s="118">
        <f>(SUMIF(DataSource_CashRegister!B:B,B11,DataSource_CashRegister!D:D))/4</f>
        <v>1472.5</v>
      </c>
      <c r="F11" s="140"/>
      <c r="G11" s="118">
        <f>D11-E11</f>
        <v>1027.5</v>
      </c>
      <c r="H11" s="120">
        <f>(D11/E11)-1</f>
        <v>0.6977928692699491</v>
      </c>
      <c r="J11" s="143">
        <f>VLOOKUP(B11,DataSource_ItemMaster!$A$1:$E$1005,3,FALSE)</f>
        <v>6</v>
      </c>
      <c r="K11" s="118">
        <f>VLOOKUP(B11,DataSource_ItemMaster!$A$1:$E$1005,4,FALSE)</f>
        <v>11</v>
      </c>
      <c r="L11" s="5"/>
      <c r="M11" s="169">
        <f>E11*K11</f>
        <v>16197.5</v>
      </c>
      <c r="N11" s="170">
        <f>J11*E11</f>
        <v>8835</v>
      </c>
      <c r="O11" s="171">
        <f>P11/52</f>
        <v>118.55769230769231</v>
      </c>
      <c r="P11" s="172">
        <f>G11*J11</f>
        <v>6165</v>
      </c>
      <c r="Q11" s="173"/>
      <c r="R11" s="189">
        <f>M11- (SUM(N11:P11))</f>
        <v>1078.9423076923085</v>
      </c>
      <c r="S11" s="179" t="s">
        <v>97</v>
      </c>
      <c r="T11" s="133"/>
    </row>
    <row r="12" spans="1:21">
      <c r="B12" s="144">
        <v>2</v>
      </c>
      <c r="C12" s="144" t="str">
        <f>VLOOKUP(B12,DataSource_ItemMaster!$A$1:$E$1005,2,FALSE)</f>
        <v>Flavor2</v>
      </c>
      <c r="D12" s="143">
        <f>(SUMIF(DataSource_DeliveryData!B:B,B12,DataSource_DeliveryData!D:D))/4</f>
        <v>3000</v>
      </c>
      <c r="E12" s="118">
        <f>(SUMIF(DataSource_CashRegister!B:B,B12,DataSource_CashRegister!D:D))/4</f>
        <v>2662.5</v>
      </c>
      <c r="F12" s="140"/>
      <c r="G12" s="118">
        <f>D12-E12</f>
        <v>337.5</v>
      </c>
      <c r="H12" s="120">
        <f>(D12/E12)-1</f>
        <v>0.12676056338028174</v>
      </c>
      <c r="J12" s="143">
        <f>VLOOKUP(B12,DataSource_ItemMaster!$A$1:$E$1005,3,FALSE)</f>
        <v>6</v>
      </c>
      <c r="K12" s="118">
        <f>VLOOKUP(B12,DataSource_ItemMaster!$A$1:$E$1005,4,FALSE)</f>
        <v>10</v>
      </c>
      <c r="L12" s="5"/>
      <c r="M12" s="169">
        <f t="shared" ref="M12:M14" si="0">E12*K12</f>
        <v>26625</v>
      </c>
      <c r="N12" s="170">
        <f t="shared" ref="N12:N14" si="1">J12*E12</f>
        <v>15975</v>
      </c>
      <c r="O12" s="171">
        <f t="shared" ref="O12:O14" si="2">P12/52</f>
        <v>38.942307692307693</v>
      </c>
      <c r="P12" s="172">
        <f t="shared" ref="P12:P14" si="3">G12*J12</f>
        <v>2025</v>
      </c>
      <c r="Q12" s="173"/>
      <c r="R12" s="189">
        <f t="shared" ref="R12:R14" si="4">M12- (SUM(N12:P12))</f>
        <v>8586.0576923076915</v>
      </c>
      <c r="S12" s="179" t="s">
        <v>84</v>
      </c>
      <c r="T12" s="133"/>
    </row>
    <row r="13" spans="1:21">
      <c r="B13" s="144">
        <v>3</v>
      </c>
      <c r="C13" s="144" t="str">
        <f>VLOOKUP(B13,DataSource_ItemMaster!$A$1:$E$1005,2,FALSE)</f>
        <v>Topping1</v>
      </c>
      <c r="D13" s="143">
        <f>(SUMIF(DataSource_DeliveryData!B:B,B13,DataSource_DeliveryData!D:D))/4</f>
        <v>2000</v>
      </c>
      <c r="E13" s="118">
        <f>(SUMIF(DataSource_CashRegister!B:B,B13,DataSource_CashRegister!D:D))/4</f>
        <v>1012.5</v>
      </c>
      <c r="F13" s="140"/>
      <c r="G13" s="118">
        <f>D13-E13</f>
        <v>987.5</v>
      </c>
      <c r="H13" s="120">
        <f>(D13/E13)-1</f>
        <v>0.97530864197530853</v>
      </c>
      <c r="J13" s="143">
        <f>VLOOKUP(B13,DataSource_ItemMaster!$A$1:$E$1005,3,FALSE)</f>
        <v>6</v>
      </c>
      <c r="K13" s="118">
        <f>VLOOKUP(B13,DataSource_ItemMaster!$A$1:$E$1005,4,FALSE)</f>
        <v>7</v>
      </c>
      <c r="L13" s="5"/>
      <c r="M13" s="169">
        <f t="shared" si="0"/>
        <v>7087.5</v>
      </c>
      <c r="N13" s="170">
        <f t="shared" si="1"/>
        <v>6075</v>
      </c>
      <c r="O13" s="171">
        <f t="shared" si="2"/>
        <v>113.94230769230769</v>
      </c>
      <c r="P13" s="172">
        <f t="shared" si="3"/>
        <v>5925</v>
      </c>
      <c r="Q13" s="173"/>
      <c r="R13" s="188">
        <f t="shared" si="4"/>
        <v>-5026.4423076923085</v>
      </c>
      <c r="S13" s="187" t="s">
        <v>83</v>
      </c>
      <c r="T13" s="133"/>
    </row>
    <row r="14" spans="1:21">
      <c r="B14" s="144">
        <v>4</v>
      </c>
      <c r="C14" s="144" t="str">
        <f>VLOOKUP(B14,DataSource_ItemMaster!$A$1:$E$1005,2,FALSE)</f>
        <v>Topping2</v>
      </c>
      <c r="D14" s="143">
        <f>(SUMIF(DataSource_DeliveryData!B:B,B14,DataSource_DeliveryData!D:D))/4</f>
        <v>3500</v>
      </c>
      <c r="E14" s="118">
        <f>(SUMIF(DataSource_CashRegister!B:B,B14,DataSource_CashRegister!D:D))/4</f>
        <v>3450</v>
      </c>
      <c r="F14" s="140"/>
      <c r="G14" s="118">
        <f>D14-E14</f>
        <v>50</v>
      </c>
      <c r="H14" s="120">
        <f>(D14/E14)-1</f>
        <v>1.449275362318847E-2</v>
      </c>
      <c r="J14" s="143">
        <f>VLOOKUP(B14,DataSource_ItemMaster!$A$1:$E$1005,3,FALSE)</f>
        <v>6</v>
      </c>
      <c r="K14" s="118">
        <f>VLOOKUP(B14,DataSource_ItemMaster!$A$1:$E$1005,4,FALSE)</f>
        <v>12</v>
      </c>
      <c r="L14" s="5"/>
      <c r="M14" s="169">
        <f t="shared" si="0"/>
        <v>41400</v>
      </c>
      <c r="N14" s="170">
        <f t="shared" si="1"/>
        <v>20700</v>
      </c>
      <c r="O14" s="171">
        <f t="shared" si="2"/>
        <v>5.7692307692307692</v>
      </c>
      <c r="P14" s="172">
        <f t="shared" si="3"/>
        <v>300</v>
      </c>
      <c r="Q14" s="173"/>
      <c r="R14" s="189">
        <f t="shared" si="4"/>
        <v>20394.23076923077</v>
      </c>
      <c r="S14" s="179" t="s">
        <v>82</v>
      </c>
      <c r="T14" s="133"/>
    </row>
    <row r="15" spans="1:21" s="9" customFormat="1" ht="15">
      <c r="D15" s="119">
        <f>SUBTOTAL(9,D11:D14)</f>
        <v>11000</v>
      </c>
      <c r="E15" s="119">
        <f>SUBTOTAL(9,E11:E14)</f>
        <v>8597.5</v>
      </c>
      <c r="F15" s="140"/>
      <c r="G15" s="119">
        <f>SUBTOTAL(9,G11:G14)</f>
        <v>2402.5</v>
      </c>
      <c r="H15" s="121">
        <f>(D15/E15)-1</f>
        <v>0.27944169816807207</v>
      </c>
      <c r="J15" s="5"/>
      <c r="K15" s="5"/>
      <c r="L15" s="5"/>
      <c r="M15" s="175">
        <f>SUBTOTAL(9,M11:M14)</f>
        <v>91310</v>
      </c>
      <c r="N15" s="175">
        <f>SUBTOTAL(9,N11:N14)</f>
        <v>51585</v>
      </c>
      <c r="O15" s="175">
        <f>SUBTOTAL(9,O11:O14)</f>
        <v>277.21153846153845</v>
      </c>
      <c r="P15" s="175">
        <f>SUBTOTAL(9,P11:P14)</f>
        <v>14415</v>
      </c>
      <c r="Q15" s="173"/>
      <c r="R15" s="178">
        <f>SUBTOTAL(9,R11:R14)</f>
        <v>25032.788461538461</v>
      </c>
      <c r="S15" s="173"/>
      <c r="U15" s="6"/>
    </row>
    <row r="16" spans="1:21" ht="45" customHeight="1">
      <c r="A16" s="146" t="s">
        <v>81</v>
      </c>
      <c r="B16" s="124"/>
      <c r="C16" s="124"/>
      <c r="D16" s="124"/>
      <c r="E16" s="124"/>
      <c r="F16" s="124"/>
      <c r="G16" s="124"/>
      <c r="H16" s="124"/>
      <c r="I16" s="124"/>
      <c r="J16" s="124"/>
      <c r="K16" s="124"/>
      <c r="L16" s="124"/>
      <c r="M16" s="124"/>
      <c r="N16" s="124"/>
      <c r="O16" s="124"/>
      <c r="P16" s="124"/>
      <c r="Q16" s="124"/>
      <c r="R16" s="124"/>
      <c r="S16" s="124"/>
      <c r="T16" s="124"/>
    </row>
    <row r="17" spans="1:21" s="9" customFormat="1">
      <c r="D17" s="135"/>
      <c r="E17" s="134"/>
      <c r="F17" s="10"/>
      <c r="G17" s="10"/>
      <c r="H17" s="10"/>
      <c r="J17" s="5"/>
      <c r="K17" s="5"/>
      <c r="L17" s="5"/>
      <c r="M17" s="5"/>
      <c r="N17" s="5"/>
      <c r="O17" s="5"/>
      <c r="P17" s="5"/>
      <c r="Q17" s="5"/>
      <c r="R17" s="5"/>
      <c r="S17" s="5"/>
      <c r="U17" s="6"/>
    </row>
    <row r="18" spans="1:21" s="126" customFormat="1">
      <c r="B18" s="138" t="s">
        <v>61</v>
      </c>
      <c r="C18" s="138"/>
      <c r="D18" s="138"/>
      <c r="E18" s="138"/>
      <c r="F18" s="138"/>
      <c r="G18" s="138"/>
      <c r="H18" s="138"/>
      <c r="I18" s="138"/>
      <c r="J18" s="138"/>
      <c r="K18" s="138"/>
      <c r="L18" s="138"/>
      <c r="M18" s="138"/>
      <c r="N18" s="138"/>
      <c r="O18" s="138"/>
      <c r="P18" s="138"/>
      <c r="Q18" s="138"/>
      <c r="R18" s="138"/>
      <c r="S18" s="138"/>
    </row>
    <row r="19" spans="1:21">
      <c r="B19" s="144">
        <v>1</v>
      </c>
      <c r="C19" s="144" t="str">
        <f>VLOOKUP(B19,DataSource_ItemMaster!$A$1:$E$1005,2,FALSE)</f>
        <v>Flavor1</v>
      </c>
      <c r="D19" s="176">
        <f>IF(H11&gt;0.2,E11*1.05,E11*1.2)</f>
        <v>1546.125</v>
      </c>
      <c r="E19" s="177">
        <f>IF(H11&gt;0.2,E11,E11*1.1)</f>
        <v>1472.5</v>
      </c>
      <c r="F19" s="140"/>
      <c r="G19" s="118">
        <f>D19-E19</f>
        <v>73.625</v>
      </c>
      <c r="H19" s="120">
        <f>(D19/E19)-1</f>
        <v>5.0000000000000044E-2</v>
      </c>
      <c r="J19" s="143">
        <f>VLOOKUP(B19,DataSource_ItemMaster!$A$1:$E$1005,3,FALSE)</f>
        <v>6</v>
      </c>
      <c r="K19" s="118">
        <f>VLOOKUP(B19,DataSource_ItemMaster!$A$1:$E$1005,4,FALSE)</f>
        <v>11</v>
      </c>
      <c r="L19" s="5"/>
      <c r="M19" s="169">
        <f>E19*K19</f>
        <v>16197.5</v>
      </c>
      <c r="N19" s="170">
        <f>J19*E19</f>
        <v>8835</v>
      </c>
      <c r="O19" s="171">
        <f>P19/52</f>
        <v>8.4951923076923084</v>
      </c>
      <c r="P19" s="172">
        <f>G19*J19</f>
        <v>441.75</v>
      </c>
      <c r="Q19" s="173"/>
      <c r="R19" s="174">
        <f>M19- (SUM(N19:P19))</f>
        <v>6912.2548076923085</v>
      </c>
      <c r="S19" s="173"/>
      <c r="T19" s="133"/>
    </row>
    <row r="20" spans="1:21">
      <c r="B20" s="144">
        <v>2</v>
      </c>
      <c r="C20" s="144" t="str">
        <f>VLOOKUP(B20,DataSource_ItemMaster!$A$1:$E$1005,2,FALSE)</f>
        <v>Flavor2</v>
      </c>
      <c r="D20" s="176">
        <f>IF(H12&gt;0.2,E12*1.05,E12*1.2)</f>
        <v>3195</v>
      </c>
      <c r="E20" s="177">
        <f>IF(H12&gt;0.2,E12,E12*1.1)</f>
        <v>2928.7500000000005</v>
      </c>
      <c r="F20" s="140"/>
      <c r="G20" s="118">
        <f>D20-E20</f>
        <v>266.24999999999955</v>
      </c>
      <c r="H20" s="120">
        <f>(D20/E20)-1</f>
        <v>9.0909090909090828E-2</v>
      </c>
      <c r="J20" s="143">
        <f>VLOOKUP(B20,DataSource_ItemMaster!$A$1:$E$1005,3,FALSE)</f>
        <v>6</v>
      </c>
      <c r="K20" s="118">
        <f>VLOOKUP(B20,DataSource_ItemMaster!$A$1:$E$1005,4,FALSE)</f>
        <v>10</v>
      </c>
      <c r="L20" s="5"/>
      <c r="M20" s="169">
        <f t="shared" ref="M20:M22" si="5">E20*K20</f>
        <v>29287.500000000004</v>
      </c>
      <c r="N20" s="170">
        <f t="shared" ref="N20:N22" si="6">J20*E20</f>
        <v>17572.500000000004</v>
      </c>
      <c r="O20" s="171">
        <f t="shared" ref="O20:O22" si="7">P20/52</f>
        <v>30.721153846153793</v>
      </c>
      <c r="P20" s="172">
        <f t="shared" ref="P20:P22" si="8">G20*J20</f>
        <v>1597.4999999999973</v>
      </c>
      <c r="Q20" s="173"/>
      <c r="R20" s="174">
        <f t="shared" ref="R20:R22" si="9">M20- (SUM(N20:P20))</f>
        <v>10086.778846153851</v>
      </c>
      <c r="S20" s="173"/>
      <c r="T20" s="133"/>
    </row>
    <row r="21" spans="1:21">
      <c r="B21" s="144">
        <v>3</v>
      </c>
      <c r="C21" s="144" t="str">
        <f>VLOOKUP(B21,DataSource_ItemMaster!$A$1:$E$1005,2,FALSE)</f>
        <v>Topping1</v>
      </c>
      <c r="D21" s="176">
        <f>IF(H13&gt;0.2,E13*1.05,E13*1.2)</f>
        <v>1063.125</v>
      </c>
      <c r="E21" s="177">
        <f>IF(H13&gt;0.2,E13,E13*1.1)</f>
        <v>1012.5</v>
      </c>
      <c r="F21" s="140"/>
      <c r="G21" s="118">
        <f>D21-E21</f>
        <v>50.625</v>
      </c>
      <c r="H21" s="120">
        <f>(D21/E21)-1</f>
        <v>5.0000000000000044E-2</v>
      </c>
      <c r="J21" s="143">
        <f>VLOOKUP(B21,DataSource_ItemMaster!$A$1:$E$1005,3,FALSE)</f>
        <v>6</v>
      </c>
      <c r="K21" s="118">
        <f>VLOOKUP(B21,DataSource_ItemMaster!$A$1:$E$1005,4,FALSE)</f>
        <v>7</v>
      </c>
      <c r="L21" s="5"/>
      <c r="M21" s="169">
        <f t="shared" si="5"/>
        <v>7087.5</v>
      </c>
      <c r="N21" s="170">
        <f t="shared" si="6"/>
        <v>6075</v>
      </c>
      <c r="O21" s="171">
        <f t="shared" si="7"/>
        <v>5.8413461538461542</v>
      </c>
      <c r="P21" s="172">
        <f t="shared" si="8"/>
        <v>303.75</v>
      </c>
      <c r="Q21" s="173"/>
      <c r="R21" s="174">
        <f t="shared" si="9"/>
        <v>702.90865384615427</v>
      </c>
      <c r="S21" s="173"/>
      <c r="T21" s="133"/>
    </row>
    <row r="22" spans="1:21">
      <c r="B22" s="144">
        <v>4</v>
      </c>
      <c r="C22" s="144" t="str">
        <f>VLOOKUP(B22,DataSource_ItemMaster!$A$1:$E$1005,2,FALSE)</f>
        <v>Topping2</v>
      </c>
      <c r="D22" s="176">
        <f>IF(H14&gt;0.2,E14*1.05,E14*1.2)</f>
        <v>4140</v>
      </c>
      <c r="E22" s="177">
        <f>IF(H14&gt;0.2,E14,E14*1.1)</f>
        <v>3795.0000000000005</v>
      </c>
      <c r="F22" s="140"/>
      <c r="G22" s="118">
        <f>D22-E22</f>
        <v>344.99999999999955</v>
      </c>
      <c r="H22" s="120">
        <f>(D22/E22)-1</f>
        <v>9.0909090909090828E-2</v>
      </c>
      <c r="J22" s="143">
        <f>VLOOKUP(B22,DataSource_ItemMaster!$A$1:$E$1005,3,FALSE)</f>
        <v>6</v>
      </c>
      <c r="K22" s="118">
        <f>VLOOKUP(B22,DataSource_ItemMaster!$A$1:$E$1005,4,FALSE)</f>
        <v>12</v>
      </c>
      <c r="L22" s="5"/>
      <c r="M22" s="169">
        <f t="shared" si="5"/>
        <v>45540.000000000007</v>
      </c>
      <c r="N22" s="170">
        <f t="shared" si="6"/>
        <v>22770.000000000004</v>
      </c>
      <c r="O22" s="171">
        <f t="shared" si="7"/>
        <v>39.807692307692257</v>
      </c>
      <c r="P22" s="172">
        <f t="shared" si="8"/>
        <v>2069.9999999999973</v>
      </c>
      <c r="Q22" s="173"/>
      <c r="R22" s="174">
        <f t="shared" si="9"/>
        <v>20660.192307692316</v>
      </c>
      <c r="S22" s="173"/>
      <c r="T22" s="133"/>
    </row>
    <row r="23" spans="1:21" s="9" customFormat="1" ht="15">
      <c r="D23" s="119">
        <f>SUBTOTAL(9,D19:D22)</f>
        <v>9944.25</v>
      </c>
      <c r="E23" s="119">
        <f>SUBTOTAL(9,E19:E22)</f>
        <v>9208.75</v>
      </c>
      <c r="F23" s="140"/>
      <c r="G23" s="119">
        <f>SUBTOTAL(9,G19:G22)</f>
        <v>735.49999999999909</v>
      </c>
      <c r="H23" s="121">
        <f>(D23/E23)-1</f>
        <v>7.9869689154336898E-2</v>
      </c>
      <c r="J23" s="5"/>
      <c r="K23" s="5"/>
      <c r="L23" s="5"/>
      <c r="M23" s="175">
        <f>SUBTOTAL(9,M19:M22)</f>
        <v>98112.5</v>
      </c>
      <c r="N23" s="175">
        <f>SUBTOTAL(9,N19:N22)</f>
        <v>55252.500000000007</v>
      </c>
      <c r="O23" s="175">
        <f>SUBTOTAL(9,O19:O22)</f>
        <v>84.865384615384514</v>
      </c>
      <c r="P23" s="175">
        <f>SUBTOTAL(9,P19:P22)</f>
        <v>4412.9999999999945</v>
      </c>
      <c r="Q23" s="173"/>
      <c r="R23" s="178">
        <f>SUBTOTAL(9,R19:R22)</f>
        <v>38362.134615384624</v>
      </c>
      <c r="S23" s="173"/>
      <c r="U23" s="6"/>
    </row>
    <row r="24" spans="1:21" ht="118" customHeight="1">
      <c r="A24" s="146" t="s">
        <v>98</v>
      </c>
      <c r="B24" s="124"/>
      <c r="C24" s="124"/>
      <c r="D24" s="124"/>
      <c r="E24" s="124"/>
      <c r="F24" s="124"/>
      <c r="G24" s="124"/>
      <c r="H24" s="124"/>
      <c r="I24" s="124"/>
      <c r="J24" s="124"/>
      <c r="K24" s="124"/>
      <c r="L24" s="124"/>
      <c r="M24" s="124"/>
      <c r="N24" s="124"/>
      <c r="O24" s="124"/>
      <c r="P24" s="124"/>
      <c r="Q24" s="124"/>
      <c r="R24" s="124"/>
      <c r="S24" s="124"/>
      <c r="T24" s="124"/>
    </row>
    <row r="25" spans="1:21" ht="6" customHeight="1"/>
    <row r="26" spans="1:21" s="9" customFormat="1">
      <c r="D26" s="135"/>
      <c r="E26" s="134"/>
      <c r="F26" s="10"/>
      <c r="G26" s="136"/>
      <c r="H26" s="10"/>
      <c r="J26" s="5"/>
      <c r="K26" s="5"/>
      <c r="L26" s="5"/>
      <c r="M26" s="5"/>
      <c r="N26" s="5"/>
      <c r="O26" s="5"/>
      <c r="P26" s="5"/>
      <c r="Q26" s="5"/>
      <c r="R26" s="5"/>
      <c r="S26" s="5"/>
    </row>
    <row r="27" spans="1:21">
      <c r="E27" s="137"/>
    </row>
  </sheetData>
  <mergeCells count="6">
    <mergeCell ref="A24:T24"/>
    <mergeCell ref="A1:S1"/>
    <mergeCell ref="A2:T2"/>
    <mergeCell ref="B4:S4"/>
    <mergeCell ref="A16:T16"/>
    <mergeCell ref="B18:S18"/>
  </mergeCells>
  <phoneticPr fontId="32" type="noConversion"/>
  <pageMargins left="0.25" right="0.25" top="0.75" bottom="0.75" header="0.3" footer="0.3"/>
  <pageSetup paperSize="5"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zoomScale="125" zoomScaleNormal="125" zoomScalePageLayoutView="125" workbookViewId="0">
      <selection activeCell="I32" sqref="I32"/>
    </sheetView>
  </sheetViews>
  <sheetFormatPr baseColWidth="10" defaultColWidth="8.83203125" defaultRowHeight="14" x14ac:dyDescent="0"/>
  <cols>
    <col min="1" max="1" width="1.33203125" style="42" customWidth="1"/>
    <col min="2" max="2" width="2.33203125" style="42" customWidth="1"/>
    <col min="3" max="3" width="16.1640625" style="40" customWidth="1"/>
    <col min="4" max="4" width="1.33203125" style="40" customWidth="1"/>
    <col min="5" max="9" width="11.1640625" style="53" customWidth="1"/>
    <col min="10" max="10" width="1.33203125" style="53" customWidth="1"/>
    <col min="11" max="11" width="11.1640625" style="53" customWidth="1"/>
    <col min="12" max="12" width="1.33203125" style="40" customWidth="1"/>
    <col min="13" max="13" width="41.5" style="40" customWidth="1"/>
    <col min="14" max="14" width="13.83203125" style="40" customWidth="1"/>
    <col min="15" max="15" width="1.33203125" style="40" customWidth="1"/>
    <col min="16" max="16" width="3.1640625" style="40" customWidth="1"/>
    <col min="17" max="17" width="1.33203125" style="41" customWidth="1"/>
    <col min="18" max="16384" width="8.83203125" style="40"/>
  </cols>
  <sheetData>
    <row r="1" spans="1:17" s="76" customFormat="1" ht="18">
      <c r="A1" s="99" t="s">
        <v>95</v>
      </c>
      <c r="B1" s="99"/>
      <c r="C1" s="99"/>
      <c r="D1" s="99"/>
      <c r="E1" s="99"/>
      <c r="F1" s="99"/>
      <c r="G1" s="99"/>
      <c r="H1" s="99"/>
      <c r="I1" s="99"/>
      <c r="J1" s="99"/>
      <c r="K1" s="99"/>
      <c r="L1" s="99"/>
      <c r="M1" s="99"/>
      <c r="N1" s="99"/>
      <c r="O1" s="99"/>
      <c r="Q1" s="77"/>
    </row>
    <row r="2" spans="1:17" ht="39" customHeight="1">
      <c r="A2" s="103" t="s">
        <v>99</v>
      </c>
      <c r="B2" s="103"/>
      <c r="C2" s="103"/>
      <c r="D2" s="103"/>
      <c r="E2" s="103"/>
      <c r="F2" s="103"/>
      <c r="G2" s="103"/>
      <c r="H2" s="103"/>
      <c r="I2" s="103"/>
      <c r="J2" s="103"/>
      <c r="K2" s="103"/>
      <c r="L2" s="103"/>
      <c r="M2" s="103"/>
      <c r="N2" s="103"/>
      <c r="O2" s="103"/>
      <c r="P2" s="103"/>
    </row>
    <row r="3" spans="1:17" s="55" customFormat="1" ht="6" customHeight="1">
      <c r="A3" s="52"/>
      <c r="B3" s="52"/>
      <c r="C3" s="40"/>
      <c r="D3" s="47"/>
      <c r="E3" s="53"/>
      <c r="F3" s="53"/>
      <c r="G3" s="53"/>
      <c r="H3" s="53"/>
      <c r="I3" s="53"/>
      <c r="J3" s="53"/>
      <c r="K3" s="53"/>
      <c r="L3" s="47"/>
      <c r="M3" s="40"/>
      <c r="N3" s="40"/>
      <c r="O3" s="44"/>
      <c r="P3" s="47"/>
      <c r="Q3" s="51"/>
    </row>
    <row r="4" spans="1:17" s="44" customFormat="1" ht="14" customHeight="1">
      <c r="A4" s="43"/>
      <c r="B4" s="43"/>
      <c r="E4" s="181" t="s">
        <v>52</v>
      </c>
      <c r="F4" s="182"/>
      <c r="G4" s="182"/>
      <c r="H4" s="182"/>
      <c r="I4" s="182"/>
      <c r="J4" s="53"/>
      <c r="K4" s="180"/>
      <c r="Q4" s="45"/>
    </row>
    <row r="5" spans="1:17" s="47" customFormat="1" ht="28">
      <c r="A5" s="46"/>
      <c r="B5" s="46"/>
      <c r="E5" s="48" t="s">
        <v>0</v>
      </c>
      <c r="F5" s="48" t="s">
        <v>1</v>
      </c>
      <c r="G5" s="48" t="s">
        <v>2</v>
      </c>
      <c r="H5" s="48" t="s">
        <v>3</v>
      </c>
      <c r="I5" s="48" t="s">
        <v>93</v>
      </c>
      <c r="J5" s="184"/>
      <c r="K5" s="48" t="s">
        <v>92</v>
      </c>
      <c r="M5" s="49" t="s">
        <v>79</v>
      </c>
      <c r="N5" s="49" t="s">
        <v>68</v>
      </c>
      <c r="O5" s="44"/>
      <c r="Q5" s="51"/>
    </row>
    <row r="6" spans="1:17" s="52" customFormat="1" ht="6" customHeight="1">
      <c r="C6" s="40"/>
      <c r="D6" s="47"/>
      <c r="E6" s="53"/>
      <c r="F6" s="53"/>
      <c r="G6" s="53"/>
      <c r="H6" s="53"/>
      <c r="I6" s="53"/>
      <c r="J6" s="53"/>
      <c r="K6" s="53"/>
      <c r="L6" s="47"/>
      <c r="M6" s="40"/>
      <c r="N6" s="40"/>
      <c r="O6" s="44"/>
      <c r="P6" s="47"/>
      <c r="Q6" s="51"/>
    </row>
    <row r="7" spans="1:17" s="56" customFormat="1">
      <c r="B7" s="57" t="s">
        <v>24</v>
      </c>
      <c r="C7" s="94" t="s">
        <v>16</v>
      </c>
      <c r="D7" s="47"/>
      <c r="E7" s="83">
        <v>10000</v>
      </c>
      <c r="F7" s="83">
        <f>E7*0.9</f>
        <v>9000</v>
      </c>
      <c r="G7" s="83">
        <f>F7*0.9</f>
        <v>8100</v>
      </c>
      <c r="H7" s="83">
        <f>G7*0.9</f>
        <v>7290</v>
      </c>
      <c r="I7" s="83">
        <f>H7*0.9</f>
        <v>6561</v>
      </c>
      <c r="J7" s="53"/>
      <c r="K7" s="83">
        <v>9209</v>
      </c>
      <c r="L7" s="47"/>
      <c r="M7" s="83" t="s">
        <v>85</v>
      </c>
      <c r="N7" s="83"/>
      <c r="O7" s="44"/>
      <c r="P7" s="47"/>
      <c r="Q7" s="51"/>
    </row>
    <row r="8" spans="1:17" s="56" customFormat="1">
      <c r="B8" s="57" t="s">
        <v>25</v>
      </c>
      <c r="C8" s="94" t="s">
        <v>35</v>
      </c>
      <c r="D8" s="47"/>
      <c r="E8" s="83">
        <v>11000</v>
      </c>
      <c r="F8" s="83">
        <v>11000</v>
      </c>
      <c r="G8" s="83">
        <v>11000</v>
      </c>
      <c r="H8" s="83">
        <v>11000</v>
      </c>
      <c r="I8" s="83">
        <f>H8</f>
        <v>11000</v>
      </c>
      <c r="J8" s="53"/>
      <c r="K8" s="83">
        <v>9944</v>
      </c>
      <c r="L8" s="47"/>
      <c r="M8" s="83" t="s">
        <v>86</v>
      </c>
      <c r="N8" s="83"/>
      <c r="O8" s="44"/>
      <c r="P8" s="47"/>
      <c r="Q8" s="51"/>
    </row>
    <row r="9" spans="1:17" s="52" customFormat="1" ht="6" customHeight="1">
      <c r="C9" s="40"/>
      <c r="D9" s="47"/>
      <c r="E9" s="53"/>
      <c r="F9" s="53"/>
      <c r="G9" s="53"/>
      <c r="H9" s="53"/>
      <c r="I9" s="53"/>
      <c r="J9" s="53"/>
      <c r="K9" s="53"/>
      <c r="L9" s="47"/>
      <c r="M9" s="40"/>
      <c r="N9" s="40"/>
      <c r="O9" s="44"/>
      <c r="P9" s="47"/>
      <c r="Q9" s="51"/>
    </row>
    <row r="10" spans="1:17" s="42" customFormat="1">
      <c r="B10" s="59" t="s">
        <v>26</v>
      </c>
      <c r="C10" s="95" t="s">
        <v>23</v>
      </c>
      <c r="D10" s="47"/>
      <c r="E10" s="86">
        <v>105800</v>
      </c>
      <c r="F10" s="86">
        <v>95650</v>
      </c>
      <c r="G10" s="86">
        <v>85800</v>
      </c>
      <c r="H10" s="86">
        <v>77990</v>
      </c>
      <c r="I10" s="86">
        <f>H10*0.9</f>
        <v>70191</v>
      </c>
      <c r="J10" s="53"/>
      <c r="K10" s="86">
        <v>98113</v>
      </c>
      <c r="L10" s="47"/>
      <c r="M10" s="85" t="s">
        <v>87</v>
      </c>
      <c r="N10" s="85"/>
      <c r="O10" s="44"/>
      <c r="P10" s="47"/>
      <c r="Q10" s="51"/>
    </row>
    <row r="11" spans="1:17" s="42" customFormat="1">
      <c r="B11" s="59" t="s">
        <v>27</v>
      </c>
      <c r="C11" s="96" t="s">
        <v>22</v>
      </c>
      <c r="D11" s="47"/>
      <c r="E11" s="89">
        <v>60000</v>
      </c>
      <c r="F11" s="89">
        <f>E11*0.9</f>
        <v>54000</v>
      </c>
      <c r="G11" s="89">
        <f>F11*0.9</f>
        <v>48600</v>
      </c>
      <c r="H11" s="89">
        <f>G11*0.9</f>
        <v>43740</v>
      </c>
      <c r="I11" s="89">
        <f>H11*0.9</f>
        <v>39366</v>
      </c>
      <c r="J11" s="53"/>
      <c r="K11" s="89">
        <v>55253</v>
      </c>
      <c r="L11" s="47"/>
      <c r="M11" s="88" t="s">
        <v>88</v>
      </c>
      <c r="N11" s="88"/>
      <c r="O11" s="44"/>
      <c r="P11" s="47"/>
      <c r="Q11" s="51"/>
    </row>
    <row r="12" spans="1:17" s="42" customFormat="1">
      <c r="B12" s="59" t="s">
        <v>28</v>
      </c>
      <c r="C12" s="147" t="s">
        <v>7</v>
      </c>
      <c r="D12" s="47"/>
      <c r="E12" s="63">
        <f>E13/52</f>
        <v>115.38461538461539</v>
      </c>
      <c r="F12" s="63">
        <f>F13/52</f>
        <v>230.76923076923077</v>
      </c>
      <c r="G12" s="63">
        <f>G13/52</f>
        <v>334.61538461538464</v>
      </c>
      <c r="H12" s="63">
        <f>H13/52</f>
        <v>428.07692307692309</v>
      </c>
      <c r="I12" s="63">
        <f>I13/52</f>
        <v>512.19230769230774</v>
      </c>
      <c r="J12" s="53"/>
      <c r="K12" s="63">
        <v>85</v>
      </c>
      <c r="L12" s="47"/>
      <c r="M12" s="62" t="s">
        <v>89</v>
      </c>
      <c r="N12" s="62"/>
      <c r="O12" s="44"/>
      <c r="P12" s="47"/>
      <c r="Q12" s="51"/>
    </row>
    <row r="13" spans="1:17" s="42" customFormat="1">
      <c r="B13" s="59" t="s">
        <v>29</v>
      </c>
      <c r="C13" s="149" t="s">
        <v>8</v>
      </c>
      <c r="D13" s="47"/>
      <c r="E13" s="150">
        <f>(E8-E7)*E16</f>
        <v>6000</v>
      </c>
      <c r="F13" s="150">
        <f>(F8-F7)*F16</f>
        <v>12000</v>
      </c>
      <c r="G13" s="150">
        <f>(G8-G7)*G16</f>
        <v>17400</v>
      </c>
      <c r="H13" s="150">
        <f>(H8-H7)*H16</f>
        <v>22260</v>
      </c>
      <c r="I13" s="150">
        <f>(I8-I7)*I16</f>
        <v>26634</v>
      </c>
      <c r="J13" s="53"/>
      <c r="K13" s="150">
        <v>4413</v>
      </c>
      <c r="L13" s="47"/>
      <c r="M13" s="151" t="s">
        <v>90</v>
      </c>
      <c r="N13" s="152" t="s">
        <v>40</v>
      </c>
      <c r="O13" s="44"/>
      <c r="P13" s="47"/>
      <c r="Q13" s="51"/>
    </row>
    <row r="14" spans="1:17" s="42" customFormat="1">
      <c r="B14" s="59" t="s">
        <v>30</v>
      </c>
      <c r="C14" s="97" t="s">
        <v>9</v>
      </c>
      <c r="D14" s="47"/>
      <c r="E14" s="92">
        <f>E10-(E11+E13+E12)</f>
        <v>39684.61538461539</v>
      </c>
      <c r="F14" s="92">
        <f>F10-(F11+F13+F12)</f>
        <v>29419.230769230766</v>
      </c>
      <c r="G14" s="92">
        <f>G10-(G11+G13+G12)</f>
        <v>19465.38461538461</v>
      </c>
      <c r="H14" s="92">
        <f>H10-(H11+H13+H12)</f>
        <v>11561.923076923078</v>
      </c>
      <c r="I14" s="92">
        <f>I10-(I11+I13+I12)</f>
        <v>3678.8076923076878</v>
      </c>
      <c r="J14" s="53"/>
      <c r="K14" s="92">
        <f>K10-(K11+K13+K12)</f>
        <v>38362</v>
      </c>
      <c r="L14" s="47"/>
      <c r="M14" s="183" t="s">
        <v>91</v>
      </c>
      <c r="N14" s="98" t="s">
        <v>71</v>
      </c>
      <c r="O14" s="44"/>
      <c r="P14" s="47"/>
      <c r="Q14" s="51"/>
    </row>
    <row r="15" spans="1:17" s="55" customFormat="1" ht="6" customHeight="1">
      <c r="A15" s="52"/>
      <c r="B15" s="52"/>
      <c r="C15" s="40"/>
      <c r="D15" s="47"/>
      <c r="E15" s="53"/>
      <c r="F15" s="53"/>
      <c r="G15" s="53"/>
      <c r="H15" s="53"/>
      <c r="I15" s="53"/>
      <c r="J15" s="53"/>
      <c r="K15" s="53"/>
      <c r="L15" s="47"/>
      <c r="M15" s="40"/>
      <c r="N15" s="40"/>
      <c r="O15" s="44"/>
      <c r="P15" s="47"/>
      <c r="Q15" s="51"/>
    </row>
    <row r="16" spans="1:17">
      <c r="B16" s="59" t="s">
        <v>31</v>
      </c>
      <c r="C16" s="65" t="s">
        <v>10</v>
      </c>
      <c r="D16" s="47"/>
      <c r="E16" s="66">
        <f>E11/E7</f>
        <v>6</v>
      </c>
      <c r="F16" s="66">
        <f>F11/F7</f>
        <v>6</v>
      </c>
      <c r="G16" s="66">
        <f>G11/G7</f>
        <v>6</v>
      </c>
      <c r="H16" s="66">
        <f>H11/H7</f>
        <v>6</v>
      </c>
      <c r="I16" s="66">
        <f>I11/I7</f>
        <v>6</v>
      </c>
      <c r="K16" s="66">
        <f>K11/K7</f>
        <v>5.9998914105766099</v>
      </c>
      <c r="L16" s="47"/>
      <c r="M16" s="65"/>
      <c r="N16" s="67" t="s">
        <v>39</v>
      </c>
      <c r="O16" s="44"/>
      <c r="P16" s="47"/>
      <c r="Q16" s="51"/>
    </row>
    <row r="17" spans="1:17">
      <c r="D17" s="47"/>
      <c r="L17" s="47"/>
      <c r="O17" s="44"/>
    </row>
    <row r="18" spans="1:17" s="55" customFormat="1">
      <c r="A18" s="52"/>
      <c r="B18" s="52"/>
      <c r="C18" s="40"/>
      <c r="D18" s="47"/>
      <c r="E18" s="53"/>
      <c r="F18" s="53"/>
      <c r="G18" s="53"/>
      <c r="H18" s="53"/>
      <c r="I18" s="53"/>
      <c r="J18" s="53"/>
      <c r="K18" s="53"/>
      <c r="L18" s="47"/>
      <c r="M18" s="40"/>
      <c r="N18" s="40"/>
      <c r="O18" s="44"/>
      <c r="Q18" s="69"/>
    </row>
    <row r="19" spans="1:17">
      <c r="A19" s="52"/>
      <c r="B19" s="52"/>
      <c r="D19" s="47"/>
      <c r="L19" s="47"/>
      <c r="O19" s="44"/>
    </row>
    <row r="20" spans="1:17">
      <c r="A20" s="52"/>
      <c r="B20" s="52"/>
      <c r="D20" s="47"/>
      <c r="L20" s="47"/>
      <c r="N20" s="78"/>
      <c r="O20" s="44"/>
    </row>
    <row r="21" spans="1:17">
      <c r="D21" s="47"/>
      <c r="L21" s="47"/>
      <c r="O21" s="44"/>
    </row>
    <row r="22" spans="1:17">
      <c r="D22" s="47"/>
      <c r="L22" s="47"/>
      <c r="O22" s="44"/>
    </row>
    <row r="23" spans="1:17">
      <c r="D23" s="47"/>
    </row>
    <row r="24" spans="1:17">
      <c r="D24" s="47"/>
    </row>
    <row r="25" spans="1:17">
      <c r="D25" s="47"/>
    </row>
    <row r="26" spans="1:17">
      <c r="D26" s="47"/>
    </row>
    <row r="27" spans="1:17">
      <c r="D27" s="47"/>
    </row>
    <row r="28" spans="1:17" s="71" customFormat="1">
      <c r="A28" s="70"/>
      <c r="B28" s="70"/>
      <c r="D28" s="72"/>
      <c r="E28" s="73"/>
      <c r="F28" s="73"/>
      <c r="G28" s="73"/>
      <c r="H28" s="73"/>
      <c r="I28" s="73"/>
      <c r="J28" s="73"/>
      <c r="K28" s="73"/>
      <c r="Q28" s="75"/>
    </row>
    <row r="29" spans="1:17">
      <c r="D29" s="47"/>
    </row>
    <row r="30" spans="1:17">
      <c r="D30" s="47"/>
    </row>
    <row r="31" spans="1:17" ht="20" customHeight="1">
      <c r="A31" s="104" t="s">
        <v>94</v>
      </c>
      <c r="B31" s="104"/>
      <c r="C31" s="104"/>
      <c r="D31" s="104"/>
      <c r="E31" s="104"/>
      <c r="F31" s="104"/>
      <c r="G31" s="104"/>
      <c r="H31" s="104"/>
      <c r="I31" s="104"/>
      <c r="J31" s="104"/>
      <c r="K31" s="104"/>
      <c r="L31" s="104"/>
      <c r="M31" s="104"/>
      <c r="N31" s="104"/>
      <c r="O31" s="104"/>
      <c r="P31" s="104"/>
    </row>
    <row r="32" spans="1:17">
      <c r="D32" s="47"/>
    </row>
    <row r="33" spans="3:11">
      <c r="D33" s="47"/>
    </row>
    <row r="34" spans="3:11">
      <c r="D34" s="47"/>
    </row>
    <row r="35" spans="3:11">
      <c r="D35" s="47"/>
    </row>
    <row r="36" spans="3:11">
      <c r="D36" s="47"/>
    </row>
    <row r="37" spans="3:11">
      <c r="D37" s="47"/>
    </row>
    <row r="38" spans="3:11">
      <c r="D38" s="47"/>
    </row>
    <row r="41" spans="3:11" ht="28">
      <c r="E41" s="48" t="s">
        <v>0</v>
      </c>
      <c r="F41" s="48" t="s">
        <v>1</v>
      </c>
      <c r="G41" s="48" t="s">
        <v>2</v>
      </c>
      <c r="H41" s="48" t="s">
        <v>3</v>
      </c>
      <c r="I41" s="48" t="s">
        <v>93</v>
      </c>
      <c r="J41" s="48"/>
      <c r="K41" s="48" t="s">
        <v>92</v>
      </c>
    </row>
    <row r="42" spans="3:11">
      <c r="C42" s="60" t="s">
        <v>23</v>
      </c>
      <c r="D42" s="47"/>
      <c r="E42" s="61">
        <v>105800</v>
      </c>
      <c r="F42" s="61">
        <v>95650</v>
      </c>
      <c r="G42" s="61">
        <v>85800</v>
      </c>
      <c r="H42" s="61">
        <v>77990</v>
      </c>
      <c r="I42" s="61">
        <v>70191</v>
      </c>
      <c r="J42" s="61"/>
      <c r="K42" s="61">
        <v>98113</v>
      </c>
    </row>
    <row r="43" spans="3:11">
      <c r="C43" s="60" t="s">
        <v>22</v>
      </c>
      <c r="D43" s="47"/>
      <c r="E43" s="61">
        <v>60000</v>
      </c>
      <c r="F43" s="61">
        <f>E43*0.9</f>
        <v>54000</v>
      </c>
      <c r="G43" s="61">
        <f>F43*0.9</f>
        <v>48600</v>
      </c>
      <c r="H43" s="61">
        <f>G43*0.9</f>
        <v>43740</v>
      </c>
      <c r="I43" s="61">
        <v>39366</v>
      </c>
      <c r="J43" s="61"/>
      <c r="K43" s="61">
        <v>55253</v>
      </c>
    </row>
    <row r="45" spans="3:11">
      <c r="C45" s="60" t="s">
        <v>7</v>
      </c>
      <c r="D45" s="47"/>
      <c r="E45" s="61">
        <v>115.38461538461539</v>
      </c>
      <c r="F45" s="61">
        <v>230.76923076923077</v>
      </c>
      <c r="G45" s="61">
        <v>334.61538461538464</v>
      </c>
      <c r="H45" s="61">
        <v>428.07692307692309</v>
      </c>
      <c r="I45" s="61">
        <v>512</v>
      </c>
      <c r="J45" s="61"/>
      <c r="K45" s="61">
        <v>85</v>
      </c>
    </row>
    <row r="46" spans="3:11">
      <c r="C46" s="62" t="s">
        <v>8</v>
      </c>
      <c r="D46" s="47"/>
      <c r="E46" s="63">
        <v>6000</v>
      </c>
      <c r="F46" s="63">
        <v>12000</v>
      </c>
      <c r="G46" s="63">
        <v>17400</v>
      </c>
      <c r="H46" s="63">
        <v>22260</v>
      </c>
      <c r="I46" s="63">
        <v>26634</v>
      </c>
      <c r="J46" s="63"/>
      <c r="K46" s="63">
        <v>4413</v>
      </c>
    </row>
    <row r="48" spans="3:11">
      <c r="C48" s="40" t="s">
        <v>9</v>
      </c>
      <c r="D48" s="47"/>
      <c r="E48" s="64">
        <v>39684.61538461539</v>
      </c>
      <c r="F48" s="64">
        <v>29419.230769230766</v>
      </c>
      <c r="G48" s="64">
        <v>19465.38461538461</v>
      </c>
      <c r="H48" s="64">
        <v>11561.923076923078</v>
      </c>
      <c r="I48" s="64">
        <v>3679</v>
      </c>
      <c r="J48" s="64"/>
      <c r="K48" s="64">
        <v>38362</v>
      </c>
    </row>
    <row r="49" spans="3:12">
      <c r="C49" s="42"/>
      <c r="D49" s="42"/>
      <c r="E49" s="42"/>
      <c r="F49" s="42"/>
      <c r="G49" s="42"/>
      <c r="H49" s="42"/>
      <c r="I49" s="42"/>
      <c r="J49" s="42"/>
      <c r="K49" s="42"/>
      <c r="L49" s="42"/>
    </row>
  </sheetData>
  <mergeCells count="4">
    <mergeCell ref="A1:O1"/>
    <mergeCell ref="A2:P2"/>
    <mergeCell ref="E4:I4"/>
    <mergeCell ref="A31:P31"/>
  </mergeCells>
  <phoneticPr fontId="32" type="noConversion"/>
  <pageMargins left="0.25" right="0.25" top="0.5" bottom="0.5" header="0.3" footer="0.3"/>
  <pageSetup paperSize="5" orientation="landscape"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zoomScale="150" zoomScaleNormal="150" zoomScalePageLayoutView="150" workbookViewId="0">
      <pane xSplit="3" ySplit="4" topLeftCell="D5" activePane="bottomRight" state="frozen"/>
      <selection pane="topRight" activeCell="D1" sqref="D1"/>
      <selection pane="bottomLeft" activeCell="A4" sqref="A4"/>
      <selection pane="bottomRight" activeCell="D8" sqref="D8"/>
    </sheetView>
  </sheetViews>
  <sheetFormatPr baseColWidth="10" defaultColWidth="8.83203125" defaultRowHeight="14" x14ac:dyDescent="0"/>
  <cols>
    <col min="1" max="1" width="2.1640625" customWidth="1"/>
    <col min="2" max="2" width="11.33203125" customWidth="1"/>
    <col min="3" max="3" width="13" bestFit="1" customWidth="1"/>
    <col min="4" max="4" width="11" style="17" customWidth="1"/>
    <col min="5" max="5" width="14.5" style="16" customWidth="1"/>
    <col min="6" max="6" width="6.33203125" style="16" customWidth="1"/>
    <col min="7" max="10" width="10.1640625" style="16" customWidth="1"/>
    <col min="11" max="14" width="9.1640625" customWidth="1"/>
  </cols>
  <sheetData>
    <row r="1" spans="1:14" s="34" customFormat="1" ht="18">
      <c r="A1" s="105" t="s">
        <v>42</v>
      </c>
      <c r="B1" s="105"/>
      <c r="C1" s="105"/>
      <c r="D1" s="105"/>
      <c r="E1" s="105"/>
      <c r="F1" s="105"/>
      <c r="G1" s="105"/>
      <c r="H1" s="105"/>
      <c r="I1" s="105"/>
      <c r="J1" s="35"/>
    </row>
    <row r="2" spans="1:14" s="18" customFormat="1">
      <c r="B2" s="106" t="s">
        <v>43</v>
      </c>
      <c r="C2" s="107"/>
      <c r="D2" s="108"/>
      <c r="E2" s="19"/>
      <c r="F2" s="19"/>
      <c r="G2" s="19"/>
      <c r="H2" s="19"/>
      <c r="I2" s="19"/>
      <c r="J2" s="19"/>
    </row>
    <row r="3" spans="1:14" s="18" customFormat="1">
      <c r="B3" s="109"/>
      <c r="C3" s="110"/>
      <c r="D3" s="111"/>
      <c r="E3" s="19"/>
      <c r="F3" s="19"/>
      <c r="G3" s="19"/>
      <c r="H3" s="19"/>
      <c r="I3" s="19"/>
      <c r="J3" s="19"/>
    </row>
    <row r="4" spans="1:14" s="20" customFormat="1" ht="28">
      <c r="B4" s="21" t="s">
        <v>17</v>
      </c>
      <c r="C4" s="21" t="s">
        <v>13</v>
      </c>
      <c r="D4" s="22" t="s">
        <v>19</v>
      </c>
      <c r="E4" s="23" t="s">
        <v>44</v>
      </c>
      <c r="F4" s="23" t="s">
        <v>48</v>
      </c>
      <c r="G4" s="23" t="s">
        <v>49</v>
      </c>
      <c r="H4" s="23" t="s">
        <v>50</v>
      </c>
      <c r="I4" s="23" t="s">
        <v>22</v>
      </c>
      <c r="J4" s="19"/>
      <c r="K4" s="26"/>
      <c r="L4" s="25">
        <v>2015</v>
      </c>
      <c r="M4" s="25">
        <v>2016</v>
      </c>
      <c r="N4" s="25">
        <v>2017</v>
      </c>
    </row>
    <row r="5" spans="1:14">
      <c r="B5" s="36">
        <v>1</v>
      </c>
      <c r="C5" s="36" t="str">
        <f>VLOOKUP(B5,DataSource_ItemMaster!$A$3:$D$111,2,FALSE)</f>
        <v>Flavor1</v>
      </c>
      <c r="D5" s="37">
        <v>1750</v>
      </c>
      <c r="E5" s="38">
        <v>41640</v>
      </c>
      <c r="F5" s="39">
        <f>YEAR(E5)</f>
        <v>2014</v>
      </c>
      <c r="G5" s="39">
        <f>VLOOKUP(B5,DataSource_ItemMaster!$A$3:$D$111,4,FALSE)</f>
        <v>11</v>
      </c>
      <c r="H5" s="37">
        <f>G5*D5</f>
        <v>19250</v>
      </c>
      <c r="I5" s="37">
        <f>D5*6</f>
        <v>10500</v>
      </c>
      <c r="J5" s="17"/>
      <c r="K5" s="28">
        <f>SUMIF(F5:F23,$K$4,D5:D23)</f>
        <v>0</v>
      </c>
      <c r="L5" s="28">
        <f>SUMIF(F5:F23,$L$4,D5:D23)</f>
        <v>9000</v>
      </c>
      <c r="M5" s="28">
        <f>SUMIF(F5:F23,$M$4,D5:D23)</f>
        <v>8100</v>
      </c>
      <c r="N5" s="28">
        <f>SUMIF(F5:F23,$N$4,D5:D23)</f>
        <v>7290</v>
      </c>
    </row>
    <row r="6" spans="1:14">
      <c r="B6" s="36">
        <v>1</v>
      </c>
      <c r="C6" s="36" t="str">
        <f>VLOOKUP(B6,DataSource_ItemMaster!$A$3:$D$111,2,FALSE)</f>
        <v>Flavor1</v>
      </c>
      <c r="D6" s="37">
        <v>1600</v>
      </c>
      <c r="E6" s="38">
        <v>42005</v>
      </c>
      <c r="F6" s="39">
        <f t="shared" ref="F6:F20" si="0">YEAR(E6)</f>
        <v>2015</v>
      </c>
      <c r="G6" s="39">
        <f>VLOOKUP(B6,DataSource_ItemMaster!$A$3:$D$111,4,FALSE)</f>
        <v>11</v>
      </c>
      <c r="H6" s="37">
        <f t="shared" ref="H6:H20" si="1">G6*D6</f>
        <v>17600</v>
      </c>
      <c r="I6" s="37">
        <f t="shared" ref="I6:I20" si="2">D6*6</f>
        <v>9600</v>
      </c>
      <c r="J6" s="17"/>
      <c r="K6" s="28">
        <f>SUMIF(F5:F23,$K$4,H5:H23)</f>
        <v>0</v>
      </c>
      <c r="L6" s="28">
        <f>SUMIF(F5:F23,$L$4,H5:H23)</f>
        <v>95650</v>
      </c>
      <c r="M6" s="28">
        <f>SUMIF(F5:F23,$M$4,H5:H23)</f>
        <v>85800</v>
      </c>
      <c r="N6" s="28">
        <f>SUMIF(F5:F23,$N$4,H5:H23)</f>
        <v>77990</v>
      </c>
    </row>
    <row r="7" spans="1:14">
      <c r="B7" s="36">
        <v>1</v>
      </c>
      <c r="C7" s="36" t="str">
        <f>VLOOKUP(B7,DataSource_ItemMaster!$A$3:$D$111,2,FALSE)</f>
        <v>Flavor1</v>
      </c>
      <c r="D7" s="37">
        <v>1400</v>
      </c>
      <c r="E7" s="38">
        <v>42370</v>
      </c>
      <c r="F7" s="39">
        <f t="shared" si="0"/>
        <v>2016</v>
      </c>
      <c r="G7" s="39">
        <f>VLOOKUP(B7,DataSource_ItemMaster!$A$3:$D$111,4,FALSE)</f>
        <v>11</v>
      </c>
      <c r="H7" s="37">
        <f t="shared" si="1"/>
        <v>15400</v>
      </c>
      <c r="I7" s="37">
        <f t="shared" si="2"/>
        <v>8400</v>
      </c>
      <c r="J7" s="17"/>
      <c r="K7" s="28">
        <f>SUMIF(F5:F23,$K$4,I5:I23)</f>
        <v>0</v>
      </c>
      <c r="L7" s="28">
        <f>SUMIF(F5:F23,$L$4,I5:I23)</f>
        <v>54000</v>
      </c>
      <c r="M7" s="28">
        <f>SUMIF(F5:F23,$M$4,I5:I23)</f>
        <v>48600</v>
      </c>
      <c r="N7" s="28">
        <f>SUMIF(F5:F23,$N$4,I5:I23)</f>
        <v>43740</v>
      </c>
    </row>
    <row r="8" spans="1:14">
      <c r="B8" s="36">
        <v>1</v>
      </c>
      <c r="C8" s="36" t="str">
        <f>VLOOKUP(B8,DataSource_ItemMaster!$A$3:$D$111,2,FALSE)</f>
        <v>Flavor1</v>
      </c>
      <c r="D8" s="37">
        <v>1140</v>
      </c>
      <c r="E8" s="38">
        <v>42736</v>
      </c>
      <c r="F8" s="39">
        <f t="shared" si="0"/>
        <v>2017</v>
      </c>
      <c r="G8" s="39">
        <f>VLOOKUP(B8,DataSource_ItemMaster!$A$3:$D$111,4,FALSE)</f>
        <v>11</v>
      </c>
      <c r="H8" s="37">
        <f t="shared" si="1"/>
        <v>12540</v>
      </c>
      <c r="I8" s="37">
        <f t="shared" si="2"/>
        <v>6840</v>
      </c>
      <c r="J8" s="17"/>
    </row>
    <row r="9" spans="1:14">
      <c r="B9" s="36">
        <v>2</v>
      </c>
      <c r="C9" s="36" t="str">
        <f>VLOOKUP(B9,DataSource_ItemMaster!$A$3:$D$111,2,FALSE)</f>
        <v>Flavor2</v>
      </c>
      <c r="D9" s="37">
        <v>3100</v>
      </c>
      <c r="E9" s="38">
        <v>41640</v>
      </c>
      <c r="F9" s="39">
        <f t="shared" si="0"/>
        <v>2014</v>
      </c>
      <c r="G9" s="39">
        <f>VLOOKUP(B9,DataSource_ItemMaster!$A$3:$D$111,4,FALSE)</f>
        <v>10</v>
      </c>
      <c r="H9" s="37">
        <f t="shared" si="1"/>
        <v>31000</v>
      </c>
      <c r="I9" s="37">
        <f t="shared" si="2"/>
        <v>18600</v>
      </c>
      <c r="J9" s="17"/>
    </row>
    <row r="10" spans="1:14">
      <c r="B10" s="36">
        <v>2</v>
      </c>
      <c r="C10" s="36" t="str">
        <f>VLOOKUP(B10,DataSource_ItemMaster!$A$3:$D$111,2,FALSE)</f>
        <v>Flavor2</v>
      </c>
      <c r="D10" s="37">
        <v>2750</v>
      </c>
      <c r="E10" s="38">
        <v>42005</v>
      </c>
      <c r="F10" s="39">
        <f t="shared" si="0"/>
        <v>2015</v>
      </c>
      <c r="G10" s="39">
        <f>VLOOKUP(B10,DataSource_ItemMaster!$A$3:$D$111,4,FALSE)</f>
        <v>10</v>
      </c>
      <c r="H10" s="37">
        <f t="shared" si="1"/>
        <v>27500</v>
      </c>
      <c r="I10" s="37">
        <f t="shared" si="2"/>
        <v>16500</v>
      </c>
      <c r="J10" s="17"/>
    </row>
    <row r="11" spans="1:14">
      <c r="B11" s="36">
        <v>2</v>
      </c>
      <c r="C11" s="36" t="str">
        <f>VLOOKUP(B11,DataSource_ItemMaster!$A$3:$D$111,2,FALSE)</f>
        <v>Flavor2</v>
      </c>
      <c r="D11" s="37">
        <v>2500</v>
      </c>
      <c r="E11" s="38">
        <v>42370</v>
      </c>
      <c r="F11" s="39">
        <f t="shared" si="0"/>
        <v>2016</v>
      </c>
      <c r="G11" s="39">
        <f>VLOOKUP(B11,DataSource_ItemMaster!$A$3:$D$111,4,FALSE)</f>
        <v>10</v>
      </c>
      <c r="H11" s="37">
        <f t="shared" si="1"/>
        <v>25000</v>
      </c>
      <c r="I11" s="37">
        <f t="shared" si="2"/>
        <v>15000</v>
      </c>
      <c r="J11" s="17"/>
    </row>
    <row r="12" spans="1:14">
      <c r="B12" s="36">
        <v>2</v>
      </c>
      <c r="C12" s="36" t="str">
        <f>VLOOKUP(B12,DataSource_ItemMaster!$A$3:$D$111,2,FALSE)</f>
        <v>Flavor2</v>
      </c>
      <c r="D12" s="37">
        <v>2300</v>
      </c>
      <c r="E12" s="38">
        <v>42736</v>
      </c>
      <c r="F12" s="39">
        <f t="shared" si="0"/>
        <v>2017</v>
      </c>
      <c r="G12" s="39">
        <f>VLOOKUP(B12,DataSource_ItemMaster!$A$3:$D$111,4,FALSE)</f>
        <v>10</v>
      </c>
      <c r="H12" s="37">
        <f t="shared" si="1"/>
        <v>23000</v>
      </c>
      <c r="I12" s="37">
        <f t="shared" si="2"/>
        <v>13800</v>
      </c>
      <c r="J12" s="17"/>
    </row>
    <row r="13" spans="1:14">
      <c r="B13" s="36">
        <v>3</v>
      </c>
      <c r="C13" s="36" t="str">
        <f>VLOOKUP(B13,DataSource_ItemMaster!$A$3:$D$111,2,FALSE)</f>
        <v>Topping1</v>
      </c>
      <c r="D13" s="37">
        <v>1250</v>
      </c>
      <c r="E13" s="38">
        <v>41640</v>
      </c>
      <c r="F13" s="39">
        <f t="shared" si="0"/>
        <v>2014</v>
      </c>
      <c r="G13" s="39">
        <f>VLOOKUP(B13,DataSource_ItemMaster!$A$3:$D$111,4,FALSE)</f>
        <v>7</v>
      </c>
      <c r="H13" s="37">
        <f t="shared" si="1"/>
        <v>8750</v>
      </c>
      <c r="I13" s="37">
        <f t="shared" si="2"/>
        <v>7500</v>
      </c>
      <c r="J13" s="17"/>
    </row>
    <row r="14" spans="1:14">
      <c r="B14" s="36">
        <v>3</v>
      </c>
      <c r="C14" s="36" t="str">
        <f>VLOOKUP(B14,DataSource_ItemMaster!$A$3:$D$111,2,FALSE)</f>
        <v>Topping1</v>
      </c>
      <c r="D14" s="37">
        <v>1050</v>
      </c>
      <c r="E14" s="38">
        <v>42005</v>
      </c>
      <c r="F14" s="39">
        <f t="shared" si="0"/>
        <v>2015</v>
      </c>
      <c r="G14" s="39">
        <f>VLOOKUP(B14,DataSource_ItemMaster!$A$3:$D$111,4,FALSE)</f>
        <v>7</v>
      </c>
      <c r="H14" s="37">
        <f t="shared" si="1"/>
        <v>7350</v>
      </c>
      <c r="I14" s="37">
        <f t="shared" si="2"/>
        <v>6300</v>
      </c>
      <c r="J14" s="17"/>
    </row>
    <row r="15" spans="1:14">
      <c r="B15" s="36">
        <v>3</v>
      </c>
      <c r="C15" s="36" t="str">
        <f>VLOOKUP(B15,DataSource_ItemMaster!$A$3:$D$111,2,FALSE)</f>
        <v>Topping1</v>
      </c>
      <c r="D15" s="37">
        <v>1000</v>
      </c>
      <c r="E15" s="38">
        <v>42370</v>
      </c>
      <c r="F15" s="39">
        <f t="shared" si="0"/>
        <v>2016</v>
      </c>
      <c r="G15" s="39">
        <f>VLOOKUP(B15,DataSource_ItemMaster!$A$3:$D$111,4,FALSE)</f>
        <v>7</v>
      </c>
      <c r="H15" s="37">
        <f t="shared" si="1"/>
        <v>7000</v>
      </c>
      <c r="I15" s="37">
        <f t="shared" si="2"/>
        <v>6000</v>
      </c>
      <c r="J15" s="17"/>
    </row>
    <row r="16" spans="1:14">
      <c r="B16" s="36">
        <v>3</v>
      </c>
      <c r="C16" s="36" t="str">
        <f>VLOOKUP(B16,DataSource_ItemMaster!$A$3:$D$111,2,FALSE)</f>
        <v>Topping1</v>
      </c>
      <c r="D16" s="37">
        <v>750</v>
      </c>
      <c r="E16" s="38">
        <v>42736</v>
      </c>
      <c r="F16" s="39">
        <f t="shared" si="0"/>
        <v>2017</v>
      </c>
      <c r="G16" s="39">
        <f>VLOOKUP(B16,DataSource_ItemMaster!$A$3:$D$111,4,FALSE)</f>
        <v>7</v>
      </c>
      <c r="H16" s="37">
        <f t="shared" si="1"/>
        <v>5250</v>
      </c>
      <c r="I16" s="37">
        <f t="shared" si="2"/>
        <v>4500</v>
      </c>
      <c r="J16" s="17"/>
    </row>
    <row r="17" spans="2:10">
      <c r="B17" s="36">
        <v>4</v>
      </c>
      <c r="C17" s="36" t="str">
        <f>VLOOKUP(B17,DataSource_ItemMaster!$A$3:$D$111,2,FALSE)</f>
        <v>Topping2</v>
      </c>
      <c r="D17" s="37">
        <v>3900</v>
      </c>
      <c r="E17" s="38">
        <v>41640</v>
      </c>
      <c r="F17" s="39">
        <f t="shared" si="0"/>
        <v>2014</v>
      </c>
      <c r="G17" s="39">
        <f>VLOOKUP(B17,DataSource_ItemMaster!$A$3:$D$111,4,FALSE)</f>
        <v>12</v>
      </c>
      <c r="H17" s="37">
        <f t="shared" si="1"/>
        <v>46800</v>
      </c>
      <c r="I17" s="37">
        <f t="shared" si="2"/>
        <v>23400</v>
      </c>
      <c r="J17" s="17"/>
    </row>
    <row r="18" spans="2:10">
      <c r="B18" s="36">
        <v>4</v>
      </c>
      <c r="C18" s="36" t="str">
        <f>VLOOKUP(B18,DataSource_ItemMaster!$A$3:$D$111,2,FALSE)</f>
        <v>Topping2</v>
      </c>
      <c r="D18" s="37">
        <v>3600</v>
      </c>
      <c r="E18" s="38">
        <v>42005</v>
      </c>
      <c r="F18" s="39">
        <f t="shared" si="0"/>
        <v>2015</v>
      </c>
      <c r="G18" s="39">
        <f>VLOOKUP(B18,DataSource_ItemMaster!$A$3:$D$111,4,FALSE)</f>
        <v>12</v>
      </c>
      <c r="H18" s="37">
        <f t="shared" si="1"/>
        <v>43200</v>
      </c>
      <c r="I18" s="37">
        <f t="shared" si="2"/>
        <v>21600</v>
      </c>
      <c r="J18" s="17"/>
    </row>
    <row r="19" spans="2:10">
      <c r="B19" s="36">
        <v>4</v>
      </c>
      <c r="C19" s="36" t="str">
        <f>VLOOKUP(B19,DataSource_ItemMaster!$A$3:$D$111,2,FALSE)</f>
        <v>Topping2</v>
      </c>
      <c r="D19" s="37">
        <v>3200</v>
      </c>
      <c r="E19" s="38">
        <v>42370</v>
      </c>
      <c r="F19" s="39">
        <f t="shared" si="0"/>
        <v>2016</v>
      </c>
      <c r="G19" s="39">
        <f>VLOOKUP(B19,DataSource_ItemMaster!$A$3:$D$111,4,FALSE)</f>
        <v>12</v>
      </c>
      <c r="H19" s="37">
        <f t="shared" si="1"/>
        <v>38400</v>
      </c>
      <c r="I19" s="37">
        <f t="shared" si="2"/>
        <v>19200</v>
      </c>
      <c r="J19" s="17"/>
    </row>
    <row r="20" spans="2:10">
      <c r="B20" s="36">
        <v>4</v>
      </c>
      <c r="C20" s="36" t="str">
        <f>VLOOKUP(B20,DataSource_ItemMaster!$A$3:$D$111,2,FALSE)</f>
        <v>Topping2</v>
      </c>
      <c r="D20" s="37">
        <v>3100</v>
      </c>
      <c r="E20" s="38">
        <v>42736</v>
      </c>
      <c r="F20" s="39">
        <f t="shared" si="0"/>
        <v>2017</v>
      </c>
      <c r="G20" s="39">
        <f>VLOOKUP(B20,DataSource_ItemMaster!$A$3:$D$111,4,FALSE)</f>
        <v>12</v>
      </c>
      <c r="H20" s="37">
        <f t="shared" si="1"/>
        <v>37200</v>
      </c>
      <c r="I20" s="37">
        <f t="shared" si="2"/>
        <v>18600</v>
      </c>
      <c r="J20" s="17"/>
    </row>
    <row r="21" spans="2:10">
      <c r="F21" s="27"/>
      <c r="G21" s="27"/>
      <c r="H21" s="17"/>
      <c r="I21" s="17"/>
      <c r="J21" s="17"/>
    </row>
    <row r="22" spans="2:10">
      <c r="F22" s="27"/>
      <c r="G22" s="27"/>
      <c r="H22" s="17"/>
      <c r="I22" s="17"/>
      <c r="J22" s="17"/>
    </row>
  </sheetData>
  <mergeCells count="2">
    <mergeCell ref="B2:D3"/>
    <mergeCell ref="A1:I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zoomScale="150" zoomScaleNormal="150" zoomScalePageLayoutView="150" workbookViewId="0">
      <pane xSplit="3" ySplit="4" topLeftCell="D5" activePane="bottomRight" state="frozen"/>
      <selection pane="topRight"/>
      <selection pane="bottomLeft"/>
      <selection pane="bottomRight" activeCell="I11" sqref="I11"/>
    </sheetView>
  </sheetViews>
  <sheetFormatPr baseColWidth="10" defaultColWidth="8.83203125" defaultRowHeight="14" x14ac:dyDescent="0"/>
  <cols>
    <col min="1" max="1" width="2.5" customWidth="1"/>
    <col min="2" max="2" width="7.6640625" customWidth="1"/>
    <col min="3" max="3" width="13" bestFit="1" customWidth="1"/>
    <col min="4" max="4" width="11.6640625" customWidth="1"/>
    <col min="5" max="5" width="16.33203125" customWidth="1"/>
  </cols>
  <sheetData>
    <row r="1" spans="1:11" s="34" customFormat="1" ht="18">
      <c r="A1" s="114" t="s">
        <v>59</v>
      </c>
      <c r="B1" s="114"/>
      <c r="C1" s="114"/>
      <c r="D1" s="114"/>
      <c r="E1" s="114"/>
      <c r="F1" s="114"/>
    </row>
    <row r="2" spans="1:11" s="18" customFormat="1" ht="14" customHeight="1">
      <c r="B2" s="112" t="s">
        <v>43</v>
      </c>
      <c r="C2" s="113"/>
      <c r="D2" s="113"/>
      <c r="E2" s="113"/>
      <c r="F2" s="113"/>
    </row>
    <row r="3" spans="1:11" s="18" customFormat="1">
      <c r="B3" s="112"/>
      <c r="C3" s="113"/>
      <c r="D3" s="113"/>
      <c r="E3" s="113"/>
      <c r="F3" s="113"/>
    </row>
    <row r="4" spans="1:11" s="2" customFormat="1" ht="28">
      <c r="B4" s="24" t="s">
        <v>13</v>
      </c>
      <c r="C4" s="24" t="s">
        <v>17</v>
      </c>
      <c r="D4" s="22" t="s">
        <v>18</v>
      </c>
      <c r="E4" s="23" t="s">
        <v>45</v>
      </c>
      <c r="F4" s="23" t="s">
        <v>48</v>
      </c>
      <c r="G4" s="18"/>
      <c r="H4" s="185">
        <v>2014</v>
      </c>
      <c r="I4" s="185">
        <v>2015</v>
      </c>
      <c r="J4" s="185">
        <v>2016</v>
      </c>
      <c r="K4" s="185">
        <v>2017</v>
      </c>
    </row>
    <row r="5" spans="1:11">
      <c r="B5">
        <v>1</v>
      </c>
      <c r="C5" t="str">
        <f>VLOOKUP(B5,DataSource_ItemMaster!$A$1:$E$1005,2,FALSE)</f>
        <v>Flavor1</v>
      </c>
      <c r="D5">
        <v>2500</v>
      </c>
      <c r="E5" s="16">
        <v>41640</v>
      </c>
      <c r="F5">
        <f>YEAR(E5)</f>
        <v>2014</v>
      </c>
      <c r="H5" s="186">
        <f>SUMIF(F5:F20,H4,D5:D20)</f>
        <v>11000</v>
      </c>
      <c r="I5" s="186">
        <f>SUMIF(F5:F20,I4,D5:D20)</f>
        <v>11000</v>
      </c>
      <c r="J5" s="186">
        <f>SUMIF(F5:F20,J4,D5:D20)</f>
        <v>11000</v>
      </c>
      <c r="K5" s="186">
        <f>SUMIF(F5:F20,K4,D5:D20)</f>
        <v>11000</v>
      </c>
    </row>
    <row r="6" spans="1:11">
      <c r="B6">
        <v>1</v>
      </c>
      <c r="C6" t="str">
        <f>VLOOKUP(B6,DataSource_ItemMaster!$A$1:$E$1005,2,FALSE)</f>
        <v>Flavor1</v>
      </c>
      <c r="D6">
        <v>2500</v>
      </c>
      <c r="E6" s="16">
        <v>42005</v>
      </c>
      <c r="F6">
        <f t="shared" ref="F6:F20" si="0">YEAR(E6)</f>
        <v>2015</v>
      </c>
    </row>
    <row r="7" spans="1:11">
      <c r="B7">
        <v>1</v>
      </c>
      <c r="C7" t="str">
        <f>VLOOKUP(B7,DataSource_ItemMaster!$A$1:$E$1005,2,FALSE)</f>
        <v>Flavor1</v>
      </c>
      <c r="D7">
        <v>2500</v>
      </c>
      <c r="E7" s="16">
        <v>42370</v>
      </c>
      <c r="F7">
        <f t="shared" si="0"/>
        <v>2016</v>
      </c>
    </row>
    <row r="8" spans="1:11">
      <c r="B8">
        <v>1</v>
      </c>
      <c r="C8" t="str">
        <f>VLOOKUP(B8,DataSource_ItemMaster!$A$1:$E$1005,2,FALSE)</f>
        <v>Flavor1</v>
      </c>
      <c r="D8">
        <v>2500</v>
      </c>
      <c r="E8" s="16">
        <v>42736</v>
      </c>
      <c r="F8">
        <f t="shared" si="0"/>
        <v>2017</v>
      </c>
    </row>
    <row r="9" spans="1:11">
      <c r="B9">
        <v>2</v>
      </c>
      <c r="C9" t="str">
        <f>VLOOKUP(B9,DataSource_ItemMaster!$A$1:$E$1005,2,FALSE)</f>
        <v>Flavor2</v>
      </c>
      <c r="D9">
        <v>3000</v>
      </c>
      <c r="E9" s="16">
        <v>41640</v>
      </c>
      <c r="F9">
        <f t="shared" si="0"/>
        <v>2014</v>
      </c>
    </row>
    <row r="10" spans="1:11">
      <c r="B10">
        <v>2</v>
      </c>
      <c r="C10" t="str">
        <f>VLOOKUP(B10,DataSource_ItemMaster!$A$1:$E$1005,2,FALSE)</f>
        <v>Flavor2</v>
      </c>
      <c r="D10">
        <v>3000</v>
      </c>
      <c r="E10" s="16">
        <v>42005</v>
      </c>
      <c r="F10">
        <f t="shared" si="0"/>
        <v>2015</v>
      </c>
    </row>
    <row r="11" spans="1:11">
      <c r="B11">
        <v>2</v>
      </c>
      <c r="C11" t="str">
        <f>VLOOKUP(B11,DataSource_ItemMaster!$A$1:$E$1005,2,FALSE)</f>
        <v>Flavor2</v>
      </c>
      <c r="D11">
        <v>3000</v>
      </c>
      <c r="E11" s="16">
        <v>42370</v>
      </c>
      <c r="F11">
        <f t="shared" si="0"/>
        <v>2016</v>
      </c>
    </row>
    <row r="12" spans="1:11">
      <c r="B12">
        <v>2</v>
      </c>
      <c r="C12" t="str">
        <f>VLOOKUP(B12,DataSource_ItemMaster!$A$1:$E$1005,2,FALSE)</f>
        <v>Flavor2</v>
      </c>
      <c r="D12">
        <v>3000</v>
      </c>
      <c r="E12" s="16">
        <v>42736</v>
      </c>
      <c r="F12">
        <f t="shared" si="0"/>
        <v>2017</v>
      </c>
    </row>
    <row r="13" spans="1:11">
      <c r="B13">
        <v>3</v>
      </c>
      <c r="C13" t="str">
        <f>VLOOKUP(B13,DataSource_ItemMaster!$A$1:$E$1005,2,FALSE)</f>
        <v>Topping1</v>
      </c>
      <c r="D13">
        <v>2000</v>
      </c>
      <c r="E13" s="16">
        <v>41640</v>
      </c>
      <c r="F13">
        <f t="shared" si="0"/>
        <v>2014</v>
      </c>
    </row>
    <row r="14" spans="1:11">
      <c r="B14">
        <v>3</v>
      </c>
      <c r="C14" t="str">
        <f>VLOOKUP(B14,DataSource_ItemMaster!$A$1:$E$1005,2,FALSE)</f>
        <v>Topping1</v>
      </c>
      <c r="D14">
        <v>2000</v>
      </c>
      <c r="E14" s="16">
        <v>42005</v>
      </c>
      <c r="F14">
        <f t="shared" si="0"/>
        <v>2015</v>
      </c>
    </row>
    <row r="15" spans="1:11">
      <c r="B15">
        <v>3</v>
      </c>
      <c r="C15" t="str">
        <f>VLOOKUP(B15,DataSource_ItemMaster!$A$1:$E$1005,2,FALSE)</f>
        <v>Topping1</v>
      </c>
      <c r="D15">
        <v>2000</v>
      </c>
      <c r="E15" s="16">
        <v>42370</v>
      </c>
      <c r="F15">
        <f t="shared" si="0"/>
        <v>2016</v>
      </c>
    </row>
    <row r="16" spans="1:11">
      <c r="B16">
        <v>3</v>
      </c>
      <c r="C16" t="str">
        <f>VLOOKUP(B16,DataSource_ItemMaster!$A$1:$E$1005,2,FALSE)</f>
        <v>Topping1</v>
      </c>
      <c r="D16">
        <v>2000</v>
      </c>
      <c r="E16" s="16">
        <v>42736</v>
      </c>
      <c r="F16">
        <f t="shared" si="0"/>
        <v>2017</v>
      </c>
    </row>
    <row r="17" spans="2:6">
      <c r="B17">
        <v>4</v>
      </c>
      <c r="C17" t="str">
        <f>VLOOKUP(B17,DataSource_ItemMaster!$A$1:$E$1005,2,FALSE)</f>
        <v>Topping2</v>
      </c>
      <c r="D17">
        <v>3500</v>
      </c>
      <c r="E17" s="16">
        <v>41640</v>
      </c>
      <c r="F17">
        <f t="shared" si="0"/>
        <v>2014</v>
      </c>
    </row>
    <row r="18" spans="2:6">
      <c r="B18">
        <v>4</v>
      </c>
      <c r="C18" t="str">
        <f>VLOOKUP(B18,DataSource_ItemMaster!$A$1:$E$1005,2,FALSE)</f>
        <v>Topping2</v>
      </c>
      <c r="D18">
        <v>3500</v>
      </c>
      <c r="E18" s="16">
        <v>42005</v>
      </c>
      <c r="F18">
        <f t="shared" si="0"/>
        <v>2015</v>
      </c>
    </row>
    <row r="19" spans="2:6">
      <c r="B19">
        <v>4</v>
      </c>
      <c r="C19" t="str">
        <f>VLOOKUP(B19,DataSource_ItemMaster!$A$1:$E$1005,2,FALSE)</f>
        <v>Topping2</v>
      </c>
      <c r="D19">
        <v>3500</v>
      </c>
      <c r="E19" s="16">
        <v>42370</v>
      </c>
      <c r="F19">
        <f t="shared" si="0"/>
        <v>2016</v>
      </c>
    </row>
    <row r="20" spans="2:6">
      <c r="B20">
        <v>4</v>
      </c>
      <c r="C20" t="str">
        <f>VLOOKUP(B20,DataSource_ItemMaster!$A$1:$E$1005,2,FALSE)</f>
        <v>Topping2</v>
      </c>
      <c r="D20">
        <v>3500</v>
      </c>
      <c r="E20" s="16">
        <v>42736</v>
      </c>
      <c r="F20">
        <f t="shared" si="0"/>
        <v>2017</v>
      </c>
    </row>
    <row r="21" spans="2:6">
      <c r="E21" s="16"/>
    </row>
    <row r="22" spans="2:6">
      <c r="E22" s="16"/>
    </row>
    <row r="23" spans="2:6">
      <c r="E23" s="16"/>
    </row>
    <row r="24" spans="2:6">
      <c r="E24" s="16"/>
    </row>
    <row r="25" spans="2:6">
      <c r="E25" s="16"/>
    </row>
    <row r="26" spans="2:6">
      <c r="E26" s="16"/>
    </row>
    <row r="27" spans="2:6">
      <c r="E27" s="16"/>
    </row>
    <row r="28" spans="2:6">
      <c r="E28" s="16"/>
    </row>
    <row r="29" spans="2:6">
      <c r="E29" s="16"/>
    </row>
    <row r="30" spans="2:6">
      <c r="E30" s="16"/>
    </row>
    <row r="31" spans="2:6">
      <c r="E31" s="16"/>
    </row>
    <row r="32" spans="2:6">
      <c r="E32" s="16"/>
    </row>
    <row r="33" spans="5:5">
      <c r="E33" s="16"/>
    </row>
    <row r="34" spans="5:5">
      <c r="E34" s="16"/>
    </row>
    <row r="35" spans="5:5">
      <c r="E35" s="16"/>
    </row>
    <row r="36" spans="5:5">
      <c r="E36" s="16"/>
    </row>
    <row r="37" spans="5:5">
      <c r="E37" s="16"/>
    </row>
    <row r="38" spans="5:5">
      <c r="E38" s="16"/>
    </row>
    <row r="39" spans="5:5">
      <c r="E39" s="16"/>
    </row>
    <row r="40" spans="5:5">
      <c r="E40" s="16"/>
    </row>
    <row r="41" spans="5:5">
      <c r="E41" s="16"/>
    </row>
    <row r="42" spans="5:5">
      <c r="E42" s="16"/>
    </row>
    <row r="43" spans="5:5">
      <c r="E43" s="16"/>
    </row>
    <row r="44" spans="5:5">
      <c r="E44" s="16"/>
    </row>
    <row r="45" spans="5:5">
      <c r="E45" s="16"/>
    </row>
    <row r="46" spans="5:5">
      <c r="E46" s="16"/>
    </row>
    <row r="47" spans="5:5">
      <c r="E47" s="16"/>
    </row>
    <row r="48" spans="5:5">
      <c r="E48" s="16"/>
    </row>
    <row r="49" spans="5:5">
      <c r="E49" s="16"/>
    </row>
    <row r="50" spans="5:5">
      <c r="E50" s="16"/>
    </row>
    <row r="51" spans="5:5">
      <c r="E51" s="16"/>
    </row>
    <row r="52" spans="5:5">
      <c r="E52" s="16"/>
    </row>
  </sheetData>
  <mergeCells count="2">
    <mergeCell ref="B2:F3"/>
    <mergeCell ref="A1:F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zoomScale="150" zoomScaleNormal="150" zoomScalePageLayoutView="150" workbookViewId="0">
      <selection activeCell="D28" sqref="D28"/>
    </sheetView>
  </sheetViews>
  <sheetFormatPr baseColWidth="10" defaultColWidth="8.83203125" defaultRowHeight="14" x14ac:dyDescent="0"/>
  <cols>
    <col min="1" max="1" width="12.33203125" customWidth="1"/>
    <col min="2" max="2" width="11.5" customWidth="1"/>
    <col min="3" max="3" width="12.83203125" style="1" customWidth="1"/>
    <col min="4" max="4" width="11.5" style="1" customWidth="1"/>
  </cols>
  <sheetData>
    <row r="1" spans="1:6" s="29" customFormat="1" ht="18">
      <c r="A1" s="30" t="s">
        <v>11</v>
      </c>
      <c r="B1" s="30"/>
      <c r="C1" s="31"/>
      <c r="D1" s="31"/>
      <c r="E1" s="30"/>
    </row>
    <row r="2" spans="1:6">
      <c r="A2" s="12" t="s">
        <v>12</v>
      </c>
      <c r="B2" s="12" t="s">
        <v>13</v>
      </c>
      <c r="C2" s="13" t="s">
        <v>10</v>
      </c>
      <c r="D2" s="13" t="s">
        <v>14</v>
      </c>
    </row>
    <row r="3" spans="1:6">
      <c r="A3" s="32">
        <v>1</v>
      </c>
      <c r="B3" s="32" t="s">
        <v>55</v>
      </c>
      <c r="C3" s="33">
        <v>6</v>
      </c>
      <c r="D3" s="33">
        <v>11</v>
      </c>
    </row>
    <row r="4" spans="1:6">
      <c r="A4" s="32">
        <v>2</v>
      </c>
      <c r="B4" s="32" t="s">
        <v>56</v>
      </c>
      <c r="C4" s="33">
        <v>6</v>
      </c>
      <c r="D4" s="33">
        <v>10</v>
      </c>
      <c r="F4" s="3"/>
    </row>
    <row r="5" spans="1:6">
      <c r="A5" s="32">
        <v>3</v>
      </c>
      <c r="B5" s="32" t="s">
        <v>53</v>
      </c>
      <c r="C5" s="33">
        <v>6</v>
      </c>
      <c r="D5" s="33">
        <v>7</v>
      </c>
    </row>
    <row r="6" spans="1:6">
      <c r="A6" s="32">
        <v>4</v>
      </c>
      <c r="B6" s="32" t="s">
        <v>54</v>
      </c>
      <c r="C6" s="33">
        <v>6</v>
      </c>
      <c r="D6" s="33">
        <v>12</v>
      </c>
    </row>
    <row r="8" spans="1:6">
      <c r="B8" t="s">
        <v>15</v>
      </c>
      <c r="C8" s="1">
        <f>AVERAGE(C3:C6)</f>
        <v>6</v>
      </c>
      <c r="D8" s="1">
        <f>AVERAGE(D3:D6)</f>
        <v>10</v>
      </c>
    </row>
    <row r="12" spans="1:6">
      <c r="B12" s="14" t="s">
        <v>4</v>
      </c>
    </row>
    <row r="13" spans="1:6">
      <c r="A13" s="15" t="s">
        <v>12</v>
      </c>
      <c r="B13" t="s">
        <v>36</v>
      </c>
    </row>
    <row r="14" spans="1:6">
      <c r="A14" s="15" t="s">
        <v>13</v>
      </c>
      <c r="B14" t="s">
        <v>36</v>
      </c>
    </row>
    <row r="15" spans="1:6">
      <c r="A15" s="15" t="s">
        <v>10</v>
      </c>
      <c r="B15" t="s">
        <v>41</v>
      </c>
    </row>
    <row r="16" spans="1:6">
      <c r="A16" s="15" t="s">
        <v>14</v>
      </c>
      <c r="B16" t="s">
        <v>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Overview_CurrentState</vt:lpstr>
      <vt:lpstr>CHANGE ANALYSIS</vt:lpstr>
      <vt:lpstr>Overview_ProposedState</vt:lpstr>
      <vt:lpstr>DataSource_CashRegister</vt:lpstr>
      <vt:lpstr>DataSource_DeliveryData</vt:lpstr>
      <vt:lpstr>DataSource_ItemMaster</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Home LA</cp:lastModifiedBy>
  <cp:revision/>
  <dcterms:created xsi:type="dcterms:W3CDTF">2017-10-28T17:03:37Z</dcterms:created>
  <dcterms:modified xsi:type="dcterms:W3CDTF">2017-10-29T20:54:55Z</dcterms:modified>
  <cp:category/>
  <cp:contentStatus/>
</cp:coreProperties>
</file>