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544FE5AE-5D78-4E8E-ABB1-7CE3E30BCFB3}" xr6:coauthVersionLast="47" xr6:coauthVersionMax="47" xr10:uidLastSave="{00000000-0000-0000-0000-000000000000}"/>
  <bookViews>
    <workbookView xWindow="-108" yWindow="-108" windowWidth="23256" windowHeight="12456" activeTab="1" xr2:uid="{1824974A-EE11-4D45-9E77-7FD654A455C0}"/>
  </bookViews>
  <sheets>
    <sheet name="RINGKASAN UPDATE SHEET" sheetId="19" r:id="rId1"/>
    <sheet name="Daily Summary " sheetId="7" r:id="rId2"/>
    <sheet name="Fiter Press" sheetId="20" r:id="rId3"/>
    <sheet name="AAS lab Crushing Daily " sheetId="16" r:id="rId4"/>
    <sheet name="Reagent Consumption" sheetId="2" r:id="rId5"/>
    <sheet name="Crushing" sheetId="1" r:id="rId6"/>
    <sheet name="LT Ball Mill" sheetId="17" r:id="rId7"/>
    <sheet name="Rom File Inventory" sheetId="12" r:id="rId8"/>
    <sheet name="Crushing Down Time Hours" sheetId="8" r:id="rId9"/>
    <sheet name="Milling Down Time Hours" sheetId="5" r:id="rId10"/>
    <sheet name="Au Cal Leaching Tank" sheetId="13" r:id="rId11"/>
    <sheet name="Milling and Leach Feed" sheetId="4" r:id="rId12"/>
    <sheet name="LT Floculation" sheetId="15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8" i="7" l="1"/>
  <c r="C50" i="7"/>
  <c r="N87" i="1"/>
  <c r="C37" i="7"/>
  <c r="H12" i="20"/>
  <c r="F12" i="20"/>
  <c r="H11" i="20"/>
  <c r="F11" i="20"/>
  <c r="F5" i="20"/>
  <c r="H5" i="20"/>
  <c r="F6" i="20"/>
  <c r="H6" i="20"/>
  <c r="F7" i="20"/>
  <c r="H7" i="20"/>
  <c r="F8" i="20"/>
  <c r="H8" i="20"/>
  <c r="F9" i="20"/>
  <c r="H9" i="20"/>
  <c r="F10" i="20"/>
  <c r="H10" i="20"/>
  <c r="N10" i="20"/>
  <c r="P10" i="20" s="1"/>
  <c r="N11" i="20"/>
  <c r="P11" i="20" s="1"/>
  <c r="N12" i="20"/>
  <c r="P12" i="20"/>
  <c r="N13" i="20"/>
  <c r="P13" i="20"/>
  <c r="N14" i="20"/>
  <c r="P14" i="20" s="1"/>
  <c r="N15" i="20"/>
  <c r="P15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/>
  <c r="F4" i="20"/>
  <c r="H4" i="20" s="1"/>
  <c r="R10" i="20" l="1"/>
  <c r="C36" i="7" l="1"/>
  <c r="C34" i="7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9" i="5"/>
  <c r="L18" i="5"/>
  <c r="C15" i="13"/>
  <c r="AD13" i="13"/>
  <c r="AE13" i="13"/>
  <c r="AC13" i="13"/>
  <c r="H9" i="15"/>
  <c r="I9" i="15"/>
  <c r="G9" i="15"/>
  <c r="M43" i="12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AA13" i="13"/>
  <c r="AA12" i="13"/>
  <c r="AB13" i="13"/>
  <c r="AB12" i="13"/>
  <c r="AO14" i="13"/>
  <c r="AO15" i="13"/>
  <c r="N101" i="4"/>
  <c r="N25" i="4"/>
  <c r="N23" i="4"/>
  <c r="N21" i="4"/>
  <c r="N19" i="4"/>
  <c r="N17" i="4"/>
  <c r="N16" i="4"/>
  <c r="V14" i="13"/>
  <c r="W14" i="13"/>
  <c r="U14" i="13"/>
  <c r="T15" i="13"/>
  <c r="T14" i="13"/>
  <c r="L15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16" i="13"/>
  <c r="K15" i="13"/>
  <c r="AD21" i="4"/>
  <c r="R14" i="13"/>
  <c r="M28" i="4"/>
  <c r="N28" i="4" s="1"/>
  <c r="S28" i="4" s="1"/>
  <c r="H28" i="4"/>
  <c r="M40" i="12"/>
  <c r="M41" i="12"/>
  <c r="C14" i="13"/>
  <c r="K61" i="13"/>
  <c r="S16" i="4"/>
  <c r="O39" i="4"/>
  <c r="O41" i="4"/>
  <c r="O33" i="4"/>
  <c r="O34" i="4"/>
  <c r="O35" i="4"/>
  <c r="O37" i="4"/>
  <c r="O24" i="4"/>
  <c r="O31" i="4"/>
  <c r="O29" i="4"/>
  <c r="S20" i="4"/>
  <c r="U23" i="4"/>
  <c r="V23" i="4"/>
  <c r="T23" i="4"/>
  <c r="P27" i="4"/>
  <c r="Q27" i="4"/>
  <c r="J22" i="5"/>
  <c r="J21" i="5"/>
  <c r="W8" i="17"/>
  <c r="Q15" i="13"/>
  <c r="AC32" i="4"/>
  <c r="AC31" i="4"/>
  <c r="AA37" i="4"/>
  <c r="AA36" i="4"/>
  <c r="AA33" i="4"/>
  <c r="AA32" i="4"/>
  <c r="AA31" i="4"/>
  <c r="R26" i="4"/>
  <c r="G20" i="5"/>
  <c r="H25" i="4"/>
  <c r="S15" i="13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4" i="4" l="1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P22" i="4"/>
  <c r="Q22" i="4"/>
  <c r="Q21" i="4"/>
  <c r="P21" i="4"/>
  <c r="S14" i="13"/>
  <c r="AF39" i="4"/>
  <c r="O21" i="4" l="1"/>
  <c r="M27" i="4"/>
  <c r="M98" i="4" s="1"/>
  <c r="S25" i="4"/>
  <c r="H18" i="4"/>
  <c r="H19" i="4" s="1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I10" i="13" l="1"/>
  <c r="U60" i="13"/>
  <c r="M8" i="4"/>
  <c r="U62" i="13"/>
  <c r="AM67" i="13"/>
  <c r="M10" i="4"/>
  <c r="M11" i="4" s="1"/>
  <c r="I8" i="4"/>
  <c r="M12" i="4"/>
  <c r="M13" i="4"/>
  <c r="M14" i="4"/>
  <c r="M15" i="4"/>
  <c r="M24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34" i="7"/>
  <c r="H34" i="7" s="1"/>
  <c r="G36" i="7"/>
  <c r="H36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Q13" i="13" l="1"/>
  <c r="AZ14" i="13"/>
  <c r="AV14" i="13" s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BE20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E38" i="7" l="1"/>
  <c r="G38" i="7"/>
  <c r="H38" i="7" s="1"/>
  <c r="P72" i="4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R29" i="4" s="1"/>
  <c r="G22" i="5"/>
  <c r="R36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29" i="4" l="1"/>
  <c r="Q29" i="4"/>
  <c r="R40" i="4"/>
  <c r="M18" i="5"/>
  <c r="O22" i="5"/>
  <c r="R28" i="4"/>
  <c r="L17" i="5"/>
  <c r="R27" i="4"/>
  <c r="R32" i="4"/>
  <c r="R25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28" i="5"/>
  <c r="M24" i="5"/>
  <c r="M34" i="5"/>
  <c r="M38" i="5"/>
  <c r="N38" i="5" s="1"/>
  <c r="M32" i="5"/>
  <c r="N32" i="5" s="1"/>
  <c r="M5" i="5"/>
  <c r="J24" i="7" s="1"/>
  <c r="L24" i="7" s="1"/>
  <c r="R30" i="4" l="1"/>
  <c r="J36" i="7"/>
  <c r="L36" i="7" s="1"/>
  <c r="M58" i="5"/>
  <c r="O18" i="5"/>
  <c r="O58" i="5" s="1"/>
  <c r="O59" i="5" s="1"/>
  <c r="L58" i="5"/>
  <c r="L59" i="5" s="1"/>
  <c r="J67" i="13" s="1"/>
  <c r="J71" i="13" s="1"/>
  <c r="I28" i="4"/>
  <c r="P28" i="4"/>
  <c r="Q28" i="4"/>
  <c r="R38" i="4"/>
  <c r="M22" i="5"/>
  <c r="J40" i="7" s="1"/>
  <c r="L40" i="7" s="1"/>
  <c r="O28" i="4"/>
  <c r="O27" i="4"/>
  <c r="I27" i="4"/>
  <c r="P19" i="4"/>
  <c r="Q19" i="4"/>
  <c r="I25" i="4"/>
  <c r="Q25" i="4"/>
  <c r="P25" i="4"/>
  <c r="O25" i="4" s="1"/>
  <c r="P24" i="4"/>
  <c r="Q24" i="4"/>
  <c r="Q23" i="4"/>
  <c r="P23" i="4"/>
  <c r="O23" i="4" s="1"/>
  <c r="I23" i="4"/>
  <c r="O20" i="4"/>
  <c r="C13" i="13"/>
  <c r="R34" i="4"/>
  <c r="M20" i="5"/>
  <c r="P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P42" i="4"/>
  <c r="O42" i="4" s="1"/>
  <c r="J42" i="7"/>
  <c r="L42" i="7" s="1"/>
  <c r="N42" i="7" s="1"/>
  <c r="I11" i="4"/>
  <c r="I7" i="4"/>
  <c r="N6" i="5"/>
  <c r="M20" i="7" s="1"/>
  <c r="I5" i="4"/>
  <c r="P9" i="4"/>
  <c r="N5" i="5"/>
  <c r="N21" i="5"/>
  <c r="P36" i="4"/>
  <c r="O36" i="4" s="1"/>
  <c r="N23" i="5"/>
  <c r="P40" i="4"/>
  <c r="O40" i="4" s="1"/>
  <c r="N19" i="5"/>
  <c r="P32" i="4"/>
  <c r="O32" i="4" s="1"/>
  <c r="P11" i="4"/>
  <c r="N10" i="5"/>
  <c r="M24" i="7" s="1"/>
  <c r="N8" i="5"/>
  <c r="M22" i="7" s="1"/>
  <c r="P30" i="4"/>
  <c r="O30" i="4" s="1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36" i="7" l="1"/>
  <c r="N22" i="5"/>
  <c r="N40" i="7"/>
  <c r="P38" i="4"/>
  <c r="O38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E45" i="7" l="1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<sst xmlns="http://schemas.openxmlformats.org/spreadsheetml/2006/main" count="1515" uniqueCount="606">
  <si>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</si>
  <si>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</si>
  <si>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</si>
  <si>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</si>
  <si>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</si>
  <si>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</si>
  <si>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</si>
  <si>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</si>
  <si>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</si>
  <si>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</si>
  <si>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</si>
  <si>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</si>
  <si>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</si>
  <si>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</si>
  <si>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</si>
  <si>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</si>
  <si>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</si>
  <si>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</si>
  <si>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</si>
  <si>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</si>
  <si>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</si>
  <si>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</si>
  <si>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</si>
  <si>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</si>
  <si>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</si>
  <si>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</si>
  <si>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</si>
  <si>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</si>
  <si>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</si>
  <si>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</si>
  <si>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</si>
  <si>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</si>
  <si>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</si>
  <si>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</si>
  <si>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</si>
  <si>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</si>
  <si>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</si>
  <si>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</si>
  <si>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</si>
  <si>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</si>
  <si>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</si>
  <si>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</si>
  <si>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</si>
  <si>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</si>
  <si>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</si>
  <si>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</si>
  <si>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</si>
  <si>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</si>
  <si>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</si>
  <si>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</si>
  <si>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</si>
  <si>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</si>
  <si>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</si>
  <si>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</si>
  <si>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</si>
  <si>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</si>
  <si>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</si>
  <si>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</si>
  <si>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</si>
  <si>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</si>
  <si>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</si>
  <si>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</si>
  <si>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</si>
  <si>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</si>
  <si>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</si>
  <si>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</si>
  <si>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</si>
  <si>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</si>
  <si>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</si>
  <si>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</si>
  <si>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</si>
  <si>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</si>
  <si>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</si>
  <si>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</si>
  <si>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</si>
  <si>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</si>
  <si>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</si>
  <si>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</si>
  <si>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</si>
  <si>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</si>
  <si>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</si>
  <si>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</si>
  <si>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</si>
  <si>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</si>
  <si>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</si>
  <si>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</si>
  <si>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</si>
  <si>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</si>
  <si>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</si>
  <si>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</si>
  <si>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</si>
  <si>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</si>
  <si>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</si>
  <si>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</si>
  <si>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</si>
  <si>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</si>
  <si>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</si>
  <si>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</si>
  <si>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</si>
  <si>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</si>
  <si>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</si>
  <si>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</si>
  <si>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</si>
  <si>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</si>
  <si>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</si>
  <si>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</si>
  <si>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</si>
  <si>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</si>
  <si>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</si>
  <si>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</si>
  <si>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</si>
  <si>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</si>
  <si>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</si>
  <si>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</si>
  <si>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</si>
  <si>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</si>
  <si>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</si>
  <si>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</si>
  <si>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</si>
  <si>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</si>
  <si>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</si>
  <si>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</si>
  <si>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</si>
  <si>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</si>
  <si>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</si>
  <si>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</si>
  <si>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</si>
  <si>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</si>
  <si>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</si>
  <si>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</si>
  <si>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</si>
  <si>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</si>
  <si>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</si>
  <si>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</si>
  <si>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</si>
  <si>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</si>
  <si>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</si>
  <si>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</si>
  <si>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</si>
  <si>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</si>
  <si>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</si>
  <si>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</si>
  <si>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</si>
  <si>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</si>
  <si>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</si>
  <si>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</si>
  <si>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</si>
  <si>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</si>
  <si>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</si>
  <si>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</si>
  <si>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</si>
  <si>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</si>
  <si>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</si>
  <si>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</si>
  <si>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</si>
  <si>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</si>
  <si>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</si>
  <si>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</si>
  <si>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</si>
  <si>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</si>
  <si>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</si>
  <si>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</si>
  <si>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</si>
  <si>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</si>
  <si>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</si>
  <si>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</si>
  <si>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</si>
  <si>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</si>
  <si>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</si>
  <si>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</si>
  <si>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</si>
  <si>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</si>
  <si>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</si>
  <si>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</si>
  <si>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</si>
  <si>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</si>
  <si>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</si>
  <si>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</si>
  <si>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</si>
  <si>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</si>
  <si>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</si>
  <si>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</si>
  <si>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</si>
  <si>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</si>
  <si>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</si>
  <si>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</si>
  <si>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</si>
  <si>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</si>
  <si>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</si>
  <si>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</si>
  <si>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</si>
  <si>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</si>
  <si>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</si>
  <si>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</si>
  <si>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</si>
  <si>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</si>
  <si>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</si>
  <si>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</si>
  <si>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</si>
  <si>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</si>
  <si>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</si>
  <si>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</si>
  <si>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</si>
  <si>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</si>
  <si>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</si>
  <si>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</si>
  <si>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</si>
  <si>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</si>
  <si>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</si>
  <si>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</si>
  <si>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</si>
  <si>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</si>
  <si>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</si>
  <si>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</si>
  <si>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</si>
  <si>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</si>
  <si>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</si>
  <si>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</si>
  <si>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</si>
  <si>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</si>
  <si>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</si>
  <si>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</si>
  <si>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</si>
  <si>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</si>
  <si>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</si>
  <si>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</si>
  <si>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</si>
  <si>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</si>
  <si>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</si>
  <si>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</si>
  <si>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</si>
  <si>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</si>
  <si>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</si>
  <si>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</si>
  <si>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</si>
  <si>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</si>
  <si>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</si>
  <si>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</si>
  <si>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</si>
  <si>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</si>
  <si>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</si>
  <si>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</si>
  <si>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</si>
  <si>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</si>
  <si>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</si>
  <si>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</si>
  <si>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</si>
  <si>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</si>
  <si>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</si>
  <si>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</si>
  <si>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</si>
  <si>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</si>
  <si>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</si>
  <si>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</si>
  <si>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</si>
  <si>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</si>
  <si>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</si>
  <si>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</si>
  <si>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</si>
  <si>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</si>
  <si>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</si>
  <si>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</si>
  <si>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</si>
  <si>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</si>
  <si>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</si>
  <si>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</si>
  <si>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</si>
  <si>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</si>
  <si>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</si>
  <si>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</si>
  <si>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</si>
  <si>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</si>
  <si>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</si>
  <si>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</si>
  <si>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</si>
  <si>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</si>
  <si>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</si>
  <si>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</si>
  <si>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</si>
  <si>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</si>
  <si>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</si>
  <si>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</si>
  <si>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</si>
  <si>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</si>
  <si>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</si>
  <si>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</si>
  <si>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</si>
  <si>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</si>
  <si>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</si>
  <si>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</si>
  <si>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</si>
  <si>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</si>
  <si>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</si>
  <si>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</si>
  <si>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</si>
  <si>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</si>
  <si>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</si>
  <si>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</si>
  <si>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</si>
  <si>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</si>
  <si>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</si>
  <si>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</si>
  <si>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</si>
  <si>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</si>
  <si>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</si>
  <si>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</si>
  <si>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</si>
  <si>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</si>
  <si>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</si>
  <si>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</si>
  <si>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</si>
  <si>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</si>
  <si>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</si>
  <si>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</si>
  <si>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</si>
  <si>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</si>
  <si>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</si>
  <si>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</si>
  <si>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</si>
  <si>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</si>
  <si>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</si>
  <si>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</si>
  <si>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</si>
  <si>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</si>
  <si>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</si>
  <si>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</si>
  <si>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</si>
  <si>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</si>
  <si>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</si>
  <si>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</si>
  <si>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</si>
  <si>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</si>
  <si>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</si>
  <si>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</si>
  <si>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</si>
  <si>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</si>
  <si>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</si>
  <si>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</si>
  <si>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</si>
  <si>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</si>
  <si>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</si>
  <si>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</si>
  <si>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</si>
  <si>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</si>
  <si>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</si>
  <si>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</si>
  <si>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</si>
  <si>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</si>
  <si>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</si>
  <si>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</si>
  <si>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</si>
  <si>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</si>
  <si>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</si>
  <si>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</si>
  <si>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</si>
  <si>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</si>
  <si>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</si>
  <si>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</si>
  <si>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</si>
  <si>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</si>
  <si>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</si>
  <si>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</si>
  <si>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</si>
  <si>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</si>
  <si>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</si>
  <si>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</si>
  <si>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</si>
  <si>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</si>
  <si>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</si>
  <si>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</si>
  <si>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</si>
  <si>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</si>
  <si>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</si>
  <si>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</si>
  <si>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</si>
  <si>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</si>
  <si>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</si>
  <si>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</si>
  <si>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</si>
  <si>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</si>
  <si>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</si>
  <si>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</si>
  <si>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</si>
  <si>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</si>
  <si>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</si>
  <si>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</si>
  <si>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</si>
  <si>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</si>
  <si>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</si>
  <si>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</si>
  <si>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</si>
  <si>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</si>
  <si>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</si>
  <si>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</si>
  <si>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</si>
  <si>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</si>
  <si>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</si>
  <si>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</si>
  <si>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</si>
  <si>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</si>
  <si>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</si>
  <si>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</si>
  <si>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</si>
  <si>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</si>
  <si>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</si>
  <si>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</si>
  <si>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</si>
  <si>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</si>
  <si>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</si>
  <si>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</si>
  <si>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</si>
  <si>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</si>
  <si>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</si>
  <si>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</si>
  <si>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</si>
  <si>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</si>
  <si>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</si>
  <si>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</si>
  <si>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</si>
  <si>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</si>
  <si>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</si>
  <si>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</si>
  <si>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</si>
  <si>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</si>
  <si>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</si>
  <si>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</si>
  <si>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</si>
  <si>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</si>
  <si>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</si>
  <si>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</si>
  <si>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</si>
  <si>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</si>
  <si>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</si>
  <si>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</si>
  <si>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</si>
  <si>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</si>
  <si>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</si>
  <si>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</si>
  <si>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</si>
  <si>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</si>
  <si>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</si>
  <si>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</si>
  <si>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</si>
  <si>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</si>
  <si>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</si>
  <si>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</si>
  <si>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</si>
  <si>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</si>
  <si>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</si>
  <si>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</si>
  <si>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</si>
  <si>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</si>
  <si>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</si>
  <si>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</si>
  <si>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</si>
  <si>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</si>
  <si>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</si>
  <si>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</si>
  <si>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</si>
  <si>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</si>
  <si>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</si>
  <si>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</si>
  <si>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</si>
  <si>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</si>
  <si>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</si>
  <si>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</si>
  <si>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</si>
  <si>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</si>
  <si>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</si>
  <si>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</si>
  <si>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</si>
  <si>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</si>
  <si>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</si>
  <si>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</si>
  <si>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</si>
  <si>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</si>
  <si>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</si>
  <si>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</si>
  <si>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</si>
  <si>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</si>
  <si>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</si>
  <si>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</si>
  <si>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</si>
  <si>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</si>
  <si>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</si>
  <si>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</si>
  <si>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</si>
  <si>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</si>
  <si>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</si>
  <si>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</si>
  <si>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</si>
  <si>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</si>
  <si>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</si>
  <si>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</si>
  <si>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</si>
  <si>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</si>
  <si>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</si>
  <si>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</si>
  <si>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</si>
  <si>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</si>
  <si>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</si>
  <si>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</si>
  <si>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</si>
  <si>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</si>
  <si>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</si>
  <si>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</si>
  <si>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</si>
  <si>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</si>
  <si>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</si>
  <si>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</si>
  <si>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</si>
  <si>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</si>
  <si>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</si>
  <si>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</si>
  <si>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</si>
  <si>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</si>
  <si>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</si>
  <si>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</si>
  <si>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</si>
  <si>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</si>
  <si>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</si>
  <si>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</si>
  <si>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</si>
  <si>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</si>
  <si>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</si>
  <si>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</si>
  <si>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</si>
  <si>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</si>
  <si>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</si>
  <si>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</si>
  <si>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</si>
  <si>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</si>
  <si>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</si>
  <si>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</si>
  <si>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</si>
  <si>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</si>
  <si>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</si>
  <si>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</si>
  <si>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</si>
  <si>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</si>
  <si>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</si>
  <si>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</si>
  <si>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</si>
  <si>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</si>
  <si>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</si>
  <si>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</si>
  <si>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</si>
  <si>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</si>
  <si>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</si>
  <si>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</si>
  <si>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</si>
  <si>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</si>
  <si>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</si>
  <si>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</si>
  <si>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</si>
  <si>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</si>
  <si>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</si>
  <si>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</si>
  <si>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</si>
  <si>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</si>
  <si>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</si>
  <si>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</si>
  <si>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</si>
  <si>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</si>
  <si>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</si>
  <si>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</si>
  <si>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</si>
  <si>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TANGGAL</t>
  </si>
  <si>
    <t>NAMA</t>
  </si>
  <si>
    <t>LIST SHEET YANG DIRUBAH</t>
  </si>
  <si>
    <t>Daily Summary</t>
  </si>
  <si>
    <t>AAS Lab crushing Daily</t>
  </si>
  <si>
    <t>Reagent Consumption</t>
  </si>
  <si>
    <t>Rom file inventory</t>
  </si>
  <si>
    <t>LT Ball mill</t>
  </si>
  <si>
    <t>Crushing Down Time Hours</t>
  </si>
  <si>
    <t>Au Cal Leaching Tank</t>
  </si>
  <si>
    <t>Milling and Leach Feed</t>
  </si>
  <si>
    <t>LT Floculation</t>
  </si>
  <si>
    <t>Filter Press Down Time Hours</t>
  </si>
  <si>
    <t>Leach Time Process &amp; Down Time</t>
  </si>
  <si>
    <t>Fuel Consumption</t>
  </si>
  <si>
    <t>Deskripsi</t>
  </si>
  <si>
    <t>Tambahan downtime hours ball mill</t>
  </si>
  <si>
    <t>tambah batch 6</t>
  </si>
  <si>
    <t>D</t>
  </si>
  <si>
    <t>z</t>
  </si>
  <si>
    <t>nambahin LT Floculant hasil AAS tgl 10 night shift</t>
  </si>
  <si>
    <t>testtest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</si>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</sst>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164" fontId="49" fillId="0" borderId="0" applyFont="0" applyFill="0" applyBorder="0" applyAlignment="0" applyProtection="0"/>
  </cellStyleXfs>
  <cellXfs count="98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9" fillId="2" borderId="12" xfId="0" applyFont="1" applyFill="1" applyBorder="1"/>
    <xf numFmtId="0" fontId="0" fillId="2" borderId="12" xfId="0" applyFill="1" applyBorder="1"/>
    <xf numFmtId="0" fontId="49" fillId="2" borderId="15" xfId="0" applyFont="1" applyFill="1" applyBorder="1" applyAlignment="1">
      <alignment vertical="center"/>
    </xf>
    <xf numFmtId="0" fontId="49" fillId="2" borderId="0" xfId="0" applyFont="1" applyFill="1"/>
    <xf numFmtId="14" fontId="49" fillId="2" borderId="10" xfId="0" applyNumberFormat="1" applyFont="1" applyFill="1" applyBorder="1" applyAlignment="1">
      <alignment horizontal="center" vertical="center"/>
    </xf>
    <xf numFmtId="14" fontId="49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0" fillId="4" borderId="12" xfId="0" applyFont="1" applyFill="1" applyBorder="1" applyAlignment="1">
      <alignment horizontal="center"/>
    </xf>
    <xf numFmtId="0" fontId="50" fillId="3" borderId="12" xfId="0" applyFon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0" fillId="3" borderId="12" xfId="0" applyFont="1" applyFill="1" applyBorder="1"/>
    <xf numFmtId="0" fontId="0" fillId="3" borderId="12" xfId="0" applyFill="1" applyBorder="1"/>
    <xf numFmtId="0" fontId="50" fillId="3" borderId="31" xfId="0" applyFont="1" applyFill="1" applyBorder="1" applyAlignment="1">
      <alignment horizontal="center"/>
    </xf>
    <xf numFmtId="0" fontId="5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1" fillId="5" borderId="0" xfId="0" applyFont="1" applyFill="1"/>
    <xf numFmtId="0" fontId="5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3" fillId="2" borderId="0" xfId="3" applyNumberFormat="1" applyFont="1" applyFill="1"/>
    <xf numFmtId="170" fontId="53" fillId="5" borderId="0" xfId="3" applyNumberFormat="1" applyFont="1" applyFill="1"/>
    <xf numFmtId="14" fontId="49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9" fillId="2" borderId="12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4" fillId="5" borderId="0" xfId="2" applyNumberFormat="1" applyFont="1" applyFill="1"/>
    <xf numFmtId="172" fontId="5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5" fillId="6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0" fontId="57" fillId="11" borderId="12" xfId="0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7" fillId="12" borderId="12" xfId="0" applyNumberFormat="1" applyFont="1" applyFill="1" applyBorder="1" applyAlignment="1">
      <alignment horizontal="center" vertical="center"/>
    </xf>
    <xf numFmtId="0" fontId="57" fillId="13" borderId="12" xfId="0" applyFont="1" applyFill="1" applyBorder="1" applyAlignment="1">
      <alignment horizontal="center" vertical="center"/>
    </xf>
    <xf numFmtId="0" fontId="49" fillId="0" borderId="7" xfId="0" applyFont="1" applyBorder="1" applyAlignment="1">
      <alignment horizontal="center"/>
    </xf>
    <xf numFmtId="20" fontId="49" fillId="2" borderId="28" xfId="0" applyNumberFormat="1" applyFont="1" applyFill="1" applyBorder="1" applyAlignment="1">
      <alignment horizontal="center" vertical="center"/>
    </xf>
    <xf numFmtId="1" fontId="4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9" fillId="2" borderId="12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/>
    </xf>
    <xf numFmtId="1" fontId="50" fillId="3" borderId="20" xfId="0" applyNumberFormat="1" applyFont="1" applyFill="1" applyBorder="1" applyAlignment="1">
      <alignment horizontal="right"/>
    </xf>
    <xf numFmtId="9" fontId="5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5" fillId="0" borderId="0" xfId="0" applyFont="1"/>
    <xf numFmtId="1" fontId="55" fillId="0" borderId="0" xfId="0" applyNumberFormat="1" applyFont="1" applyAlignment="1">
      <alignment horizontal="center"/>
    </xf>
    <xf numFmtId="0" fontId="55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5" fillId="0" borderId="38" xfId="0" applyFont="1" applyBorder="1"/>
    <xf numFmtId="1" fontId="55" fillId="0" borderId="38" xfId="0" applyNumberFormat="1" applyFont="1" applyBorder="1" applyAlignment="1">
      <alignment horizontal="center"/>
    </xf>
    <xf numFmtId="0" fontId="55" fillId="0" borderId="38" xfId="0" applyFont="1" applyBorder="1" applyAlignment="1">
      <alignment horizontal="center"/>
    </xf>
    <xf numFmtId="43" fontId="55" fillId="0" borderId="38" xfId="1" applyFont="1" applyBorder="1" applyAlignment="1">
      <alignment horizontal="center"/>
    </xf>
    <xf numFmtId="0" fontId="55" fillId="0" borderId="39" xfId="0" applyFont="1" applyBorder="1"/>
    <xf numFmtId="0" fontId="57" fillId="0" borderId="0" xfId="0" applyFont="1" applyAlignment="1">
      <alignment wrapText="1"/>
    </xf>
    <xf numFmtId="0" fontId="57" fillId="3" borderId="45" xfId="0" applyFont="1" applyFill="1" applyBorder="1" applyAlignment="1">
      <alignment horizontal="center" vertical="center" wrapText="1"/>
    </xf>
    <xf numFmtId="0" fontId="55" fillId="0" borderId="47" xfId="0" applyFont="1" applyBorder="1"/>
    <xf numFmtId="173" fontId="55" fillId="0" borderId="48" xfId="0" applyNumberFormat="1" applyFont="1" applyBorder="1" applyAlignment="1">
      <alignment horizontal="center"/>
    </xf>
    <xf numFmtId="1" fontId="55" fillId="0" borderId="48" xfId="0" applyNumberFormat="1" applyFont="1" applyBorder="1" applyAlignment="1">
      <alignment horizontal="center"/>
    </xf>
    <xf numFmtId="174" fontId="55" fillId="0" borderId="48" xfId="0" applyNumberFormat="1" applyFont="1" applyBorder="1" applyAlignment="1">
      <alignment horizontal="center"/>
    </xf>
    <xf numFmtId="0" fontId="55" fillId="0" borderId="48" xfId="0" applyFont="1" applyBorder="1"/>
    <xf numFmtId="9" fontId="55" fillId="0" borderId="48" xfId="0" applyNumberFormat="1" applyFont="1" applyBorder="1" applyAlignment="1">
      <alignment horizontal="center"/>
    </xf>
    <xf numFmtId="0" fontId="55" fillId="0" borderId="48" xfId="0" applyFont="1" applyBorder="1" applyAlignment="1">
      <alignment horizontal="center"/>
    </xf>
    <xf numFmtId="9" fontId="55" fillId="0" borderId="48" xfId="2" applyFont="1" applyBorder="1" applyAlignment="1">
      <alignment horizontal="center" vertical="center"/>
    </xf>
    <xf numFmtId="9" fontId="55" fillId="0" borderId="49" xfId="0" applyNumberFormat="1" applyFont="1" applyBorder="1" applyAlignment="1">
      <alignment horizontal="center"/>
    </xf>
    <xf numFmtId="0" fontId="55" fillId="0" borderId="12" xfId="0" applyFont="1" applyBorder="1"/>
    <xf numFmtId="0" fontId="55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50" fillId="10" borderId="20" xfId="0" applyFont="1" applyFill="1" applyBorder="1"/>
    <xf numFmtId="0" fontId="50" fillId="10" borderId="28" xfId="0" applyFont="1" applyFill="1" applyBorder="1"/>
    <xf numFmtId="14" fontId="5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0" fillId="16" borderId="12" xfId="0" applyFont="1" applyFill="1" applyBorder="1" applyAlignment="1">
      <alignment horizontal="center"/>
    </xf>
    <xf numFmtId="0" fontId="50" fillId="10" borderId="7" xfId="0" applyFont="1" applyFill="1" applyBorder="1" applyAlignment="1">
      <alignment horizontal="center"/>
    </xf>
    <xf numFmtId="9" fontId="55" fillId="0" borderId="47" xfId="0" applyNumberFormat="1" applyFont="1" applyBorder="1" applyAlignment="1">
      <alignment horizontal="center"/>
    </xf>
    <xf numFmtId="9" fontId="55" fillId="0" borderId="12" xfId="0" applyNumberFormat="1" applyFont="1" applyBorder="1" applyAlignment="1">
      <alignment horizontal="center"/>
    </xf>
    <xf numFmtId="0" fontId="50" fillId="17" borderId="12" xfId="0" applyFont="1" applyFill="1" applyBorder="1" applyAlignment="1">
      <alignment horizontal="center"/>
    </xf>
    <xf numFmtId="0" fontId="5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0" fillId="3" borderId="0" xfId="0" applyFont="1" applyFill="1" applyAlignment="1">
      <alignment horizontal="center"/>
    </xf>
    <xf numFmtId="0" fontId="5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5" fillId="18" borderId="12" xfId="0" applyNumberFormat="1" applyFont="1" applyFill="1" applyBorder="1" applyAlignment="1">
      <alignment horizontal="center"/>
    </xf>
    <xf numFmtId="2" fontId="6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0" fillId="3" borderId="20" xfId="0" applyNumberFormat="1" applyFont="1" applyFill="1" applyBorder="1" applyAlignment="1">
      <alignment horizontal="right"/>
    </xf>
    <xf numFmtId="0" fontId="65" fillId="18" borderId="7" xfId="0" applyFont="1" applyFill="1" applyBorder="1"/>
    <xf numFmtId="0" fontId="65" fillId="18" borderId="29" xfId="0" applyFont="1" applyFill="1" applyBorder="1"/>
    <xf numFmtId="174" fontId="65" fillId="18" borderId="29" xfId="0" applyNumberFormat="1" applyFont="1" applyFill="1" applyBorder="1" applyAlignment="1">
      <alignment horizontal="center"/>
    </xf>
    <xf numFmtId="0" fontId="66" fillId="2" borderId="0" xfId="0" applyFont="1" applyFill="1"/>
    <xf numFmtId="0" fontId="55" fillId="0" borderId="50" xfId="0" applyFont="1" applyBorder="1" applyAlignment="1">
      <alignment horizontal="center"/>
    </xf>
    <xf numFmtId="176" fontId="55" fillId="0" borderId="48" xfId="0" applyNumberFormat="1" applyFont="1" applyBorder="1" applyAlignment="1">
      <alignment horizontal="center"/>
    </xf>
    <xf numFmtId="176" fontId="55" fillId="0" borderId="50" xfId="0" applyNumberFormat="1" applyFont="1" applyBorder="1" applyAlignment="1">
      <alignment horizontal="center"/>
    </xf>
    <xf numFmtId="0" fontId="49" fillId="2" borderId="7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/>
    </xf>
    <xf numFmtId="0" fontId="55" fillId="0" borderId="49" xfId="0" applyFont="1" applyBorder="1" applyAlignment="1">
      <alignment horizontal="center"/>
    </xf>
    <xf numFmtId="0" fontId="5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0" fillId="2" borderId="0" xfId="0" applyFont="1" applyFill="1" applyAlignment="1">
      <alignment horizontal="center"/>
    </xf>
    <xf numFmtId="0" fontId="4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7" fillId="2" borderId="28" xfId="0" applyFont="1" applyFill="1" applyBorder="1" applyAlignment="1">
      <alignment horizontal="center" vertical="center"/>
    </xf>
    <xf numFmtId="2" fontId="55" fillId="0" borderId="48" xfId="0" applyNumberFormat="1" applyFont="1" applyBorder="1" applyAlignment="1">
      <alignment horizontal="center"/>
    </xf>
    <xf numFmtId="9" fontId="65" fillId="18" borderId="29" xfId="2" applyFont="1" applyFill="1" applyBorder="1" applyAlignment="1">
      <alignment horizontal="center"/>
    </xf>
    <xf numFmtId="0" fontId="50" fillId="20" borderId="12" xfId="0" applyFont="1" applyFill="1" applyBorder="1"/>
    <xf numFmtId="9" fontId="55" fillId="0" borderId="0" xfId="2" applyFont="1" applyAlignment="1">
      <alignment horizontal="center"/>
    </xf>
    <xf numFmtId="0" fontId="50" fillId="0" borderId="12" xfId="0" applyFont="1" applyBorder="1"/>
    <xf numFmtId="176" fontId="0" fillId="0" borderId="12" xfId="0" applyNumberFormat="1" applyBorder="1"/>
    <xf numFmtId="1" fontId="68" fillId="2" borderId="12" xfId="0" applyNumberFormat="1" applyFont="1" applyFill="1" applyBorder="1"/>
    <xf numFmtId="9" fontId="68" fillId="2" borderId="12" xfId="0" applyNumberFormat="1" applyFont="1" applyFill="1" applyBorder="1"/>
    <xf numFmtId="0" fontId="60" fillId="2" borderId="12" xfId="0" applyFont="1" applyFill="1" applyBorder="1"/>
    <xf numFmtId="1" fontId="57" fillId="3" borderId="45" xfId="0" applyNumberFormat="1" applyFont="1" applyFill="1" applyBorder="1" applyAlignment="1">
      <alignment horizontal="center" vertical="center" wrapText="1"/>
    </xf>
    <xf numFmtId="43" fontId="57" fillId="3" borderId="45" xfId="1" applyFont="1" applyFill="1" applyBorder="1" applyAlignment="1">
      <alignment horizontal="center" vertical="center" wrapText="1"/>
    </xf>
    <xf numFmtId="0" fontId="5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6" fillId="2" borderId="28" xfId="0" applyFont="1" applyFill="1" applyBorder="1" applyAlignment="1">
      <alignment vertical="center"/>
    </xf>
    <xf numFmtId="20" fontId="4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20" fontId="43" fillId="2" borderId="28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9" fontId="55" fillId="8" borderId="12" xfId="0" applyNumberFormat="1" applyFont="1" applyFill="1" applyBorder="1" applyAlignment="1">
      <alignment horizontal="center" vertical="center"/>
    </xf>
    <xf numFmtId="1" fontId="5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14" fontId="5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5" fillId="2" borderId="20" xfId="0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vertical="center"/>
    </xf>
    <xf numFmtId="0" fontId="56" fillId="2" borderId="28" xfId="0" applyFont="1" applyFill="1" applyBorder="1"/>
    <xf numFmtId="0" fontId="55" fillId="2" borderId="28" xfId="0" applyFont="1" applyFill="1" applyBorder="1" applyAlignment="1">
      <alignment horizontal="center" vertical="center"/>
    </xf>
    <xf numFmtId="14" fontId="55" fillId="7" borderId="10" xfId="0" applyNumberFormat="1" applyFont="1" applyFill="1" applyBorder="1" applyAlignment="1">
      <alignment vertical="center"/>
    </xf>
    <xf numFmtId="14" fontId="55" fillId="7" borderId="10" xfId="0" applyNumberFormat="1" applyFont="1" applyFill="1" applyBorder="1" applyAlignment="1">
      <alignment horizontal="center" vertical="center"/>
    </xf>
    <xf numFmtId="14" fontId="55" fillId="2" borderId="10" xfId="0" applyNumberFormat="1" applyFont="1" applyFill="1" applyBorder="1" applyAlignment="1">
      <alignment vertical="center"/>
    </xf>
    <xf numFmtId="14" fontId="55" fillId="2" borderId="10" xfId="0" applyNumberFormat="1" applyFont="1" applyFill="1" applyBorder="1" applyAlignment="1">
      <alignment horizontal="center" vertical="center"/>
    </xf>
    <xf numFmtId="0" fontId="55" fillId="2" borderId="10" xfId="0" applyFont="1" applyFill="1" applyBorder="1" applyAlignment="1">
      <alignment horizontal="center" vertical="center"/>
    </xf>
    <xf numFmtId="1" fontId="55" fillId="8" borderId="10" xfId="0" applyNumberFormat="1" applyFont="1" applyFill="1" applyBorder="1" applyAlignment="1">
      <alignment horizontal="center" vertical="center"/>
    </xf>
    <xf numFmtId="0" fontId="55" fillId="8" borderId="10" xfId="0" applyFont="1" applyFill="1" applyBorder="1" applyAlignment="1">
      <alignment horizontal="center" vertical="center"/>
    </xf>
    <xf numFmtId="14" fontId="55" fillId="7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horizontal="center" vertical="center"/>
    </xf>
    <xf numFmtId="0" fontId="5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5" fillId="9" borderId="28" xfId="0" applyFont="1" applyFill="1" applyBorder="1" applyAlignment="1">
      <alignment horizontal="center" vertical="center"/>
    </xf>
    <xf numFmtId="0" fontId="56" fillId="2" borderId="10" xfId="0" applyFont="1" applyFill="1" applyBorder="1"/>
    <xf numFmtId="0" fontId="56" fillId="2" borderId="17" xfId="0" applyFont="1" applyFill="1" applyBorder="1"/>
    <xf numFmtId="0" fontId="0" fillId="2" borderId="17" xfId="0" applyFill="1" applyBorder="1"/>
    <xf numFmtId="0" fontId="55" fillId="9" borderId="17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55" fillId="2" borderId="12" xfId="0" applyNumberFormat="1" applyFont="1" applyFill="1" applyBorder="1" applyAlignment="1">
      <alignment horizontal="center" vertical="center"/>
    </xf>
    <xf numFmtId="1" fontId="55" fillId="8" borderId="28" xfId="0" applyNumberFormat="1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5" fillId="0" borderId="47" xfId="0" applyNumberFormat="1" applyFont="1" applyBorder="1" applyAlignment="1">
      <alignment horizontal="center"/>
    </xf>
    <xf numFmtId="174" fontId="55" fillId="0" borderId="47" xfId="0" applyNumberFormat="1" applyFont="1" applyBorder="1" applyAlignment="1">
      <alignment horizontal="center"/>
    </xf>
    <xf numFmtId="9" fontId="55" fillId="0" borderId="47" xfId="2" applyFont="1" applyBorder="1" applyAlignment="1">
      <alignment horizontal="center" vertical="center"/>
    </xf>
    <xf numFmtId="1" fontId="55" fillId="0" borderId="12" xfId="0" applyNumberFormat="1" applyFont="1" applyBorder="1" applyAlignment="1">
      <alignment horizontal="center"/>
    </xf>
    <xf numFmtId="174" fontId="55" fillId="0" borderId="12" xfId="0" applyNumberFormat="1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9" fontId="55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5" fillId="2" borderId="12" xfId="0" applyFont="1" applyFill="1" applyBorder="1" applyAlignment="1">
      <alignment vertical="top" wrapText="1"/>
    </xf>
    <xf numFmtId="0" fontId="5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0" fillId="18" borderId="30" xfId="0" applyFont="1" applyFill="1" applyBorder="1" applyAlignment="1">
      <alignment horizontal="center" vertical="center"/>
    </xf>
    <xf numFmtId="0" fontId="50" fillId="18" borderId="22" xfId="0" applyFont="1" applyFill="1" applyBorder="1" applyAlignment="1">
      <alignment horizontal="center" vertical="center"/>
    </xf>
    <xf numFmtId="1" fontId="50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0" fillId="20" borderId="12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0" fillId="4" borderId="12" xfId="0" applyNumberFormat="1" applyFont="1" applyFill="1" applyBorder="1" applyAlignment="1">
      <alignment horizontal="center"/>
    </xf>
    <xf numFmtId="14" fontId="35" fillId="2" borderId="12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0" fillId="2" borderId="12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/>
    </xf>
    <xf numFmtId="0" fontId="50" fillId="18" borderId="32" xfId="0" applyFont="1" applyFill="1" applyBorder="1" applyAlignment="1">
      <alignment horizontal="center"/>
    </xf>
    <xf numFmtId="0" fontId="5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0" fillId="4" borderId="12" xfId="0" applyFont="1" applyFill="1" applyBorder="1"/>
    <xf numFmtId="0" fontId="50" fillId="18" borderId="12" xfId="0" applyFont="1" applyFill="1" applyBorder="1"/>
    <xf numFmtId="0" fontId="50" fillId="18" borderId="12" xfId="0" applyFont="1" applyFill="1" applyBorder="1" applyAlignment="1">
      <alignment horizontal="left"/>
    </xf>
    <xf numFmtId="0" fontId="28" fillId="2" borderId="12" xfId="0" applyFont="1" applyFill="1" applyBorder="1"/>
    <xf numFmtId="0" fontId="49" fillId="3" borderId="0" xfId="0" applyFont="1" applyFill="1" applyAlignment="1">
      <alignment horizontal="center"/>
    </xf>
    <xf numFmtId="0" fontId="49" fillId="3" borderId="19" xfId="0" applyFont="1" applyFill="1" applyBorder="1" applyAlignment="1">
      <alignment horizontal="center"/>
    </xf>
    <xf numFmtId="0" fontId="4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8" fillId="2" borderId="28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65" fillId="3" borderId="21" xfId="1" applyNumberFormat="1" applyFont="1" applyFill="1" applyBorder="1" applyAlignment="1">
      <alignment horizontal="center" vertical="center"/>
    </xf>
    <xf numFmtId="166" fontId="65" fillId="3" borderId="21" xfId="0" applyNumberFormat="1" applyFont="1" applyFill="1" applyBorder="1" applyAlignment="1">
      <alignment horizontal="center" vertical="center"/>
    </xf>
    <xf numFmtId="9" fontId="65" fillId="3" borderId="21" xfId="2" applyFont="1" applyFill="1" applyBorder="1" applyAlignment="1">
      <alignment horizontal="center" vertical="center"/>
    </xf>
    <xf numFmtId="9" fontId="65" fillId="3" borderId="22" xfId="2" applyFont="1" applyFill="1" applyBorder="1" applyAlignment="1">
      <alignment horizontal="center" vertical="center" wrapText="1"/>
    </xf>
    <xf numFmtId="14" fontId="70" fillId="2" borderId="9" xfId="0" applyNumberFormat="1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vertical="center"/>
    </xf>
    <xf numFmtId="165" fontId="70" fillId="2" borderId="10" xfId="1" applyNumberFormat="1" applyFont="1" applyFill="1" applyBorder="1" applyAlignment="1">
      <alignment horizontal="center" vertical="center"/>
    </xf>
    <xf numFmtId="166" fontId="70" fillId="2" borderId="10" xfId="0" applyNumberFormat="1" applyFont="1" applyFill="1" applyBorder="1" applyAlignment="1">
      <alignment horizontal="center" vertical="center"/>
    </xf>
    <xf numFmtId="9" fontId="70" fillId="2" borderId="10" xfId="2" applyFont="1" applyFill="1" applyBorder="1" applyAlignment="1">
      <alignment horizontal="center" vertical="center"/>
    </xf>
    <xf numFmtId="167" fontId="70" fillId="2" borderId="11" xfId="1" applyNumberFormat="1" applyFont="1" applyFill="1" applyBorder="1" applyAlignment="1">
      <alignment horizontal="center" vertical="center"/>
    </xf>
    <xf numFmtId="0" fontId="70" fillId="2" borderId="11" xfId="0" applyFont="1" applyFill="1" applyBorder="1" applyAlignment="1">
      <alignment horizontal="center" vertical="center"/>
    </xf>
    <xf numFmtId="1" fontId="70" fillId="2" borderId="11" xfId="0" applyNumberFormat="1" applyFont="1" applyFill="1" applyBorder="1" applyAlignment="1">
      <alignment horizontal="center" vertical="center"/>
    </xf>
    <xf numFmtId="165" fontId="70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/>
    <xf numFmtId="14" fontId="70" fillId="2" borderId="14" xfId="0" applyNumberFormat="1" applyFont="1" applyFill="1" applyBorder="1" applyAlignment="1">
      <alignment horizontal="center" vertical="center"/>
    </xf>
    <xf numFmtId="0" fontId="70" fillId="2" borderId="15" xfId="0" applyFont="1" applyFill="1" applyBorder="1" applyAlignment="1">
      <alignment vertical="center"/>
    </xf>
    <xf numFmtId="165" fontId="70" fillId="2" borderId="15" xfId="1" applyNumberFormat="1" applyFont="1" applyFill="1" applyBorder="1" applyAlignment="1">
      <alignment horizontal="center" vertical="center"/>
    </xf>
    <xf numFmtId="166" fontId="70" fillId="2" borderId="15" xfId="0" applyNumberFormat="1" applyFont="1" applyFill="1" applyBorder="1" applyAlignment="1">
      <alignment horizontal="center" vertical="center"/>
    </xf>
    <xf numFmtId="9" fontId="70" fillId="2" borderId="15" xfId="2" applyFont="1" applyFill="1" applyBorder="1" applyAlignment="1">
      <alignment horizontal="center" vertical="center"/>
    </xf>
    <xf numFmtId="165" fontId="70" fillId="2" borderId="17" xfId="1" applyNumberFormat="1" applyFont="1" applyFill="1" applyBorder="1" applyAlignment="1">
      <alignment horizontal="center" vertical="center"/>
    </xf>
    <xf numFmtId="167" fontId="70" fillId="2" borderId="16" xfId="1" applyNumberFormat="1" applyFont="1" applyFill="1" applyBorder="1" applyAlignment="1">
      <alignment horizontal="center" vertical="center"/>
    </xf>
    <xf numFmtId="165" fontId="70" fillId="2" borderId="12" xfId="0" applyNumberFormat="1" applyFont="1" applyFill="1" applyBorder="1"/>
    <xf numFmtId="168" fontId="70" fillId="2" borderId="12" xfId="0" applyNumberFormat="1" applyFont="1" applyFill="1" applyBorder="1"/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17" xfId="0" applyNumberFormat="1" applyFont="1" applyFill="1" applyBorder="1" applyAlignment="1">
      <alignment horizontal="center" vertical="center"/>
    </xf>
    <xf numFmtId="167" fontId="70" fillId="2" borderId="12" xfId="0" applyNumberFormat="1" applyFont="1" applyFill="1" applyBorder="1"/>
    <xf numFmtId="0" fontId="70" fillId="2" borderId="17" xfId="0" applyFont="1" applyFill="1" applyBorder="1" applyAlignment="1">
      <alignment vertical="center"/>
    </xf>
    <xf numFmtId="1" fontId="70" fillId="2" borderId="16" xfId="0" applyNumberFormat="1" applyFont="1" applyFill="1" applyBorder="1" applyAlignment="1">
      <alignment horizontal="center" vertical="center"/>
    </xf>
    <xf numFmtId="14" fontId="70" fillId="2" borderId="19" xfId="0" applyNumberFormat="1" applyFont="1" applyFill="1" applyBorder="1" applyAlignment="1">
      <alignment horizontal="center" vertical="center"/>
    </xf>
    <xf numFmtId="0" fontId="70" fillId="2" borderId="20" xfId="0" applyFont="1" applyFill="1" applyBorder="1" applyAlignment="1">
      <alignment vertical="center"/>
    </xf>
    <xf numFmtId="165" fontId="70" fillId="2" borderId="20" xfId="1" applyNumberFormat="1" applyFont="1" applyFill="1" applyBorder="1" applyAlignment="1">
      <alignment horizontal="center" vertical="center"/>
    </xf>
    <xf numFmtId="166" fontId="70" fillId="2" borderId="21" xfId="0" applyNumberFormat="1" applyFont="1" applyFill="1" applyBorder="1" applyAlignment="1">
      <alignment horizontal="center" vertical="center"/>
    </xf>
    <xf numFmtId="9" fontId="70" fillId="2" borderId="21" xfId="2" applyFont="1" applyFill="1" applyBorder="1" applyAlignment="1">
      <alignment horizontal="center" vertical="center"/>
    </xf>
    <xf numFmtId="167" fontId="70" fillId="2" borderId="22" xfId="1" applyNumberFormat="1" applyFont="1" applyFill="1" applyBorder="1" applyAlignment="1">
      <alignment horizontal="center" vertical="center"/>
    </xf>
    <xf numFmtId="1" fontId="70" fillId="2" borderId="22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65" fontId="70" fillId="2" borderId="20" xfId="0" applyNumberFormat="1" applyFont="1" applyFill="1" applyBorder="1" applyAlignment="1">
      <alignment horizontal="center" vertical="center"/>
    </xf>
    <xf numFmtId="165" fontId="70" fillId="2" borderId="23" xfId="0" applyNumberFormat="1" applyFont="1" applyFill="1" applyBorder="1" applyAlignment="1">
      <alignment horizontal="center" vertical="center"/>
    </xf>
    <xf numFmtId="165" fontId="70" fillId="2" borderId="25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70" fillId="2" borderId="27" xfId="0" applyFont="1" applyFill="1" applyBorder="1" applyAlignment="1">
      <alignment vertical="center"/>
    </xf>
    <xf numFmtId="165" fontId="70" fillId="2" borderId="27" xfId="1" applyNumberFormat="1" applyFont="1" applyFill="1" applyBorder="1" applyAlignment="1">
      <alignment horizontal="center" vertical="center"/>
    </xf>
    <xf numFmtId="166" fontId="70" fillId="2" borderId="27" xfId="0" applyNumberFormat="1" applyFont="1" applyFill="1" applyBorder="1" applyAlignment="1">
      <alignment horizontal="center" vertical="center"/>
    </xf>
    <xf numFmtId="9" fontId="70" fillId="2" borderId="27" xfId="2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vertical="center"/>
    </xf>
    <xf numFmtId="165" fontId="70" fillId="2" borderId="17" xfId="0" applyNumberFormat="1" applyFont="1" applyFill="1" applyBorder="1" applyAlignment="1">
      <alignment vertical="center"/>
    </xf>
    <xf numFmtId="175" fontId="70" fillId="2" borderId="27" xfId="2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1" xfId="0" applyFont="1" applyFill="1" applyBorder="1" applyAlignment="1">
      <alignment vertical="center"/>
    </xf>
    <xf numFmtId="165" fontId="65" fillId="4" borderId="21" xfId="1" applyNumberFormat="1" applyFont="1" applyFill="1" applyBorder="1" applyAlignment="1">
      <alignment horizontal="center" vertical="center"/>
    </xf>
    <xf numFmtId="166" fontId="65" fillId="4" borderId="21" xfId="0" applyNumberFormat="1" applyFont="1" applyFill="1" applyBorder="1" applyAlignment="1">
      <alignment horizontal="center" vertical="center"/>
    </xf>
    <xf numFmtId="9" fontId="65" fillId="4" borderId="21" xfId="2" applyFont="1" applyFill="1" applyBorder="1" applyAlignment="1">
      <alignment horizontal="center" vertical="center"/>
    </xf>
    <xf numFmtId="167" fontId="65" fillId="4" borderId="22" xfId="1" applyNumberFormat="1" applyFont="1" applyFill="1" applyBorder="1" applyAlignment="1">
      <alignment horizontal="center" vertical="center"/>
    </xf>
    <xf numFmtId="0" fontId="65" fillId="4" borderId="22" xfId="0" applyFont="1" applyFill="1" applyBorder="1" applyAlignment="1">
      <alignment horizontal="center" vertical="center"/>
    </xf>
    <xf numFmtId="1" fontId="65" fillId="4" borderId="22" xfId="0" applyNumberFormat="1" applyFont="1" applyFill="1" applyBorder="1" applyAlignment="1">
      <alignment horizontal="center" vertical="center"/>
    </xf>
    <xf numFmtId="165" fontId="65" fillId="4" borderId="21" xfId="0" applyNumberFormat="1" applyFont="1" applyFill="1" applyBorder="1" applyAlignment="1">
      <alignment horizontal="center" vertical="center"/>
    </xf>
    <xf numFmtId="165" fontId="70" fillId="4" borderId="28" xfId="0" applyNumberFormat="1" applyFont="1" applyFill="1" applyBorder="1" applyAlignment="1">
      <alignment horizontal="center" vertical="center"/>
    </xf>
    <xf numFmtId="0" fontId="65" fillId="4" borderId="17" xfId="0" applyFont="1" applyFill="1" applyBorder="1"/>
    <xf numFmtId="165" fontId="65" fillId="4" borderId="17" xfId="1" applyNumberFormat="1" applyFont="1" applyFill="1" applyBorder="1" applyAlignment="1">
      <alignment horizontal="center" vertical="center"/>
    </xf>
    <xf numFmtId="9" fontId="65" fillId="4" borderId="17" xfId="2" applyFont="1" applyFill="1" applyBorder="1" applyAlignment="1">
      <alignment horizontal="center" vertical="center"/>
    </xf>
    <xf numFmtId="1" fontId="65" fillId="4" borderId="17" xfId="0" applyNumberFormat="1" applyFont="1" applyFill="1" applyBorder="1" applyAlignment="1">
      <alignment horizontal="center"/>
    </xf>
    <xf numFmtId="165" fontId="6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5" fillId="4" borderId="6" xfId="0" applyNumberFormat="1" applyFont="1" applyFill="1" applyBorder="1" applyAlignment="1">
      <alignment horizontal="center" vertical="center"/>
    </xf>
    <xf numFmtId="165" fontId="65" fillId="4" borderId="54" xfId="0" applyNumberFormat="1" applyFont="1" applyFill="1" applyBorder="1" applyAlignment="1">
      <alignment vertical="center"/>
    </xf>
    <xf numFmtId="0" fontId="65" fillId="3" borderId="22" xfId="0" applyFont="1" applyFill="1" applyBorder="1" applyAlignment="1">
      <alignment horizontal="center" vertical="center" wrapText="1"/>
    </xf>
    <xf numFmtId="0" fontId="65" fillId="3" borderId="21" xfId="0" applyFont="1" applyFill="1" applyBorder="1" applyAlignment="1">
      <alignment horizontal="center" vertical="center"/>
    </xf>
    <xf numFmtId="0" fontId="65" fillId="3" borderId="21" xfId="0" applyFont="1" applyFill="1" applyBorder="1" applyAlignment="1">
      <alignment horizontal="center" vertical="center" wrapText="1"/>
    </xf>
    <xf numFmtId="0" fontId="65" fillId="20" borderId="28" xfId="0" applyFont="1" applyFill="1" applyBorder="1" applyAlignment="1">
      <alignment horizontal="center" vertical="center"/>
    </xf>
    <xf numFmtId="14" fontId="70" fillId="17" borderId="9" xfId="0" applyNumberFormat="1" applyFont="1" applyFill="1" applyBorder="1" applyAlignment="1">
      <alignment horizontal="center" vertical="center"/>
    </xf>
    <xf numFmtId="0" fontId="70" fillId="17" borderId="10" xfId="0" applyFont="1" applyFill="1" applyBorder="1" applyAlignment="1">
      <alignment vertical="center"/>
    </xf>
    <xf numFmtId="165" fontId="70" fillId="17" borderId="10" xfId="1" applyNumberFormat="1" applyFont="1" applyFill="1" applyBorder="1" applyAlignment="1">
      <alignment horizontal="center" vertical="center"/>
    </xf>
    <xf numFmtId="166" fontId="70" fillId="17" borderId="10" xfId="0" applyNumberFormat="1" applyFont="1" applyFill="1" applyBorder="1" applyAlignment="1">
      <alignment horizontal="center" vertical="center"/>
    </xf>
    <xf numFmtId="9" fontId="70" fillId="17" borderId="10" xfId="2" applyFont="1" applyFill="1" applyBorder="1" applyAlignment="1">
      <alignment horizontal="center" vertical="center"/>
    </xf>
    <xf numFmtId="167" fontId="70" fillId="17" borderId="11" xfId="1" applyNumberFormat="1" applyFont="1" applyFill="1" applyBorder="1" applyAlignment="1">
      <alignment horizontal="center" vertical="center"/>
    </xf>
    <xf numFmtId="1" fontId="70" fillId="17" borderId="11" xfId="0" applyNumberFormat="1" applyFont="1" applyFill="1" applyBorder="1" applyAlignment="1">
      <alignment horizontal="center" vertical="center"/>
    </xf>
    <xf numFmtId="165" fontId="70" fillId="17" borderId="10" xfId="0" applyNumberFormat="1" applyFont="1" applyFill="1" applyBorder="1" applyAlignment="1">
      <alignment horizontal="center" vertical="center"/>
    </xf>
    <xf numFmtId="0" fontId="70" fillId="17" borderId="12" xfId="0" applyFont="1" applyFill="1" applyBorder="1"/>
    <xf numFmtId="14" fontId="70" fillId="17" borderId="14" xfId="0" applyNumberFormat="1" applyFont="1" applyFill="1" applyBorder="1" applyAlignment="1">
      <alignment horizontal="center" vertical="center"/>
    </xf>
    <xf numFmtId="0" fontId="70" fillId="17" borderId="15" xfId="0" applyFont="1" applyFill="1" applyBorder="1" applyAlignment="1">
      <alignment vertical="center"/>
    </xf>
    <xf numFmtId="165" fontId="70" fillId="17" borderId="17" xfId="1" applyNumberFormat="1" applyFont="1" applyFill="1" applyBorder="1" applyAlignment="1">
      <alignment horizontal="center" vertical="center"/>
    </xf>
    <xf numFmtId="9" fontId="70" fillId="17" borderId="15" xfId="2" applyFont="1" applyFill="1" applyBorder="1" applyAlignment="1">
      <alignment horizontal="center" vertical="center"/>
    </xf>
    <xf numFmtId="167" fontId="70" fillId="17" borderId="16" xfId="1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17" borderId="12" xfId="0" applyNumberFormat="1" applyFont="1" applyFill="1" applyBorder="1"/>
    <xf numFmtId="165" fontId="70" fillId="17" borderId="17" xfId="0" applyNumberFormat="1" applyFont="1" applyFill="1" applyBorder="1" applyAlignment="1">
      <alignment horizontal="center" vertical="center"/>
    </xf>
    <xf numFmtId="0" fontId="70" fillId="17" borderId="17" xfId="0" applyFont="1" applyFill="1" applyBorder="1" applyAlignment="1">
      <alignment vertical="center"/>
    </xf>
    <xf numFmtId="1" fontId="70" fillId="17" borderId="16" xfId="0" applyNumberFormat="1" applyFont="1" applyFill="1" applyBorder="1" applyAlignment="1">
      <alignment horizontal="center" vertical="center"/>
    </xf>
    <xf numFmtId="0" fontId="60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0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7" fillId="2" borderId="12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24" fillId="2" borderId="7" xfId="0" applyFont="1" applyFill="1" applyBorder="1" applyAlignment="1">
      <alignment horizontal="center" vertical="center"/>
    </xf>
    <xf numFmtId="1" fontId="55" fillId="0" borderId="50" xfId="0" applyNumberFormat="1" applyFont="1" applyBorder="1" applyAlignment="1">
      <alignment horizontal="center"/>
    </xf>
    <xf numFmtId="0" fontId="23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left" vertical="center"/>
    </xf>
    <xf numFmtId="0" fontId="70" fillId="2" borderId="12" xfId="0" applyFont="1" applyFill="1" applyBorder="1" applyAlignment="1">
      <alignment wrapText="1"/>
    </xf>
    <xf numFmtId="0" fontId="23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0" fillId="4" borderId="12" xfId="0" applyFont="1" applyFill="1" applyBorder="1" applyAlignment="1">
      <alignment horizontal="center" wrapText="1"/>
    </xf>
    <xf numFmtId="166" fontId="71" fillId="17" borderId="10" xfId="0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166" fontId="71" fillId="17" borderId="15" xfId="0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vertical="center"/>
    </xf>
    <xf numFmtId="0" fontId="22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5" fillId="18" borderId="12" xfId="0" applyFont="1" applyFill="1" applyBorder="1" applyAlignment="1">
      <alignment horizontal="center"/>
    </xf>
    <xf numFmtId="0" fontId="5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0" fillId="18" borderId="12" xfId="0" applyNumberFormat="1" applyFont="1" applyFill="1" applyBorder="1" applyAlignment="1">
      <alignment horizontal="center" wrapText="1"/>
    </xf>
    <xf numFmtId="0" fontId="50" fillId="2" borderId="12" xfId="0" applyFont="1" applyFill="1" applyBorder="1"/>
    <xf numFmtId="14" fontId="21" fillId="2" borderId="12" xfId="0" applyNumberFormat="1" applyFont="1" applyFill="1" applyBorder="1"/>
    <xf numFmtId="0" fontId="20" fillId="2" borderId="12" xfId="0" applyFont="1" applyFill="1" applyBorder="1" applyAlignment="1">
      <alignment vertical="center"/>
    </xf>
    <xf numFmtId="0" fontId="20" fillId="2" borderId="12" xfId="0" applyFont="1" applyFill="1" applyBorder="1" applyAlignment="1">
      <alignment horizontal="center" vertical="center"/>
    </xf>
    <xf numFmtId="173" fontId="55" fillId="0" borderId="47" xfId="0" applyNumberFormat="1" applyFont="1" applyBorder="1" applyAlignment="1">
      <alignment horizontal="center"/>
    </xf>
    <xf numFmtId="1" fontId="55" fillId="0" borderId="20" xfId="0" applyNumberFormat="1" applyFont="1" applyBorder="1" applyAlignment="1">
      <alignment horizontal="center"/>
    </xf>
    <xf numFmtId="174" fontId="55" fillId="0" borderId="20" xfId="0" applyNumberFormat="1" applyFont="1" applyBorder="1" applyAlignment="1">
      <alignment horizontal="center"/>
    </xf>
    <xf numFmtId="0" fontId="55" fillId="0" borderId="20" xfId="0" applyFont="1" applyBorder="1"/>
    <xf numFmtId="9" fontId="55" fillId="0" borderId="20" xfId="0" applyNumberFormat="1" applyFont="1" applyBorder="1" applyAlignment="1">
      <alignment horizontal="center"/>
    </xf>
    <xf numFmtId="0" fontId="55" fillId="0" borderId="20" xfId="0" applyFont="1" applyBorder="1" applyAlignment="1">
      <alignment horizontal="center"/>
    </xf>
    <xf numFmtId="9" fontId="55" fillId="0" borderId="20" xfId="2" applyFont="1" applyBorder="1" applyAlignment="1">
      <alignment horizontal="center" vertical="center"/>
    </xf>
    <xf numFmtId="173" fontId="55" fillId="14" borderId="12" xfId="0" applyNumberFormat="1" applyFont="1" applyFill="1" applyBorder="1" applyAlignment="1">
      <alignment horizontal="center"/>
    </xf>
    <xf numFmtId="43" fontId="55" fillId="14" borderId="12" xfId="1" applyFont="1" applyFill="1" applyBorder="1" applyAlignment="1">
      <alignment horizontal="center"/>
    </xf>
    <xf numFmtId="0" fontId="55" fillId="21" borderId="12" xfId="0" applyFont="1" applyFill="1" applyBorder="1" applyAlignment="1">
      <alignment horizontal="center"/>
    </xf>
    <xf numFmtId="0" fontId="55" fillId="14" borderId="12" xfId="0" applyFont="1" applyFill="1" applyBorder="1"/>
    <xf numFmtId="1" fontId="55" fillId="21" borderId="12" xfId="0" applyNumberFormat="1" applyFont="1" applyFill="1" applyBorder="1" applyAlignment="1">
      <alignment horizontal="center"/>
    </xf>
    <xf numFmtId="2" fontId="55" fillId="21" borderId="12" xfId="0" applyNumberFormat="1" applyFont="1" applyFill="1" applyBorder="1" applyAlignment="1">
      <alignment horizontal="center"/>
    </xf>
    <xf numFmtId="176" fontId="55" fillId="21" borderId="12" xfId="0" applyNumberFormat="1" applyFont="1" applyFill="1" applyBorder="1" applyAlignment="1">
      <alignment horizontal="center"/>
    </xf>
    <xf numFmtId="9" fontId="55" fillId="21" borderId="12" xfId="0" applyNumberFormat="1" applyFont="1" applyFill="1" applyBorder="1" applyAlignment="1">
      <alignment horizontal="center"/>
    </xf>
    <xf numFmtId="0" fontId="55" fillId="14" borderId="12" xfId="0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 wrapText="1"/>
    </xf>
    <xf numFmtId="43" fontId="55" fillId="21" borderId="12" xfId="1" applyFont="1" applyFill="1" applyBorder="1" applyAlignment="1">
      <alignment horizontal="center"/>
    </xf>
    <xf numFmtId="1" fontId="55" fillId="14" borderId="48" xfId="0" applyNumberFormat="1" applyFont="1" applyFill="1" applyBorder="1" applyAlignment="1">
      <alignment horizontal="center"/>
    </xf>
    <xf numFmtId="14" fontId="38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50" fillId="2" borderId="12" xfId="0" applyNumberFormat="1" applyFont="1" applyFill="1" applyBorder="1" applyAlignment="1">
      <alignment horizontal="center"/>
    </xf>
    <xf numFmtId="1" fontId="50" fillId="2" borderId="27" xfId="0" applyNumberFormat="1" applyFont="1" applyFill="1" applyBorder="1" applyAlignment="1">
      <alignment horizontal="center" vertical="center"/>
    </xf>
    <xf numFmtId="176" fontId="50" fillId="2" borderId="23" xfId="0" applyNumberFormat="1" applyFont="1" applyFill="1" applyBorder="1" applyAlignment="1">
      <alignment horizontal="center" vertical="center"/>
    </xf>
    <xf numFmtId="176" fontId="50" fillId="2" borderId="11" xfId="0" applyNumberFormat="1" applyFont="1" applyFill="1" applyBorder="1" applyAlignment="1">
      <alignment horizontal="center" vertical="center"/>
    </xf>
    <xf numFmtId="176" fontId="50" fillId="2" borderId="25" xfId="0" applyNumberFormat="1" applyFont="1" applyFill="1" applyBorder="1" applyAlignment="1">
      <alignment horizontal="center" vertical="center"/>
    </xf>
    <xf numFmtId="176" fontId="50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9" fillId="2" borderId="7" xfId="0" applyFont="1" applyFill="1" applyBorder="1" applyAlignment="1">
      <alignment vertical="center"/>
    </xf>
    <xf numFmtId="0" fontId="5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7" fillId="2" borderId="7" xfId="0" applyFont="1" applyFill="1" applyBorder="1" applyAlignment="1">
      <alignment vertical="center"/>
    </xf>
    <xf numFmtId="0" fontId="53" fillId="16" borderId="0" xfId="0" applyFont="1" applyFill="1"/>
    <xf numFmtId="0" fontId="0" fillId="16" borderId="0" xfId="0" applyFill="1"/>
    <xf numFmtId="180" fontId="53" fillId="16" borderId="0" xfId="3" applyNumberFormat="1" applyFont="1" applyFill="1"/>
    <xf numFmtId="0" fontId="50" fillId="0" borderId="0" xfId="0" applyFont="1" applyAlignment="1">
      <alignment horizontal="center"/>
    </xf>
    <xf numFmtId="0" fontId="50" fillId="18" borderId="7" xfId="0" applyFont="1" applyFill="1" applyBorder="1" applyAlignment="1">
      <alignment horizontal="center"/>
    </xf>
    <xf numFmtId="0" fontId="5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0" fillId="4" borderId="12" xfId="0" applyNumberFormat="1" applyFont="1" applyFill="1" applyBorder="1" applyAlignment="1">
      <alignment horizont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4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3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0" fillId="2" borderId="5" xfId="0" applyNumberFormat="1" applyFont="1" applyFill="1" applyBorder="1" applyAlignment="1">
      <alignment horizontal="center"/>
    </xf>
    <xf numFmtId="1" fontId="50" fillId="2" borderId="15" xfId="0" applyNumberFormat="1" applyFont="1" applyFill="1" applyBorder="1" applyAlignment="1">
      <alignment horizontal="center"/>
    </xf>
    <xf numFmtId="0" fontId="12" fillId="2" borderId="28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1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9" fillId="2" borderId="13" xfId="0" applyNumberFormat="1" applyFont="1" applyFill="1" applyBorder="1" applyAlignment="1">
      <alignment vertical="center"/>
    </xf>
    <xf numFmtId="14" fontId="49" fillId="2" borderId="14" xfId="0" applyNumberFormat="1" applyFont="1" applyFill="1" applyBorder="1" applyAlignment="1">
      <alignment vertical="center"/>
    </xf>
    <xf numFmtId="1" fontId="6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14" fontId="7" fillId="2" borderId="20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9" fillId="2" borderId="12" xfId="0" applyNumberFormat="1" applyFont="1" applyFill="1" applyBorder="1" applyAlignment="1">
      <alignment horizontal="center" vertical="center"/>
    </xf>
    <xf numFmtId="1" fontId="49" fillId="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20" fontId="49" fillId="23" borderId="12" xfId="0" applyNumberFormat="1" applyFont="1" applyFill="1" applyBorder="1" applyAlignment="1">
      <alignment horizontal="center" vertical="center"/>
    </xf>
    <xf numFmtId="1" fontId="49" fillId="23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20" fontId="49" fillId="22" borderId="12" xfId="0" applyNumberFormat="1" applyFont="1" applyFill="1" applyBorder="1" applyAlignment="1">
      <alignment horizontal="center" vertical="center"/>
    </xf>
    <xf numFmtId="1" fontId="49" fillId="22" borderId="12" xfId="0" applyNumberFormat="1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14" fontId="17" fillId="22" borderId="10" xfId="0" applyNumberFormat="1" applyFont="1" applyFill="1" applyBorder="1" applyAlignment="1">
      <alignment horizontal="center" vertical="center"/>
    </xf>
    <xf numFmtId="14" fontId="17" fillId="22" borderId="17" xfId="0" applyNumberFormat="1" applyFont="1" applyFill="1" applyBorder="1" applyAlignment="1">
      <alignment horizontal="center" vertical="center"/>
    </xf>
    <xf numFmtId="14" fontId="15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7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7" fillId="23" borderId="17" xfId="0" applyNumberFormat="1" applyFont="1" applyFill="1" applyBorder="1" applyAlignment="1">
      <alignment horizontal="center" vertical="center"/>
    </xf>
    <xf numFmtId="14" fontId="49" fillId="23" borderId="17" xfId="0" applyNumberFormat="1" applyFont="1" applyFill="1" applyBorder="1" applyAlignment="1">
      <alignment horizontal="center" vertical="center"/>
    </xf>
    <xf numFmtId="14" fontId="18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8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6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6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0" fillId="22" borderId="28" xfId="0" applyNumberFormat="1" applyFont="1" applyFill="1" applyBorder="1" applyAlignment="1">
      <alignment horizontal="center" vertical="center"/>
    </xf>
    <xf numFmtId="14" fontId="11" fillId="23" borderId="12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center" vertical="center"/>
    </xf>
    <xf numFmtId="14" fontId="8" fillId="23" borderId="20" xfId="0" applyNumberFormat="1" applyFont="1" applyFill="1" applyBorder="1" applyAlignment="1">
      <alignment horizontal="center" vertical="center"/>
    </xf>
    <xf numFmtId="14" fontId="7" fillId="23" borderId="20" xfId="0" applyNumberFormat="1" applyFont="1" applyFill="1" applyBorder="1" applyAlignment="1">
      <alignment horizontal="center" vertical="center"/>
    </xf>
    <xf numFmtId="14" fontId="7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50" fillId="2" borderId="0" xfId="0" applyFont="1" applyFill="1"/>
    <xf numFmtId="0" fontId="50" fillId="22" borderId="10" xfId="0" applyFont="1" applyFill="1" applyBorder="1" applyAlignment="1">
      <alignment horizontal="center"/>
    </xf>
    <xf numFmtId="0" fontId="50" fillId="22" borderId="17" xfId="0" applyFont="1" applyFill="1" applyBorder="1" applyAlignment="1">
      <alignment horizontal="center"/>
    </xf>
    <xf numFmtId="0" fontId="50" fillId="23" borderId="10" xfId="0" applyFont="1" applyFill="1" applyBorder="1" applyAlignment="1">
      <alignment horizontal="center"/>
    </xf>
    <xf numFmtId="0" fontId="50" fillId="23" borderId="17" xfId="0" applyFont="1" applyFill="1" applyBorder="1" applyAlignment="1">
      <alignment horizontal="center"/>
    </xf>
    <xf numFmtId="0" fontId="50" fillId="23" borderId="28" xfId="0" applyFont="1" applyFill="1" applyBorder="1" applyAlignment="1">
      <alignment horizontal="center"/>
    </xf>
    <xf numFmtId="0" fontId="50" fillId="23" borderId="20" xfId="0" applyFont="1" applyFill="1" applyBorder="1" applyAlignment="1">
      <alignment horizontal="center"/>
    </xf>
    <xf numFmtId="0" fontId="50" fillId="22" borderId="12" xfId="0" applyFont="1" applyFill="1" applyBorder="1" applyAlignment="1">
      <alignment horizontal="center"/>
    </xf>
    <xf numFmtId="0" fontId="50" fillId="22" borderId="28" xfId="0" applyFont="1" applyFill="1" applyBorder="1" applyAlignment="1">
      <alignment horizontal="center"/>
    </xf>
    <xf numFmtId="0" fontId="50" fillId="23" borderId="12" xfId="0" applyFont="1" applyFill="1" applyBorder="1" applyAlignment="1">
      <alignment horizontal="center"/>
    </xf>
    <xf numFmtId="0" fontId="50" fillId="2" borderId="20" xfId="0" applyFont="1" applyFill="1" applyBorder="1" applyAlignment="1">
      <alignment horizontal="center"/>
    </xf>
    <xf numFmtId="0" fontId="50" fillId="2" borderId="10" xfId="0" applyFont="1" applyFill="1" applyBorder="1" applyAlignment="1">
      <alignment horizontal="center"/>
    </xf>
    <xf numFmtId="14" fontId="14" fillId="22" borderId="12" xfId="0" applyNumberFormat="1" applyFont="1" applyFill="1" applyBorder="1" applyAlignment="1">
      <alignment horizontal="center" vertical="center" wrapText="1"/>
    </xf>
    <xf numFmtId="14" fontId="9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50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0" fillId="2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20" fontId="46" fillId="22" borderId="12" xfId="0" applyNumberFormat="1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top" wrapText="1"/>
    </xf>
    <xf numFmtId="0" fontId="16" fillId="22" borderId="12" xfId="0" applyFont="1" applyFill="1" applyBorder="1" applyAlignment="1">
      <alignment horizontal="left" vertical="center" wrapText="1"/>
    </xf>
    <xf numFmtId="0" fontId="16" fillId="23" borderId="12" xfId="0" applyFont="1" applyFill="1" applyBorder="1" applyAlignment="1">
      <alignment horizontal="left" vertical="center" wrapText="1"/>
    </xf>
    <xf numFmtId="20" fontId="43" fillId="23" borderId="12" xfId="0" applyNumberFormat="1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/>
    </xf>
    <xf numFmtId="0" fontId="46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 wrapText="1"/>
    </xf>
    <xf numFmtId="0" fontId="11" fillId="22" borderId="12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left" vertical="center" wrapText="1"/>
    </xf>
    <xf numFmtId="0" fontId="40" fillId="22" borderId="12" xfId="0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 wrapText="1"/>
    </xf>
    <xf numFmtId="0" fontId="7" fillId="23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5" fillId="19" borderId="12" xfId="0" applyFont="1" applyFill="1" applyBorder="1" applyAlignment="1">
      <alignment horizontal="left" vertical="center" wrapText="1"/>
    </xf>
    <xf numFmtId="14" fontId="3" fillId="23" borderId="28" xfId="0" applyNumberFormat="1" applyFont="1" applyFill="1" applyBorder="1" applyAlignment="1">
      <alignment horizontal="left" vertical="center" wrapText="1"/>
    </xf>
    <xf numFmtId="14" fontId="3" fillId="2" borderId="20" xfId="0" applyNumberFormat="1" applyFont="1" applyFill="1" applyBorder="1" applyAlignment="1">
      <alignment horizontal="center" vertical="center"/>
    </xf>
    <xf numFmtId="14" fontId="3" fillId="23" borderId="12" xfId="0" applyNumberFormat="1" applyFont="1" applyFill="1" applyBorder="1" applyAlignment="1">
      <alignment horizontal="center" vertical="center"/>
    </xf>
    <xf numFmtId="14" fontId="3" fillId="23" borderId="10" xfId="0" applyNumberFormat="1" applyFont="1" applyFill="1" applyBorder="1" applyAlignment="1">
      <alignment horizontal="center" vertical="center"/>
    </xf>
    <xf numFmtId="14" fontId="3" fillId="23" borderId="17" xfId="0" applyNumberFormat="1" applyFont="1" applyFill="1" applyBorder="1" applyAlignment="1">
      <alignment horizontal="left" vertical="center" wrapText="1"/>
    </xf>
    <xf numFmtId="1" fontId="50" fillId="2" borderId="5" xfId="0" applyNumberFormat="1" applyFont="1" applyFill="1" applyBorder="1"/>
    <xf numFmtId="1" fontId="50" fillId="2" borderId="15" xfId="0" applyNumberFormat="1" applyFont="1" applyFill="1" applyBorder="1"/>
    <xf numFmtId="0" fontId="33" fillId="23" borderId="12" xfId="0" applyFont="1" applyFill="1" applyBorder="1" applyAlignment="1">
      <alignment horizontal="center" vertical="center"/>
    </xf>
    <xf numFmtId="1" fontId="49" fillId="23" borderId="28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20" fontId="49" fillId="23" borderId="20" xfId="0" applyNumberFormat="1" applyFont="1" applyFill="1" applyBorder="1" applyAlignment="1">
      <alignment horizontal="center" vertical="center"/>
    </xf>
    <xf numFmtId="0" fontId="34" fillId="23" borderId="28" xfId="0" applyFont="1" applyFill="1" applyBorder="1" applyAlignment="1">
      <alignment horizontal="center" vertical="center"/>
    </xf>
    <xf numFmtId="20" fontId="49" fillId="23" borderId="28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0" fontId="34" fillId="23" borderId="70" xfId="0" applyFont="1" applyFill="1" applyBorder="1" applyAlignment="1">
      <alignment horizontal="center" vertical="center"/>
    </xf>
    <xf numFmtId="20" fontId="49" fillId="23" borderId="70" xfId="0" applyNumberFormat="1" applyFont="1" applyFill="1" applyBorder="1" applyAlignment="1">
      <alignment horizontal="center" vertical="center"/>
    </xf>
    <xf numFmtId="1" fontId="49" fillId="23" borderId="70" xfId="0" applyNumberFormat="1" applyFont="1" applyFill="1" applyBorder="1" applyAlignment="1">
      <alignment horizontal="center" vertical="center"/>
    </xf>
    <xf numFmtId="0" fontId="3" fillId="23" borderId="70" xfId="0" applyFont="1" applyFill="1" applyBorder="1" applyAlignment="1">
      <alignment horizontal="left" vertical="center" wrapText="1"/>
    </xf>
    <xf numFmtId="0" fontId="50" fillId="23" borderId="71" xfId="0" applyFont="1" applyFill="1" applyBorder="1" applyAlignment="1">
      <alignment horizontal="center"/>
    </xf>
    <xf numFmtId="1" fontId="49" fillId="22" borderId="7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left"/>
    </xf>
    <xf numFmtId="0" fontId="3" fillId="22" borderId="68" xfId="0" applyFont="1" applyFill="1" applyBorder="1" applyAlignment="1">
      <alignment horizontal="left" vertical="center" wrapText="1"/>
    </xf>
    <xf numFmtId="1" fontId="49" fillId="23" borderId="30" xfId="0" applyNumberFormat="1" applyFont="1" applyFill="1" applyBorder="1" applyAlignment="1">
      <alignment horizontal="center" vertical="center"/>
    </xf>
    <xf numFmtId="0" fontId="50" fillId="23" borderId="31" xfId="0" applyFont="1" applyFill="1" applyBorder="1" applyAlignment="1">
      <alignment horizontal="center" vertical="center"/>
    </xf>
    <xf numFmtId="0" fontId="0" fillId="0" borderId="0" xfId="0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4" borderId="1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67" xfId="0" applyBorder="1"/>
    <xf numFmtId="0" fontId="0" fillId="0" borderId="18" xfId="0" applyBorder="1"/>
    <xf numFmtId="0" fontId="0" fillId="0" borderId="13" xfId="0" applyBorder="1"/>
    <xf numFmtId="0" fontId="0" fillId="0" borderId="51" xfId="0" applyBorder="1"/>
    <xf numFmtId="0" fontId="0" fillId="0" borderId="51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6" xfId="0" applyBorder="1"/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0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1" fillId="23" borderId="68" xfId="0" applyFont="1" applyFill="1" applyBorder="1" applyAlignment="1">
      <alignment horizontal="left" vertical="center" wrapText="1"/>
    </xf>
    <xf numFmtId="0" fontId="1" fillId="23" borderId="28" xfId="0" applyFont="1" applyFill="1" applyBorder="1" applyAlignment="1">
      <alignment horizontal="left" vertical="center" wrapText="1"/>
    </xf>
    <xf numFmtId="0" fontId="1" fillId="23" borderId="12" xfId="0" applyFont="1" applyFill="1" applyBorder="1" applyAlignment="1">
      <alignment horizontal="left" vertical="center"/>
    </xf>
    <xf numFmtId="0" fontId="0" fillId="4" borderId="12" xfId="0" applyFill="1" applyBorder="1" applyAlignment="1">
      <alignment horizontal="center" wrapText="1"/>
    </xf>
    <xf numFmtId="0" fontId="50" fillId="4" borderId="12" xfId="0" applyFon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0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57" fillId="3" borderId="40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vertical="center"/>
    </xf>
    <xf numFmtId="1" fontId="57" fillId="3" borderId="41" xfId="0" applyNumberFormat="1" applyFont="1" applyFill="1" applyBorder="1" applyAlignment="1">
      <alignment horizontal="center" vertical="center" wrapText="1"/>
    </xf>
    <xf numFmtId="0" fontId="56" fillId="3" borderId="42" xfId="0" applyFont="1" applyFill="1" applyBorder="1" applyAlignment="1">
      <alignment vertical="center"/>
    </xf>
    <xf numFmtId="0" fontId="56" fillId="3" borderId="43" xfId="0" applyFont="1" applyFill="1" applyBorder="1" applyAlignment="1">
      <alignment vertical="center"/>
    </xf>
    <xf numFmtId="1" fontId="57" fillId="3" borderId="40" xfId="0" applyNumberFormat="1" applyFont="1" applyFill="1" applyBorder="1" applyAlignment="1">
      <alignment horizontal="center" vertical="center" wrapText="1"/>
    </xf>
    <xf numFmtId="0" fontId="57" fillId="3" borderId="41" xfId="0" applyFont="1" applyFill="1" applyBorder="1" applyAlignment="1">
      <alignment horizontal="center" vertical="center" wrapText="1"/>
    </xf>
    <xf numFmtId="0" fontId="56" fillId="3" borderId="46" xfId="0" applyFont="1" applyFill="1" applyBorder="1" applyAlignment="1">
      <alignment vertical="center"/>
    </xf>
    <xf numFmtId="1" fontId="57" fillId="3" borderId="44" xfId="0" applyNumberFormat="1" applyFont="1" applyFill="1" applyBorder="1" applyAlignment="1">
      <alignment horizontal="center" vertical="center" wrapText="1"/>
    </xf>
    <xf numFmtId="0" fontId="50" fillId="20" borderId="12" xfId="0" applyFont="1" applyFill="1" applyBorder="1" applyAlignment="1">
      <alignment horizontal="center"/>
    </xf>
    <xf numFmtId="0" fontId="62" fillId="15" borderId="51" xfId="0" applyFont="1" applyFill="1" applyBorder="1" applyAlignment="1">
      <alignment horizontal="center"/>
    </xf>
    <xf numFmtId="0" fontId="63" fillId="15" borderId="0" xfId="0" applyFont="1" applyFill="1" applyAlignment="1">
      <alignment horizontal="center"/>
    </xf>
    <xf numFmtId="0" fontId="67" fillId="3" borderId="42" xfId="0" applyFont="1" applyFill="1" applyBorder="1" applyAlignment="1">
      <alignment horizontal="center" vertical="center"/>
    </xf>
    <xf numFmtId="0" fontId="67" fillId="3" borderId="43" xfId="0" applyFont="1" applyFill="1" applyBorder="1" applyAlignment="1">
      <alignment horizontal="center" vertical="center"/>
    </xf>
    <xf numFmtId="0" fontId="57" fillId="3" borderId="42" xfId="0" applyFont="1" applyFill="1" applyBorder="1" applyAlignment="1">
      <alignment horizontal="center" vertical="center" wrapText="1"/>
    </xf>
    <xf numFmtId="0" fontId="57" fillId="3" borderId="43" xfId="0" applyFont="1" applyFill="1" applyBorder="1" applyAlignment="1">
      <alignment horizontal="center" vertical="center" wrapText="1"/>
    </xf>
    <xf numFmtId="0" fontId="65" fillId="18" borderId="0" xfId="0" applyFont="1" applyFill="1" applyAlignment="1">
      <alignment horizontal="center"/>
    </xf>
    <xf numFmtId="0" fontId="50" fillId="3" borderId="7" xfId="0" applyFont="1" applyFill="1" applyBorder="1" applyAlignment="1">
      <alignment horizontal="center"/>
    </xf>
    <xf numFmtId="0" fontId="50" fillId="3" borderId="8" xfId="0" applyFont="1" applyFill="1" applyBorder="1" applyAlignment="1">
      <alignment horizontal="center"/>
    </xf>
    <xf numFmtId="0" fontId="50" fillId="3" borderId="29" xfId="0" applyFont="1" applyFill="1" applyBorder="1" applyAlignment="1">
      <alignment horizontal="center"/>
    </xf>
    <xf numFmtId="0" fontId="50" fillId="3" borderId="0" xfId="0" applyFont="1" applyFill="1" applyAlignment="1">
      <alignment horizontal="center"/>
    </xf>
    <xf numFmtId="0" fontId="70" fillId="2" borderId="20" xfId="0" applyFont="1" applyFill="1" applyBorder="1" applyAlignment="1">
      <alignment horizontal="left" wrapText="1"/>
    </xf>
    <xf numFmtId="0" fontId="70" fillId="2" borderId="28" xfId="0" applyFont="1" applyFill="1" applyBorder="1" applyAlignment="1">
      <alignment horizontal="left" wrapText="1"/>
    </xf>
    <xf numFmtId="14" fontId="70" fillId="2" borderId="1" xfId="0" applyNumberFormat="1" applyFont="1" applyFill="1" applyBorder="1" applyAlignment="1">
      <alignment horizontal="center" vertical="center"/>
    </xf>
    <xf numFmtId="14" fontId="70" fillId="2" borderId="4" xfId="0" applyNumberFormat="1" applyFont="1" applyFill="1" applyBorder="1" applyAlignment="1">
      <alignment horizontal="center" vertical="center"/>
    </xf>
    <xf numFmtId="14" fontId="70" fillId="2" borderId="13" xfId="0" applyNumberFormat="1" applyFont="1" applyFill="1" applyBorder="1" applyAlignment="1">
      <alignment horizontal="center" vertical="center"/>
    </xf>
    <xf numFmtId="14" fontId="70" fillId="2" borderId="14" xfId="0" applyNumberFormat="1" applyFont="1" applyFill="1" applyBorder="1" applyAlignment="1">
      <alignment horizontal="center" vertical="center"/>
    </xf>
    <xf numFmtId="165" fontId="70" fillId="2" borderId="0" xfId="0" applyNumberFormat="1" applyFont="1" applyFill="1" applyAlignment="1">
      <alignment horizontal="center" vertical="center"/>
    </xf>
    <xf numFmtId="0" fontId="70" fillId="2" borderId="53" xfId="0" applyFont="1" applyFill="1" applyBorder="1" applyAlignment="1">
      <alignment horizontal="center" vertical="center"/>
    </xf>
    <xf numFmtId="165" fontId="70" fillId="2" borderId="6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14" fontId="65" fillId="4" borderId="18" xfId="0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4" xfId="0" applyFont="1" applyFill="1" applyBorder="1" applyAlignment="1">
      <alignment horizontal="center"/>
    </xf>
    <xf numFmtId="0" fontId="65" fillId="4" borderId="17" xfId="0" applyFont="1" applyFill="1" applyBorder="1" applyAlignment="1">
      <alignment horizontal="center"/>
    </xf>
    <xf numFmtId="165" fontId="70" fillId="2" borderId="5" xfId="0" applyNumberFormat="1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horizontal="center" vertical="center"/>
    </xf>
    <xf numFmtId="14" fontId="70" fillId="17" borderId="1" xfId="0" applyNumberFormat="1" applyFont="1" applyFill="1" applyBorder="1" applyAlignment="1">
      <alignment horizontal="center" vertical="center"/>
    </xf>
    <xf numFmtId="14" fontId="70" fillId="17" borderId="4" xfId="0" applyNumberFormat="1" applyFont="1" applyFill="1" applyBorder="1" applyAlignment="1">
      <alignment horizontal="center" vertical="center"/>
    </xf>
    <xf numFmtId="14" fontId="70" fillId="17" borderId="13" xfId="0" applyNumberFormat="1" applyFont="1" applyFill="1" applyBorder="1" applyAlignment="1">
      <alignment horizontal="center" vertical="center"/>
    </xf>
    <xf numFmtId="14" fontId="70" fillId="17" borderId="14" xfId="0" applyNumberFormat="1" applyFont="1" applyFill="1" applyBorder="1" applyAlignment="1">
      <alignment horizontal="center" vertical="center"/>
    </xf>
    <xf numFmtId="165" fontId="70" fillId="17" borderId="5" xfId="0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0" fontId="65" fillId="3" borderId="18" xfId="0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0" fontId="65" fillId="3" borderId="36" xfId="0" applyFont="1" applyFill="1" applyBorder="1" applyAlignment="1">
      <alignment horizontal="center"/>
    </xf>
    <xf numFmtId="0" fontId="65" fillId="3" borderId="55" xfId="0" applyFont="1" applyFill="1" applyBorder="1" applyAlignment="1">
      <alignment horizontal="center"/>
    </xf>
    <xf numFmtId="0" fontId="65" fillId="3" borderId="56" xfId="0" applyFont="1" applyFill="1" applyBorder="1" applyAlignment="1">
      <alignment horizontal="center"/>
    </xf>
    <xf numFmtId="0" fontId="50" fillId="18" borderId="0" xfId="0" applyFont="1" applyFill="1" applyAlignment="1">
      <alignment horizontal="center"/>
    </xf>
    <xf numFmtId="0" fontId="50" fillId="23" borderId="20" xfId="0" applyFont="1" applyFill="1" applyBorder="1" applyAlignment="1">
      <alignment horizontal="center" vertical="center"/>
    </xf>
    <xf numFmtId="0" fontId="50" fillId="23" borderId="21" xfId="0" applyFont="1" applyFill="1" applyBorder="1" applyAlignment="1">
      <alignment horizontal="center" vertical="center"/>
    </xf>
    <xf numFmtId="0" fontId="50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60" fillId="16" borderId="36" xfId="0" applyFont="1" applyFill="1" applyBorder="1" applyAlignment="1">
      <alignment horizontal="center"/>
    </xf>
    <xf numFmtId="0" fontId="60" fillId="16" borderId="55" xfId="0" applyFont="1" applyFill="1" applyBorder="1" applyAlignment="1">
      <alignment horizontal="center"/>
    </xf>
    <xf numFmtId="0" fontId="60" fillId="16" borderId="56" xfId="0" applyFont="1" applyFill="1" applyBorder="1" applyAlignment="1">
      <alignment horizontal="center"/>
    </xf>
    <xf numFmtId="0" fontId="50" fillId="4" borderId="1" xfId="0" applyFont="1" applyFill="1" applyBorder="1" applyAlignment="1">
      <alignment horizontal="center"/>
    </xf>
    <xf numFmtId="0" fontId="50" fillId="4" borderId="2" xfId="0" applyFont="1" applyFill="1" applyBorder="1" applyAlignment="1">
      <alignment horizontal="center"/>
    </xf>
    <xf numFmtId="0" fontId="50" fillId="4" borderId="3" xfId="0" applyFont="1" applyFill="1" applyBorder="1" applyAlignment="1">
      <alignment horizontal="center"/>
    </xf>
    <xf numFmtId="0" fontId="50" fillId="4" borderId="18" xfId="0" applyFont="1" applyFill="1" applyBorder="1" applyAlignment="1">
      <alignment horizontal="center"/>
    </xf>
    <xf numFmtId="0" fontId="50" fillId="4" borderId="0" xfId="0" applyFont="1" applyFill="1" applyAlignment="1">
      <alignment horizontal="center"/>
    </xf>
    <xf numFmtId="0" fontId="50" fillId="4" borderId="67" xfId="0" applyFont="1" applyFill="1" applyBorder="1" applyAlignment="1">
      <alignment horizontal="center"/>
    </xf>
    <xf numFmtId="0" fontId="65" fillId="4" borderId="0" xfId="0" applyFont="1" applyFill="1" applyAlignment="1">
      <alignment horizontal="center"/>
    </xf>
    <xf numFmtId="14" fontId="47" fillId="2" borderId="32" xfId="0" applyNumberFormat="1" applyFont="1" applyFill="1" applyBorder="1" applyAlignment="1">
      <alignment horizontal="center" vertical="center"/>
    </xf>
    <xf numFmtId="14" fontId="49" fillId="2" borderId="33" xfId="0" applyNumberFormat="1" applyFont="1" applyFill="1" applyBorder="1" applyAlignment="1">
      <alignment horizontal="center" vertical="center"/>
    </xf>
    <xf numFmtId="0" fontId="60" fillId="20" borderId="7" xfId="0" applyFont="1" applyFill="1" applyBorder="1" applyAlignment="1">
      <alignment horizontal="center"/>
    </xf>
    <xf numFmtId="0" fontId="60" fillId="20" borderId="8" xfId="0" applyFont="1" applyFill="1" applyBorder="1" applyAlignment="1">
      <alignment horizontal="center"/>
    </xf>
    <xf numFmtId="0" fontId="50" fillId="2" borderId="0" xfId="0" applyFont="1" applyFill="1" applyAlignment="1">
      <alignment horizontal="center"/>
    </xf>
    <xf numFmtId="0" fontId="50" fillId="3" borderId="30" xfId="0" applyFont="1" applyFill="1" applyBorder="1" applyAlignment="1">
      <alignment horizontal="center"/>
    </xf>
    <xf numFmtId="0" fontId="50" fillId="3" borderId="34" xfId="0" applyFont="1" applyFill="1" applyBorder="1" applyAlignment="1">
      <alignment horizontal="center"/>
    </xf>
    <xf numFmtId="0" fontId="50" fillId="3" borderId="31" xfId="0" applyFont="1" applyFill="1" applyBorder="1" applyAlignment="1">
      <alignment horizontal="center"/>
    </xf>
    <xf numFmtId="0" fontId="49" fillId="3" borderId="36" xfId="0" applyFont="1" applyFill="1" applyBorder="1" applyAlignment="1">
      <alignment horizontal="center"/>
    </xf>
    <xf numFmtId="0" fontId="49" fillId="3" borderId="37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14" fontId="29" fillId="2" borderId="12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center" vertical="center"/>
    </xf>
    <xf numFmtId="0" fontId="50" fillId="22" borderId="21" xfId="0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center"/>
    </xf>
    <xf numFmtId="14" fontId="29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29" fillId="23" borderId="20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50" fillId="22" borderId="33" xfId="0" applyFont="1" applyFill="1" applyBorder="1" applyAlignment="1">
      <alignment horizontal="center" vertical="center"/>
    </xf>
    <xf numFmtId="14" fontId="29" fillId="23" borderId="69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14" fontId="29" fillId="23" borderId="28" xfId="0" applyNumberFormat="1" applyFont="1" applyFill="1" applyBorder="1" applyAlignment="1">
      <alignment horizontal="center" vertical="center"/>
    </xf>
    <xf numFmtId="14" fontId="49" fillId="23" borderId="28" xfId="0" applyNumberFormat="1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50" fillId="18" borderId="30" xfId="0" applyFont="1" applyFill="1" applyBorder="1" applyAlignment="1">
      <alignment horizontal="center" vertical="center"/>
    </xf>
    <xf numFmtId="0" fontId="50" fillId="18" borderId="34" xfId="0" applyFont="1" applyFill="1" applyBorder="1" applyAlignment="1">
      <alignment horizontal="center" vertical="center"/>
    </xf>
    <xf numFmtId="0" fontId="50" fillId="18" borderId="31" xfId="0" applyFont="1" applyFill="1" applyBorder="1" applyAlignment="1">
      <alignment horizontal="center" vertical="center"/>
    </xf>
    <xf numFmtId="0" fontId="50" fillId="18" borderId="32" xfId="0" applyFont="1" applyFill="1" applyBorder="1" applyAlignment="1">
      <alignment horizontal="center" vertical="center"/>
    </xf>
    <xf numFmtId="0" fontId="50" fillId="18" borderId="53" xfId="0" applyFont="1" applyFill="1" applyBorder="1" applyAlignment="1">
      <alignment horizontal="center" vertical="center"/>
    </xf>
    <xf numFmtId="0" fontId="50" fillId="18" borderId="33" xfId="0" applyFont="1" applyFill="1" applyBorder="1" applyAlignment="1">
      <alignment horizontal="center" vertical="center"/>
    </xf>
    <xf numFmtId="0" fontId="50" fillId="18" borderId="20" xfId="0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7" xfId="0" applyFont="1" applyFill="1" applyBorder="1" applyAlignment="1">
      <alignment horizontal="center"/>
    </xf>
    <xf numFmtId="0" fontId="50" fillId="18" borderId="29" xfId="0" applyFont="1" applyFill="1" applyBorder="1" applyAlignment="1">
      <alignment horizontal="center"/>
    </xf>
    <xf numFmtId="0" fontId="50" fillId="18" borderId="8" xfId="0" applyFont="1" applyFill="1" applyBorder="1" applyAlignment="1">
      <alignment horizontal="center"/>
    </xf>
    <xf numFmtId="0" fontId="69" fillId="4" borderId="36" xfId="0" applyFont="1" applyFill="1" applyBorder="1" applyAlignment="1">
      <alignment horizontal="center"/>
    </xf>
    <xf numFmtId="0" fontId="69" fillId="4" borderId="55" xfId="0" applyFont="1" applyFill="1" applyBorder="1" applyAlignment="1">
      <alignment horizontal="center"/>
    </xf>
    <xf numFmtId="0" fontId="69" fillId="4" borderId="56" xfId="0" applyFont="1" applyFill="1" applyBorder="1" applyAlignment="1">
      <alignment horizontal="center"/>
    </xf>
    <xf numFmtId="0" fontId="50" fillId="18" borderId="21" xfId="0" applyFont="1" applyFill="1" applyBorder="1" applyAlignment="1">
      <alignment horizontal="center" vertical="center"/>
    </xf>
    <xf numFmtId="17" fontId="69" fillId="4" borderId="36" xfId="0" applyNumberFormat="1" applyFont="1" applyFill="1" applyBorder="1" applyAlignment="1">
      <alignment horizontal="center"/>
    </xf>
    <xf numFmtId="17" fontId="69" fillId="4" borderId="55" xfId="0" applyNumberFormat="1" applyFont="1" applyFill="1" applyBorder="1" applyAlignment="1">
      <alignment horizontal="center"/>
    </xf>
    <xf numFmtId="17" fontId="69" fillId="4" borderId="56" xfId="0" applyNumberFormat="1" applyFont="1" applyFill="1" applyBorder="1" applyAlignment="1">
      <alignment horizontal="center"/>
    </xf>
    <xf numFmtId="14" fontId="49" fillId="2" borderId="1" xfId="0" applyNumberFormat="1" applyFont="1" applyFill="1" applyBorder="1" applyAlignment="1">
      <alignment horizontal="center" vertical="center"/>
    </xf>
    <xf numFmtId="14" fontId="49" fillId="2" borderId="4" xfId="0" applyNumberFormat="1" applyFont="1" applyFill="1" applyBorder="1" applyAlignment="1">
      <alignment horizontal="center" vertical="center"/>
    </xf>
    <xf numFmtId="14" fontId="49" fillId="2" borderId="13" xfId="0" applyNumberFormat="1" applyFont="1" applyFill="1" applyBorder="1" applyAlignment="1">
      <alignment horizontal="center" vertical="center"/>
    </xf>
    <xf numFmtId="14" fontId="49" fillId="2" borderId="14" xfId="0" applyNumberFormat="1" applyFont="1" applyFill="1" applyBorder="1" applyAlignment="1">
      <alignment horizontal="center" vertical="center"/>
    </xf>
    <xf numFmtId="14" fontId="49" fillId="23" borderId="1" xfId="0" applyNumberFormat="1" applyFont="1" applyFill="1" applyBorder="1" applyAlignment="1">
      <alignment horizontal="center" vertical="center"/>
    </xf>
    <xf numFmtId="14" fontId="49" fillId="23" borderId="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4" fontId="49" fillId="22" borderId="1" xfId="0" applyNumberFormat="1" applyFont="1" applyFill="1" applyBorder="1" applyAlignment="1">
      <alignment horizontal="center" vertical="center"/>
    </xf>
    <xf numFmtId="14" fontId="49" fillId="22" borderId="4" xfId="0" applyNumberFormat="1" applyFont="1" applyFill="1" applyBorder="1" applyAlignment="1">
      <alignment horizontal="center" vertical="center"/>
    </xf>
    <xf numFmtId="14" fontId="49" fillId="22" borderId="13" xfId="0" applyNumberFormat="1" applyFont="1" applyFill="1" applyBorder="1" applyAlignment="1">
      <alignment horizontal="center" vertical="center"/>
    </xf>
    <xf numFmtId="14" fontId="49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13" xfId="0" applyNumberFormat="1" applyFont="1" applyFill="1" applyBorder="1" applyAlignment="1">
      <alignment horizontal="center" vertical="center"/>
    </xf>
    <xf numFmtId="14" fontId="49" fillId="23" borderId="14" xfId="0" applyNumberFormat="1" applyFont="1" applyFill="1" applyBorder="1" applyAlignment="1">
      <alignment horizontal="center" vertical="center"/>
    </xf>
    <xf numFmtId="14" fontId="15" fillId="23" borderId="5" xfId="0" applyNumberFormat="1" applyFont="1" applyFill="1" applyBorder="1" applyAlignment="1">
      <alignment horizontal="center" vertical="center" wrapText="1"/>
    </xf>
    <xf numFmtId="14" fontId="4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49" fillId="23" borderId="18" xfId="0" applyNumberFormat="1" applyFont="1" applyFill="1" applyBorder="1" applyAlignment="1">
      <alignment horizontal="center" vertical="center"/>
    </xf>
    <xf numFmtId="14" fontId="49" fillId="23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49" fillId="2" borderId="18" xfId="0" applyNumberFormat="1" applyFont="1" applyFill="1" applyBorder="1" applyAlignment="1">
      <alignment horizontal="center" vertical="center"/>
    </xf>
    <xf numFmtId="14" fontId="49" fillId="2" borderId="19" xfId="0" applyNumberFormat="1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50" fillId="22" borderId="67" xfId="0" applyFont="1" applyFill="1" applyBorder="1" applyAlignment="1">
      <alignment horizontal="center" vertical="center"/>
    </xf>
    <xf numFmtId="0" fontId="50" fillId="23" borderId="67" xfId="0" applyFont="1" applyFill="1" applyBorder="1" applyAlignment="1">
      <alignment horizontal="center" vertical="center"/>
    </xf>
    <xf numFmtId="0" fontId="50" fillId="22" borderId="0" xfId="0" applyFont="1" applyFill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22" borderId="21" xfId="0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9" fillId="23" borderId="36" xfId="0" applyNumberFormat="1" applyFont="1" applyFill="1" applyBorder="1" applyAlignment="1">
      <alignment horizontal="center" vertical="center"/>
    </xf>
    <xf numFmtId="14" fontId="49" fillId="23" borderId="37" xfId="0" applyNumberFormat="1" applyFont="1" applyFill="1" applyBorder="1" applyAlignment="1">
      <alignment horizontal="center" vertical="center"/>
    </xf>
    <xf numFmtId="14" fontId="49" fillId="0" borderId="30" xfId="0" applyNumberFormat="1" applyFont="1" applyBorder="1" applyAlignment="1">
      <alignment horizontal="center" vertical="center"/>
    </xf>
    <xf numFmtId="14" fontId="49" fillId="0" borderId="31" xfId="0" applyNumberFormat="1" applyFont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49" fillId="2" borderId="32" xfId="0" applyNumberFormat="1" applyFont="1" applyFill="1" applyBorder="1" applyAlignment="1">
      <alignment horizontal="center" vertical="center"/>
    </xf>
    <xf numFmtId="0" fontId="64" fillId="4" borderId="1" xfId="0" applyFont="1" applyFill="1" applyBorder="1" applyAlignment="1">
      <alignment horizontal="center" vertical="center"/>
    </xf>
    <xf numFmtId="0" fontId="64" fillId="4" borderId="2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64" fillId="4" borderId="13" xfId="0" applyFont="1" applyFill="1" applyBorder="1" applyAlignment="1">
      <alignment horizontal="center" vertical="center"/>
    </xf>
    <xf numFmtId="0" fontId="64" fillId="4" borderId="51" xfId="0" applyFont="1" applyFill="1" applyBorder="1" applyAlignment="1">
      <alignment horizontal="center" vertical="center"/>
    </xf>
    <xf numFmtId="0" fontId="64" fillId="4" borderId="26" xfId="0" applyFont="1" applyFill="1" applyBorder="1" applyAlignment="1">
      <alignment horizontal="center" vertical="center"/>
    </xf>
    <xf numFmtId="20" fontId="57" fillId="11" borderId="7" xfId="0" applyNumberFormat="1" applyFont="1" applyFill="1" applyBorder="1" applyAlignment="1">
      <alignment horizontal="center" vertical="center"/>
    </xf>
    <xf numFmtId="20" fontId="57" fillId="11" borderId="29" xfId="0" applyNumberFormat="1" applyFont="1" applyFill="1" applyBorder="1" applyAlignment="1">
      <alignment horizontal="center" vertical="center"/>
    </xf>
    <xf numFmtId="20" fontId="57" fillId="11" borderId="8" xfId="0" applyNumberFormat="1" applyFont="1" applyFill="1" applyBorder="1" applyAlignment="1">
      <alignment horizontal="center" vertical="center"/>
    </xf>
    <xf numFmtId="20" fontId="59" fillId="10" borderId="7" xfId="0" applyNumberFormat="1" applyFont="1" applyFill="1" applyBorder="1" applyAlignment="1">
      <alignment horizontal="center"/>
    </xf>
    <xf numFmtId="20" fontId="59" fillId="10" borderId="29" xfId="0" applyNumberFormat="1" applyFont="1" applyFill="1" applyBorder="1" applyAlignment="1">
      <alignment horizontal="center"/>
    </xf>
    <xf numFmtId="20" fontId="59" fillId="10" borderId="8" xfId="0" applyNumberFormat="1" applyFont="1" applyFill="1" applyBorder="1" applyAlignment="1">
      <alignment horizontal="center"/>
    </xf>
    <xf numFmtId="0" fontId="57" fillId="11" borderId="29" xfId="0" applyFont="1" applyFill="1" applyBorder="1" applyAlignment="1">
      <alignment horizontal="center" vertical="center"/>
    </xf>
    <xf numFmtId="0" fontId="57" fillId="11" borderId="8" xfId="0" applyFont="1" applyFill="1" applyBorder="1" applyAlignment="1">
      <alignment horizontal="center" vertical="center"/>
    </xf>
    <xf numFmtId="0" fontId="57" fillId="11" borderId="7" xfId="0" applyFont="1" applyFill="1" applyBorder="1" applyAlignment="1">
      <alignment horizontal="center" vertical="center"/>
    </xf>
    <xf numFmtId="14" fontId="55" fillId="7" borderId="5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0" fontId="56" fillId="2" borderId="20" xfId="0" applyFont="1" applyFill="1" applyBorder="1" applyAlignment="1">
      <alignment horizontal="center"/>
    </xf>
    <xf numFmtId="0" fontId="56" fillId="2" borderId="21" xfId="0" applyFont="1" applyFill="1" applyBorder="1" applyAlignment="1">
      <alignment horizontal="center"/>
    </xf>
    <xf numFmtId="0" fontId="56" fillId="2" borderId="28" xfId="0" applyFont="1" applyFill="1" applyBorder="1" applyAlignment="1">
      <alignment horizontal="center"/>
    </xf>
    <xf numFmtId="0" fontId="56" fillId="2" borderId="20" xfId="0" applyFont="1" applyFill="1" applyBorder="1" applyAlignment="1">
      <alignment horizontal="center" vertical="center"/>
    </xf>
    <xf numFmtId="0" fontId="56" fillId="2" borderId="21" xfId="0" applyFont="1" applyFill="1" applyBorder="1" applyAlignment="1">
      <alignment horizontal="center" vertical="center"/>
    </xf>
    <xf numFmtId="0" fontId="56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0" fillId="10" borderId="12" xfId="0" applyFont="1" applyFill="1" applyBorder="1" applyAlignment="1">
      <alignment horizontal="center" vertical="center"/>
    </xf>
    <xf numFmtId="14" fontId="55" fillId="7" borderId="20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14" fontId="55" fillId="7" borderId="57" xfId="0" applyNumberFormat="1" applyFont="1" applyFill="1" applyBorder="1" applyAlignment="1">
      <alignment horizontal="center" vertical="center"/>
    </xf>
    <xf numFmtId="14" fontId="55" fillId="7" borderId="60" xfId="0" applyNumberFormat="1" applyFont="1" applyFill="1" applyBorder="1" applyAlignment="1">
      <alignment horizontal="center" vertical="center"/>
    </xf>
    <xf numFmtId="14" fontId="55" fillId="7" borderId="24" xfId="0" applyNumberFormat="1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5" fillId="2" borderId="12" xfId="0" applyFont="1" applyFill="1" applyBorder="1" applyAlignment="1">
      <alignment horizontal="left" vertical="top" wrapText="1"/>
    </xf>
    <xf numFmtId="0" fontId="55" fillId="8" borderId="12" xfId="0" applyFon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0" fontId="55" fillId="8" borderId="21" xfId="0" applyFont="1" applyFill="1" applyBorder="1" applyAlignment="1">
      <alignment horizontal="center" vertical="center"/>
    </xf>
    <xf numFmtId="0" fontId="55" fillId="8" borderId="28" xfId="0" applyFont="1" applyFill="1" applyBorder="1" applyAlignment="1">
      <alignment horizontal="center" vertical="center"/>
    </xf>
    <xf numFmtId="0" fontId="55" fillId="2" borderId="59" xfId="0" applyFont="1" applyFill="1" applyBorder="1" applyAlignment="1">
      <alignment horizontal="center" vertical="top" wrapText="1"/>
    </xf>
    <xf numFmtId="0" fontId="55" fillId="2" borderId="61" xfId="0" applyFont="1" applyFill="1" applyBorder="1" applyAlignment="1">
      <alignment horizontal="center" vertical="top" wrapText="1"/>
    </xf>
    <xf numFmtId="0" fontId="55" fillId="2" borderId="62" xfId="0" applyFont="1" applyFill="1" applyBorder="1" applyAlignment="1">
      <alignment horizontal="center" vertical="top" wrapText="1"/>
    </xf>
    <xf numFmtId="0" fontId="55" fillId="2" borderId="63" xfId="0" applyFont="1" applyFill="1" applyBorder="1" applyAlignment="1">
      <alignment horizontal="center" vertical="top" wrapText="1"/>
    </xf>
    <xf numFmtId="0" fontId="55" fillId="2" borderId="64" xfId="0" applyFont="1" applyFill="1" applyBorder="1" applyAlignment="1">
      <alignment horizontal="center" vertical="top" wrapText="1"/>
    </xf>
    <xf numFmtId="0" fontId="5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0.90248116593623362</c:v>
                </c:pt>
                <c:pt idx="1">
                  <c:v>1.9438055881703493</c:v>
                </c:pt>
                <c:pt idx="2">
                  <c:v>1.388432562978821</c:v>
                </c:pt>
                <c:pt idx="3">
                  <c:v>4.1652976889364632E-2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185379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CB87-EF4B-4B3B-AFF6-92A3A9562EA1}">
  <sheetPr>
    <tabColor theme="7" tint="0.39997558519241921"/>
  </sheetPr>
  <dimension ref="C7:G38"/>
  <sheetViews>
    <sheetView topLeftCell="A15" workbookViewId="0">
      <selection activeCell="F38" sqref="F38"/>
    </sheetView>
  </sheetViews>
  <sheetFormatPr defaultRowHeight="14.4" x14ac:dyDescent="0.3"/>
  <cols>
    <col min="3" max="3" width="9.5546875" bestFit="1" customWidth="1"/>
    <col min="5" max="5" width="4.109375" customWidth="1"/>
    <col min="6" max="6" width="29.88671875" customWidth="1"/>
    <col min="7" max="7" width="45.6640625" customWidth="1"/>
  </cols>
  <sheetData>
    <row r="7" spans="3:7" ht="15" thickBot="1" x14ac:dyDescent="0.35"/>
    <row r="8" spans="3:7" x14ac:dyDescent="0.3">
      <c r="C8" s="717" t="s">
        <v>567</v>
      </c>
      <c r="D8" s="718" t="s">
        <v>568</v>
      </c>
      <c r="E8" s="748" t="s">
        <v>569</v>
      </c>
      <c r="F8" s="748"/>
      <c r="G8" s="719" t="s">
        <v>582</v>
      </c>
    </row>
    <row r="9" spans="3:7" x14ac:dyDescent="0.3">
      <c r="C9" s="720">
        <v>46278</v>
      </c>
      <c r="D9" s="54" t="s">
        <v>585</v>
      </c>
      <c r="E9" s="716" t="b">
        <v>0</v>
      </c>
      <c r="F9" t="s">
        <v>570</v>
      </c>
      <c r="G9" s="721"/>
    </row>
    <row r="10" spans="3:7" x14ac:dyDescent="0.3">
      <c r="C10" s="722"/>
      <c r="E10" s="716" t="b">
        <v>0</v>
      </c>
      <c r="F10" t="s">
        <v>571</v>
      </c>
      <c r="G10" s="721"/>
    </row>
    <row r="11" spans="3:7" x14ac:dyDescent="0.3">
      <c r="C11" s="722"/>
      <c r="E11" s="716" t="b">
        <v>0</v>
      </c>
      <c r="F11" t="s">
        <v>572</v>
      </c>
      <c r="G11" s="721"/>
    </row>
    <row r="12" spans="3:7" x14ac:dyDescent="0.3">
      <c r="C12" s="722"/>
      <c r="E12" s="716" t="b">
        <v>0</v>
      </c>
      <c r="F12" t="s">
        <v>151</v>
      </c>
      <c r="G12" s="721"/>
    </row>
    <row r="13" spans="3:7" x14ac:dyDescent="0.3">
      <c r="C13" s="722"/>
      <c r="E13" s="716" t="b">
        <v>0</v>
      </c>
      <c r="F13" t="s">
        <v>573</v>
      </c>
      <c r="G13" s="721"/>
    </row>
    <row r="14" spans="3:7" x14ac:dyDescent="0.3">
      <c r="C14" s="722"/>
      <c r="E14" s="716" t="b">
        <v>0</v>
      </c>
      <c r="F14" t="s">
        <v>574</v>
      </c>
      <c r="G14" s="721"/>
    </row>
    <row r="15" spans="3:7" x14ac:dyDescent="0.3">
      <c r="C15" s="722"/>
      <c r="E15" s="716" t="b">
        <v>1</v>
      </c>
      <c r="F15" t="s">
        <v>575</v>
      </c>
      <c r="G15" s="721" t="s">
        <v>583</v>
      </c>
    </row>
    <row r="16" spans="3:7" x14ac:dyDescent="0.3">
      <c r="C16" s="722"/>
      <c r="E16" s="716" t="b">
        <v>0</v>
      </c>
      <c r="F16" t="s">
        <v>576</v>
      </c>
      <c r="G16" s="721"/>
    </row>
    <row r="17" spans="3:7" x14ac:dyDescent="0.3">
      <c r="C17" s="722"/>
      <c r="E17" s="716" t="b">
        <v>1</v>
      </c>
      <c r="F17" t="s">
        <v>577</v>
      </c>
      <c r="G17" s="721" t="s">
        <v>584</v>
      </c>
    </row>
    <row r="18" spans="3:7" x14ac:dyDescent="0.3">
      <c r="C18" s="722"/>
      <c r="E18" s="716" t="b">
        <v>0</v>
      </c>
      <c r="F18" t="s">
        <v>578</v>
      </c>
      <c r="G18" s="721"/>
    </row>
    <row r="19" spans="3:7" x14ac:dyDescent="0.3">
      <c r="C19" s="722"/>
      <c r="E19" s="716" t="b">
        <v>0</v>
      </c>
      <c r="F19" t="s">
        <v>579</v>
      </c>
      <c r="G19" s="721"/>
    </row>
    <row r="20" spans="3:7" x14ac:dyDescent="0.3">
      <c r="C20" s="722"/>
      <c r="E20" s="716" t="b">
        <v>0</v>
      </c>
      <c r="F20" t="s">
        <v>580</v>
      </c>
      <c r="G20" s="721"/>
    </row>
    <row r="21" spans="3:7" x14ac:dyDescent="0.3">
      <c r="C21" s="722"/>
      <c r="E21" s="716" t="b">
        <v>0</v>
      </c>
      <c r="F21" t="s">
        <v>25</v>
      </c>
      <c r="G21" s="721"/>
    </row>
    <row r="22" spans="3:7" ht="15" thickBot="1" x14ac:dyDescent="0.35">
      <c r="C22" s="723"/>
      <c r="D22" s="724"/>
      <c r="E22" s="725" t="b">
        <v>0</v>
      </c>
      <c r="F22" s="724" t="s">
        <v>581</v>
      </c>
      <c r="G22" s="726"/>
    </row>
    <row r="23" spans="3:7" x14ac:dyDescent="0.3">
      <c r="C23" s="720">
        <v>46278</v>
      </c>
      <c r="D23" s="54" t="s">
        <v>586</v>
      </c>
      <c r="E23" s="716" t="b">
        <v>0</v>
      </c>
      <c r="F23" t="s">
        <v>570</v>
      </c>
      <c r="G23" s="721"/>
    </row>
    <row r="24" spans="3:7" x14ac:dyDescent="0.3">
      <c r="C24" s="722"/>
      <c r="E24" s="716" t="b">
        <v>0</v>
      </c>
      <c r="F24" t="s">
        <v>571</v>
      </c>
      <c r="G24" s="721"/>
    </row>
    <row r="25" spans="3:7" x14ac:dyDescent="0.3">
      <c r="C25" s="722"/>
      <c r="E25" s="716" t="b">
        <v>0</v>
      </c>
      <c r="F25" t="s">
        <v>572</v>
      </c>
      <c r="G25" s="721"/>
    </row>
    <row r="26" spans="3:7" x14ac:dyDescent="0.3">
      <c r="C26" s="722"/>
      <c r="E26" s="716" t="b">
        <v>0</v>
      </c>
      <c r="F26" t="s">
        <v>151</v>
      </c>
      <c r="G26" s="721"/>
    </row>
    <row r="27" spans="3:7" x14ac:dyDescent="0.3">
      <c r="C27" s="722"/>
      <c r="E27" s="716" t="b">
        <v>0</v>
      </c>
      <c r="F27" t="s">
        <v>573</v>
      </c>
      <c r="G27" s="721"/>
    </row>
    <row r="28" spans="3:7" x14ac:dyDescent="0.3">
      <c r="C28" s="722"/>
      <c r="E28" s="716" t="b">
        <v>0</v>
      </c>
      <c r="F28" t="s">
        <v>574</v>
      </c>
      <c r="G28" s="721"/>
    </row>
    <row r="29" spans="3:7" x14ac:dyDescent="0.3">
      <c r="C29" s="722"/>
      <c r="E29" s="716" t="b">
        <v>0</v>
      </c>
      <c r="F29" t="s">
        <v>575</v>
      </c>
      <c r="G29" s="721"/>
    </row>
    <row r="30" spans="3:7" x14ac:dyDescent="0.3">
      <c r="C30" s="722"/>
      <c r="E30" s="716" t="b">
        <v>0</v>
      </c>
      <c r="F30" t="s">
        <v>576</v>
      </c>
      <c r="G30" s="721"/>
    </row>
    <row r="31" spans="3:7" x14ac:dyDescent="0.3">
      <c r="C31" s="722"/>
      <c r="E31" s="716" t="b">
        <v>0</v>
      </c>
      <c r="F31" t="s">
        <v>577</v>
      </c>
      <c r="G31" s="721"/>
    </row>
    <row r="32" spans="3:7" x14ac:dyDescent="0.3">
      <c r="C32" s="722"/>
      <c r="E32" s="716" t="b">
        <v>1</v>
      </c>
      <c r="F32" t="s">
        <v>578</v>
      </c>
      <c r="G32" s="721" t="s">
        <v>587</v>
      </c>
    </row>
    <row r="33" spans="3:7" x14ac:dyDescent="0.3">
      <c r="C33" s="722"/>
      <c r="E33" s="716" t="b">
        <v>0</v>
      </c>
      <c r="F33" t="s">
        <v>579</v>
      </c>
      <c r="G33" s="721"/>
    </row>
    <row r="34" spans="3:7" x14ac:dyDescent="0.3">
      <c r="C34" s="722"/>
      <c r="E34" s="716" t="b">
        <v>0</v>
      </c>
      <c r="F34" t="s">
        <v>580</v>
      </c>
      <c r="G34" s="721"/>
    </row>
    <row r="35" spans="3:7" x14ac:dyDescent="0.3">
      <c r="C35" s="722"/>
      <c r="E35" s="716" t="b">
        <v>0</v>
      </c>
      <c r="F35" t="s">
        <v>25</v>
      </c>
      <c r="G35" s="721"/>
    </row>
    <row r="36" spans="3:7" ht="15" thickBot="1" x14ac:dyDescent="0.35">
      <c r="C36" s="723"/>
      <c r="D36" s="724"/>
      <c r="E36" s="725" t="b">
        <v>0</v>
      </c>
      <c r="F36" s="724" t="s">
        <v>581</v>
      </c>
      <c r="G36" s="726"/>
    </row>
    <row r="38" spans="3:7" x14ac:dyDescent="0.3">
      <c r="F38" t="s">
        <v>588</v>
      </c>
    </row>
  </sheetData>
  <mergeCells count="1"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abSelected="1" topLeftCell="A21" zoomScale="70" zoomScaleNormal="40" workbookViewId="0">
      <pane xSplit="2" topLeftCell="C1" activePane="topRight" state="frozen"/>
      <selection activeCell="A2" sqref="A2"/>
      <selection pane="topRight" activeCell="C43" sqref="C4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59" t="s">
        <v>125</v>
      </c>
      <c r="I1" s="759"/>
      <c r="J1" s="759"/>
      <c r="K1" s="759"/>
      <c r="L1" s="759"/>
      <c r="M1" s="759"/>
      <c r="N1" s="759"/>
      <c r="O1" s="759"/>
      <c r="P1" s="759"/>
      <c r="Q1" s="759"/>
      <c r="R1" s="759"/>
      <c r="S1" s="759"/>
      <c r="T1" s="759"/>
      <c r="U1" s="759"/>
      <c r="V1" s="759"/>
      <c r="W1" s="759"/>
      <c r="X1" s="759"/>
      <c r="Y1" s="759"/>
      <c r="Z1" s="759"/>
      <c r="AA1" s="759"/>
      <c r="AB1" s="759"/>
      <c r="AC1" s="759"/>
      <c r="AD1" s="759"/>
      <c r="AE1" s="759"/>
      <c r="AF1" s="759"/>
      <c r="AG1" s="759"/>
      <c r="AH1" s="759"/>
      <c r="AI1" s="759"/>
      <c r="AJ1" s="759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60" t="s">
        <v>126</v>
      </c>
      <c r="I2" s="760"/>
      <c r="J2" s="760"/>
      <c r="K2" s="760"/>
      <c r="L2" s="760"/>
      <c r="M2" s="760"/>
      <c r="N2" s="760"/>
      <c r="O2" s="760"/>
      <c r="P2" s="760"/>
      <c r="Q2" s="760"/>
      <c r="R2" s="760"/>
      <c r="S2" s="760"/>
      <c r="T2" s="760"/>
      <c r="U2" s="760"/>
      <c r="V2" s="760"/>
      <c r="W2" s="760"/>
      <c r="X2" s="760"/>
      <c r="Y2" s="760"/>
      <c r="Z2" s="760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49" t="s">
        <v>73</v>
      </c>
      <c r="C5" s="751" t="s">
        <v>74</v>
      </c>
      <c r="D5" s="752"/>
      <c r="E5" s="752"/>
      <c r="F5" s="752"/>
      <c r="G5" s="752"/>
      <c r="H5" s="753"/>
      <c r="I5" s="754" t="s">
        <v>444</v>
      </c>
      <c r="J5" s="754" t="s">
        <v>327</v>
      </c>
      <c r="K5" s="755" t="s">
        <v>75</v>
      </c>
      <c r="L5" s="752"/>
      <c r="M5" s="752"/>
      <c r="N5" s="749" t="s">
        <v>76</v>
      </c>
      <c r="O5" s="761" t="s">
        <v>178</v>
      </c>
      <c r="P5" s="761"/>
      <c r="Q5" s="761"/>
      <c r="R5" s="761"/>
      <c r="S5" s="761"/>
      <c r="T5" s="761"/>
      <c r="U5" s="761"/>
      <c r="V5" s="761"/>
      <c r="W5" s="761"/>
      <c r="X5" s="761"/>
      <c r="Y5" s="762"/>
      <c r="Z5" s="755" t="s">
        <v>77</v>
      </c>
      <c r="AA5" s="763"/>
      <c r="AB5" s="763"/>
      <c r="AC5" s="763"/>
      <c r="AD5" s="763"/>
      <c r="AE5" s="763"/>
      <c r="AF5" s="763"/>
      <c r="AG5" s="764"/>
      <c r="AH5" s="755" t="s">
        <v>78</v>
      </c>
      <c r="AI5" s="753"/>
      <c r="AJ5" s="755" t="s">
        <v>79</v>
      </c>
      <c r="AK5" s="752"/>
      <c r="AL5" s="752"/>
      <c r="AM5" s="752"/>
      <c r="AN5" s="752"/>
      <c r="AO5" s="753"/>
      <c r="AP5" s="755" t="s">
        <v>80</v>
      </c>
      <c r="AQ5" s="753"/>
      <c r="AR5" s="78"/>
      <c r="AS5" s="88" t="s">
        <v>81</v>
      </c>
    </row>
    <row r="6" spans="1:45" ht="29.4" thickBot="1" x14ac:dyDescent="0.35">
      <c r="A6" s="87"/>
      <c r="B6" s="750"/>
      <c r="C6" s="161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50"/>
      <c r="J6" s="757"/>
      <c r="K6" s="89" t="s">
        <v>87</v>
      </c>
      <c r="L6" s="89" t="s">
        <v>88</v>
      </c>
      <c r="M6" s="89" t="s">
        <v>127</v>
      </c>
      <c r="N6" s="756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62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ht="14.4" x14ac:dyDescent="0.3">
      <c r="A7" s="90"/>
      <c r="B7" s="91">
        <v>46174</v>
      </c>
      <c r="C7" s="92">
        <f>Crushing!N6</f>
        <v>0</v>
      </c>
      <c r="D7" s="92">
        <f>C7</f>
        <v>0</v>
      </c>
      <c r="E7" s="92" t="e">
        <f>C7/I7</f>
        <v>#DIV/0!</v>
      </c>
      <c r="F7" s="96"/>
      <c r="G7" s="93">
        <f>C7*F7</f>
        <v>0</v>
      </c>
      <c r="H7" s="137">
        <f>G7/1000</f>
        <v>0</v>
      </c>
      <c r="I7" s="92"/>
      <c r="J7" s="92">
        <v>0</v>
      </c>
      <c r="K7" s="95"/>
      <c r="L7" s="95">
        <f>J7/24</f>
        <v>0</v>
      </c>
      <c r="M7" s="95">
        <v>1</v>
      </c>
      <c r="N7" s="95">
        <f>IF(L7=100%,I7/24*100%,L7)</f>
        <v>0</v>
      </c>
      <c r="O7" s="142"/>
      <c r="P7" s="142"/>
      <c r="Q7" s="96"/>
      <c r="R7" s="96"/>
      <c r="S7" s="96"/>
      <c r="T7" s="96">
        <f>(O7*R7)-(S7*O7)</f>
        <v>0</v>
      </c>
      <c r="U7" s="97" t="e">
        <f>((R7-S7)/R7)</f>
        <v>#DIV/0!</v>
      </c>
      <c r="V7" s="94"/>
      <c r="W7" s="94"/>
      <c r="X7" s="94"/>
      <c r="Y7" s="94"/>
      <c r="Z7" s="96">
        <f>'Reagent Consumption'!O7</f>
        <v>0</v>
      </c>
      <c r="AA7" s="92">
        <f>'Fuel Consumption'!F4</f>
        <v>0</v>
      </c>
      <c r="AB7" s="96">
        <f>'Reagent Consumption'!Q7</f>
        <v>0</v>
      </c>
      <c r="AC7" s="96">
        <f>'Reagent Consumption'!P7</f>
        <v>0</v>
      </c>
      <c r="AD7" s="96">
        <f>'Reagent Consumption'!R7</f>
        <v>0</v>
      </c>
      <c r="AE7" s="96">
        <f>'Reagent Consumption'!S7</f>
        <v>0</v>
      </c>
      <c r="AF7" s="96">
        <f>'Reagent Consumption'!T7</f>
        <v>0</v>
      </c>
      <c r="AG7" s="96">
        <f>'Fuel Consumption'!F4</f>
        <v>0</v>
      </c>
      <c r="AH7" s="96"/>
      <c r="AI7" s="96"/>
      <c r="AJ7" s="96"/>
      <c r="AK7" s="96"/>
      <c r="AL7" s="96"/>
      <c r="AM7" s="96"/>
      <c r="AN7" s="96"/>
      <c r="AO7" s="96"/>
      <c r="AP7" s="96"/>
      <c r="AQ7" s="94"/>
      <c r="AR7" s="78"/>
      <c r="AS7" s="78" t="s">
        <v>111</v>
      </c>
    </row>
    <row r="8" spans="1:45" ht="14.4" x14ac:dyDescent="0.3">
      <c r="A8" s="90"/>
      <c r="B8" s="91">
        <v>46175</v>
      </c>
      <c r="C8" s="92">
        <f>Crushing!N8</f>
        <v>78.043500000000009</v>
      </c>
      <c r="D8" s="92">
        <f t="shared" ref="D8:D13" si="0">D7+C8</f>
        <v>78.043500000000009</v>
      </c>
      <c r="E8" s="92">
        <f t="shared" ref="E8:E11" si="1">C8/I8</f>
        <v>7.0734290030211486</v>
      </c>
      <c r="F8" s="96">
        <v>1.45</v>
      </c>
      <c r="G8" s="92">
        <f>C8*F8</f>
        <v>113.16307500000001</v>
      </c>
      <c r="H8" s="137">
        <f>G8/1000</f>
        <v>0.113163075</v>
      </c>
      <c r="I8" s="92">
        <f>'Crushing Down Time Hours'!L7</f>
        <v>11.033333333333333</v>
      </c>
      <c r="J8" s="92">
        <v>0</v>
      </c>
      <c r="K8" s="95"/>
      <c r="L8" s="95">
        <f t="shared" ref="L8:L45" si="2">J8/24</f>
        <v>0</v>
      </c>
      <c r="M8" s="95">
        <v>1</v>
      </c>
      <c r="N8" s="95">
        <f>IF(L8=100%,I8/24*100%,L8)</f>
        <v>0</v>
      </c>
      <c r="O8" s="99"/>
      <c r="P8" s="99"/>
      <c r="Q8" s="94"/>
      <c r="R8" s="94"/>
      <c r="S8" s="94"/>
      <c r="T8" s="96">
        <f t="shared" ref="T8:T37" si="3">(P8*R8)-(S8*P8)</f>
        <v>0</v>
      </c>
      <c r="U8" s="97" t="e">
        <f t="shared" ref="U8:U37" si="4">((R8-S8)/R8)</f>
        <v>#DIV/0!</v>
      </c>
      <c r="V8" s="94"/>
      <c r="W8" s="94"/>
      <c r="X8" s="94"/>
      <c r="Y8" s="94"/>
      <c r="Z8" s="96">
        <f>'Reagent Consumption'!O8</f>
        <v>0</v>
      </c>
      <c r="AA8" s="92">
        <f>'Fuel Consumption'!F5</f>
        <v>0</v>
      </c>
      <c r="AB8" s="96">
        <f>'Reagent Consumption'!Q8</f>
        <v>0</v>
      </c>
      <c r="AC8" s="96">
        <f>'Reagent Consumption'!P8</f>
        <v>0</v>
      </c>
      <c r="AD8" s="96">
        <f>'Reagent Consumption'!R8</f>
        <v>0</v>
      </c>
      <c r="AE8" s="96">
        <f>'Reagent Consumption'!S8</f>
        <v>0</v>
      </c>
      <c r="AF8" s="96">
        <f>'Reagent Consumption'!T8</f>
        <v>0</v>
      </c>
      <c r="AG8" s="96">
        <f>'Fuel Consumption'!F5</f>
        <v>0</v>
      </c>
      <c r="AH8" s="96"/>
      <c r="AI8" s="96"/>
      <c r="AJ8" s="96"/>
      <c r="AK8" s="96"/>
      <c r="AL8" s="96"/>
      <c r="AM8" s="96"/>
      <c r="AN8" s="96"/>
      <c r="AO8" s="96"/>
      <c r="AP8" s="96"/>
      <c r="AQ8" s="94"/>
      <c r="AR8" s="78"/>
      <c r="AS8" s="78" t="s">
        <v>112</v>
      </c>
    </row>
    <row r="9" spans="1:45" ht="14.4" x14ac:dyDescent="0.3">
      <c r="A9" s="90"/>
      <c r="B9" s="91">
        <v>46176</v>
      </c>
      <c r="C9" s="92">
        <f>Crushing!N10</f>
        <v>17.712000000000003</v>
      </c>
      <c r="D9" s="92">
        <f t="shared" si="0"/>
        <v>95.755500000000012</v>
      </c>
      <c r="E9" s="92">
        <f t="shared" si="1"/>
        <v>1.6053172205438069</v>
      </c>
      <c r="F9" s="136">
        <v>1.45</v>
      </c>
      <c r="G9" s="406">
        <f t="shared" ref="G9:G16" si="5">F9*C9</f>
        <v>25.682400000000005</v>
      </c>
      <c r="H9" s="138">
        <f t="shared" ref="H9:H17" si="6">G9/1000</f>
        <v>2.5682400000000005E-2</v>
      </c>
      <c r="I9" s="92">
        <f>'Crushing Down Time Hours'!L8</f>
        <v>11.033333333333333</v>
      </c>
      <c r="J9" s="92">
        <v>0</v>
      </c>
      <c r="K9" s="95"/>
      <c r="L9" s="95">
        <f t="shared" si="2"/>
        <v>0</v>
      </c>
      <c r="M9" s="95">
        <v>1</v>
      </c>
      <c r="N9" s="95">
        <f>IF(L9=100%,(I9/24),L9)</f>
        <v>0</v>
      </c>
      <c r="O9" s="99"/>
      <c r="P9" s="99"/>
      <c r="Q9" s="94"/>
      <c r="R9" s="94"/>
      <c r="S9" s="94"/>
      <c r="T9" s="96">
        <f t="shared" si="3"/>
        <v>0</v>
      </c>
      <c r="U9" s="97" t="e">
        <f>((R9-S9)/R9)</f>
        <v>#DIV/0!</v>
      </c>
      <c r="V9" s="94"/>
      <c r="W9" s="94"/>
      <c r="X9" s="94"/>
      <c r="Y9" s="94"/>
      <c r="Z9" s="96">
        <f>'Reagent Consumption'!O9</f>
        <v>0</v>
      </c>
      <c r="AA9" s="92">
        <f>'Fuel Consumption'!F6</f>
        <v>0</v>
      </c>
      <c r="AB9" s="96">
        <f>'Reagent Consumption'!Q9</f>
        <v>0</v>
      </c>
      <c r="AC9" s="96">
        <f>'Reagent Consumption'!P9</f>
        <v>0</v>
      </c>
      <c r="AD9" s="96">
        <f>'Reagent Consumption'!R9</f>
        <v>0</v>
      </c>
      <c r="AE9" s="96">
        <f>'Reagent Consumption'!S9</f>
        <v>0</v>
      </c>
      <c r="AF9" s="96">
        <f>'Reagent Consumption'!T9</f>
        <v>0</v>
      </c>
      <c r="AG9" s="96">
        <f>'Fuel Consumption'!F6</f>
        <v>0</v>
      </c>
      <c r="AH9" s="96"/>
      <c r="AI9" s="96"/>
      <c r="AJ9" s="96"/>
      <c r="AK9" s="96"/>
      <c r="AL9" s="96"/>
      <c r="AM9" s="96"/>
      <c r="AN9" s="96"/>
      <c r="AO9" s="96"/>
      <c r="AP9" s="96"/>
      <c r="AQ9" s="94"/>
      <c r="AR9" s="78"/>
      <c r="AS9" s="78" t="s">
        <v>113</v>
      </c>
    </row>
    <row r="10" spans="1:45" ht="14.4" x14ac:dyDescent="0.3">
      <c r="A10" s="90"/>
      <c r="B10" s="91">
        <v>46177</v>
      </c>
      <c r="C10" s="92">
        <f>Crushing!N12</f>
        <v>157.9905</v>
      </c>
      <c r="D10" s="92">
        <f t="shared" si="0"/>
        <v>253.74600000000001</v>
      </c>
      <c r="E10" s="92">
        <f t="shared" si="1"/>
        <v>16.74810954063604</v>
      </c>
      <c r="F10" s="96">
        <v>1.45</v>
      </c>
      <c r="G10" s="406">
        <f t="shared" si="5"/>
        <v>229.08622499999998</v>
      </c>
      <c r="H10" s="138">
        <f t="shared" si="6"/>
        <v>0.22908622499999998</v>
      </c>
      <c r="I10" s="92">
        <f>'Crushing Down Time Hours'!L9</f>
        <v>9.4333333333333353</v>
      </c>
      <c r="J10" s="92">
        <v>0</v>
      </c>
      <c r="K10" s="95"/>
      <c r="L10" s="95">
        <f t="shared" si="2"/>
        <v>0</v>
      </c>
      <c r="M10" s="95">
        <v>1</v>
      </c>
      <c r="N10" s="95">
        <f t="shared" ref="N10:N45" si="7">IF(L10=100%,I10/24*100%,L10)</f>
        <v>0</v>
      </c>
      <c r="O10" s="21"/>
      <c r="P10" s="99"/>
      <c r="Q10" s="94"/>
      <c r="R10" s="90"/>
      <c r="S10" s="94"/>
      <c r="T10" s="96">
        <f t="shared" si="3"/>
        <v>0</v>
      </c>
      <c r="U10" s="97" t="e">
        <f>((R10-S10)/R10)</f>
        <v>#DIV/0!</v>
      </c>
      <c r="V10" s="94"/>
      <c r="W10" s="94"/>
      <c r="X10" s="94"/>
      <c r="Y10" s="94"/>
      <c r="Z10" s="96">
        <f>'Reagent Consumption'!O10</f>
        <v>150</v>
      </c>
      <c r="AA10" s="92">
        <f>'Fuel Consumption'!F7</f>
        <v>0</v>
      </c>
      <c r="AB10" s="96">
        <f>'Reagent Consumption'!Q10</f>
        <v>0</v>
      </c>
      <c r="AC10" s="96">
        <f>'Reagent Consumption'!P10</f>
        <v>250</v>
      </c>
      <c r="AD10" s="96">
        <f>'Reagent Consumption'!R10</f>
        <v>0</v>
      </c>
      <c r="AE10" s="96">
        <f>'Reagent Consumption'!S10</f>
        <v>0</v>
      </c>
      <c r="AF10" s="96">
        <f>'Reagent Consumption'!T10</f>
        <v>0</v>
      </c>
      <c r="AG10" s="96">
        <f>'Fuel Consumption'!F7</f>
        <v>0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4"/>
      <c r="AR10" s="78"/>
      <c r="AS10" s="78" t="s">
        <v>114</v>
      </c>
    </row>
    <row r="11" spans="1:45" ht="14.4" x14ac:dyDescent="0.3">
      <c r="A11" s="90"/>
      <c r="B11" s="91">
        <v>46252</v>
      </c>
      <c r="C11" s="92">
        <f>Crushing!N14</f>
        <v>37.919199999999996</v>
      </c>
      <c r="D11" s="92">
        <f t="shared" si="0"/>
        <v>291.66520000000003</v>
      </c>
      <c r="E11" s="92">
        <f t="shared" si="1"/>
        <v>18.648786885245901</v>
      </c>
      <c r="F11" s="96">
        <v>0.77</v>
      </c>
      <c r="G11" s="406">
        <f t="shared" si="5"/>
        <v>29.197783999999999</v>
      </c>
      <c r="H11" s="138">
        <f t="shared" si="6"/>
        <v>2.9197783999999997E-2</v>
      </c>
      <c r="I11" s="92">
        <f>'Crushing Down Time Hours'!L6</f>
        <v>2.0333333333333332</v>
      </c>
      <c r="J11" s="92">
        <v>0</v>
      </c>
      <c r="K11" s="95">
        <f>'Crushing Down Time Hours'!M6</f>
        <v>0.16944444444444443</v>
      </c>
      <c r="L11" s="95">
        <f t="shared" si="2"/>
        <v>0</v>
      </c>
      <c r="M11" s="95">
        <v>1</v>
      </c>
      <c r="N11" s="95">
        <f t="shared" si="7"/>
        <v>0</v>
      </c>
      <c r="O11" s="94"/>
      <c r="P11" s="94"/>
      <c r="Q11" s="100"/>
      <c r="R11" s="21"/>
      <c r="S11" s="94"/>
      <c r="T11" s="96">
        <f t="shared" si="3"/>
        <v>0</v>
      </c>
      <c r="U11" s="97" t="e">
        <f>((Q12-S11)/Q12)</f>
        <v>#DIV/0!</v>
      </c>
      <c r="V11" s="94"/>
      <c r="W11" s="94"/>
      <c r="X11" s="94"/>
      <c r="Y11" s="94"/>
      <c r="Z11" s="96">
        <f>'Reagent Consumption'!O11</f>
        <v>225</v>
      </c>
      <c r="AA11" s="92">
        <f>'Fuel Consumption'!F8</f>
        <v>0</v>
      </c>
      <c r="AB11" s="96">
        <f>'Reagent Consumption'!Q11</f>
        <v>1000</v>
      </c>
      <c r="AC11" s="96">
        <f>'Reagent Consumption'!P11</f>
        <v>1250</v>
      </c>
      <c r="AD11" s="96">
        <f>'Reagent Consumption'!R11</f>
        <v>0</v>
      </c>
      <c r="AE11" s="96">
        <f>'Reagent Consumption'!S11</f>
        <v>0</v>
      </c>
      <c r="AF11" s="96">
        <f>'Reagent Consumption'!T11</f>
        <v>25</v>
      </c>
      <c r="AG11" s="96">
        <f>'Fuel Consumption'!F8</f>
        <v>0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4"/>
      <c r="AR11" s="78"/>
      <c r="AS11" s="78" t="s">
        <v>115</v>
      </c>
    </row>
    <row r="12" spans="1:45" ht="14.4" x14ac:dyDescent="0.3">
      <c r="A12" s="90"/>
      <c r="B12" s="91">
        <v>46253</v>
      </c>
      <c r="C12" s="92">
        <f>Crushing!N16</f>
        <v>283.17079999999999</v>
      </c>
      <c r="D12" s="92">
        <f t="shared" si="0"/>
        <v>574.83600000000001</v>
      </c>
      <c r="E12" s="92">
        <f>C12/I12</f>
        <v>25.665027190332324</v>
      </c>
      <c r="F12" s="141">
        <v>1.0209999999999999</v>
      </c>
      <c r="G12" s="406">
        <f>F12*C12</f>
        <v>289.11738679999996</v>
      </c>
      <c r="H12" s="138">
        <f t="shared" si="6"/>
        <v>0.28911738679999999</v>
      </c>
      <c r="I12" s="92">
        <f>'Crushing Down Time Hours'!L7</f>
        <v>11.033333333333333</v>
      </c>
      <c r="J12" s="92">
        <v>0</v>
      </c>
      <c r="K12" s="95">
        <f>'Crushing Down Time Hours'!M7</f>
        <v>0.9194444444444444</v>
      </c>
      <c r="L12" s="95">
        <f t="shared" si="2"/>
        <v>0</v>
      </c>
      <c r="M12" s="95">
        <v>1</v>
      </c>
      <c r="N12" s="95">
        <f t="shared" si="7"/>
        <v>0</v>
      </c>
      <c r="O12" s="94"/>
      <c r="P12" s="94"/>
      <c r="Q12" s="100"/>
      <c r="R12" s="21"/>
      <c r="S12" s="94"/>
      <c r="T12" s="96">
        <f t="shared" si="3"/>
        <v>0</v>
      </c>
      <c r="U12" s="97" t="e">
        <f>((Q13-S12)/Q13)</f>
        <v>#DIV/0!</v>
      </c>
      <c r="V12" s="94"/>
      <c r="W12" s="94"/>
      <c r="X12" s="94"/>
      <c r="Y12" s="94"/>
      <c r="Z12" s="96">
        <f>'Reagent Consumption'!O13</f>
        <v>275</v>
      </c>
      <c r="AA12" s="92">
        <f>'Fuel Consumption'!F9</f>
        <v>0</v>
      </c>
      <c r="AB12" s="96">
        <f>'Reagent Consumption'!Q13</f>
        <v>1000</v>
      </c>
      <c r="AC12" s="96">
        <f>'Reagent Consumption'!P13</f>
        <v>500</v>
      </c>
      <c r="AD12" s="96">
        <f>'Reagent Consumption'!R13</f>
        <v>0</v>
      </c>
      <c r="AE12" s="96">
        <f>'Reagent Consumption'!S13</f>
        <v>0</v>
      </c>
      <c r="AF12" s="96">
        <f>'Reagent Consumption'!T13</f>
        <v>25</v>
      </c>
      <c r="AG12" s="96">
        <f>'Fuel Consumption'!F9</f>
        <v>0</v>
      </c>
      <c r="AH12" s="96"/>
      <c r="AI12" s="96"/>
      <c r="AJ12" s="96"/>
      <c r="AK12" s="96"/>
      <c r="AL12" s="96"/>
      <c r="AM12" s="96"/>
      <c r="AN12" s="96"/>
      <c r="AO12" s="96"/>
      <c r="AP12" s="96"/>
      <c r="AQ12" s="94"/>
      <c r="AR12" s="78"/>
      <c r="AS12" s="78" t="s">
        <v>116</v>
      </c>
    </row>
    <row r="13" spans="1:45" ht="14.4" x14ac:dyDescent="0.3">
      <c r="A13" s="90"/>
      <c r="B13" s="91">
        <v>46254</v>
      </c>
      <c r="C13" s="92">
        <f>Crushing!N18</f>
        <v>337.14449999999999</v>
      </c>
      <c r="D13" s="92">
        <f t="shared" si="0"/>
        <v>911.98050000000001</v>
      </c>
      <c r="E13" s="93">
        <f t="shared" ref="E13:E36" si="8">C13/I13</f>
        <v>33.658352745424288</v>
      </c>
      <c r="F13" s="96">
        <v>0.60399999999999998</v>
      </c>
      <c r="G13" s="92">
        <f>F13*C13</f>
        <v>203.635278</v>
      </c>
      <c r="H13" s="137">
        <f t="shared" si="6"/>
        <v>0.203635278</v>
      </c>
      <c r="I13" s="92">
        <f>'Crushing Down Time Hours'!L12</f>
        <v>10.016666666666667</v>
      </c>
      <c r="J13" s="92">
        <v>0</v>
      </c>
      <c r="K13" s="95">
        <f>'Crushing Down Time Hours'!M8</f>
        <v>0.9194444444444444</v>
      </c>
      <c r="L13" s="95">
        <f t="shared" si="2"/>
        <v>0</v>
      </c>
      <c r="M13" s="95">
        <v>1</v>
      </c>
      <c r="N13" s="95">
        <f t="shared" si="7"/>
        <v>0</v>
      </c>
      <c r="O13" s="94"/>
      <c r="P13" s="94"/>
      <c r="Q13" s="100"/>
      <c r="R13" s="21"/>
      <c r="S13" s="94"/>
      <c r="T13" s="96">
        <f t="shared" si="3"/>
        <v>0</v>
      </c>
      <c r="U13" s="97" t="e">
        <f>((Q14-S13)/Q14)</f>
        <v>#DIV/0!</v>
      </c>
      <c r="V13" s="94" t="s">
        <v>117</v>
      </c>
      <c r="W13" s="94"/>
      <c r="X13" s="94"/>
      <c r="Y13" s="94"/>
      <c r="Z13" s="96">
        <f>'Reagent Consumption'!O15</f>
        <v>100</v>
      </c>
      <c r="AA13" s="92">
        <f>'Fuel Consumption'!F10</f>
        <v>0</v>
      </c>
      <c r="AB13" s="96">
        <f>'Reagent Consumption'!Q15</f>
        <v>0</v>
      </c>
      <c r="AC13" s="96">
        <f>'Reagent Consumption'!P15</f>
        <v>250</v>
      </c>
      <c r="AD13" s="96">
        <f>'Reagent Consumption'!R15</f>
        <v>0</v>
      </c>
      <c r="AE13" s="96">
        <f>'Reagent Consumption'!S15</f>
        <v>0</v>
      </c>
      <c r="AF13" s="96">
        <f>'Reagent Consumption'!T15</f>
        <v>0</v>
      </c>
      <c r="AG13" s="96">
        <f>'Fuel Consumption'!F10</f>
        <v>0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4"/>
      <c r="AR13" s="78"/>
      <c r="AS13" s="78" t="s">
        <v>118</v>
      </c>
    </row>
    <row r="14" spans="1:45" ht="14.4" x14ac:dyDescent="0.3">
      <c r="A14" s="90"/>
      <c r="B14" s="91">
        <v>46255</v>
      </c>
      <c r="C14" s="92">
        <f>Crushing!N20</f>
        <v>290.85750000000002</v>
      </c>
      <c r="D14" s="92">
        <f>D13+C14</f>
        <v>1202.838</v>
      </c>
      <c r="E14" s="93">
        <f t="shared" si="8"/>
        <v>30.83295053003533</v>
      </c>
      <c r="F14" s="96">
        <v>0.442</v>
      </c>
      <c r="G14" s="92">
        <f>F14*C14</f>
        <v>128.55901500000002</v>
      </c>
      <c r="H14" s="137">
        <f t="shared" si="6"/>
        <v>0.12855901500000003</v>
      </c>
      <c r="I14" s="92">
        <f>'Crushing Down Time Hours'!L9</f>
        <v>9.4333333333333353</v>
      </c>
      <c r="J14" s="92">
        <v>0</v>
      </c>
      <c r="K14" s="95">
        <f>'Crushing Down Time Hours'!M9</f>
        <v>0.78611111111111132</v>
      </c>
      <c r="L14" s="95">
        <f t="shared" si="2"/>
        <v>0</v>
      </c>
      <c r="M14" s="95">
        <v>1</v>
      </c>
      <c r="N14" s="95">
        <f t="shared" si="7"/>
        <v>0</v>
      </c>
      <c r="O14" s="94"/>
      <c r="P14" s="94"/>
      <c r="Q14" s="100"/>
      <c r="R14" s="99"/>
      <c r="S14" s="94"/>
      <c r="T14" s="96">
        <f t="shared" si="3"/>
        <v>0</v>
      </c>
      <c r="U14" s="97" t="e">
        <f t="shared" si="4"/>
        <v>#DIV/0!</v>
      </c>
      <c r="V14" s="94"/>
      <c r="W14" s="94"/>
      <c r="X14" s="94"/>
      <c r="Y14" s="94"/>
      <c r="Z14" s="96">
        <f>'Reagent Consumption'!O16</f>
        <v>0</v>
      </c>
      <c r="AA14" s="92">
        <f>'Fuel Consumption'!F11</f>
        <v>0</v>
      </c>
      <c r="AB14" s="96">
        <f>'Reagent Consumption'!Q16</f>
        <v>0</v>
      </c>
      <c r="AC14" s="96">
        <f>'Reagent Consumption'!P16</f>
        <v>0</v>
      </c>
      <c r="AD14" s="96">
        <f>'Reagent Consumption'!R16</f>
        <v>0</v>
      </c>
      <c r="AE14" s="96">
        <f>'Reagent Consumption'!S16</f>
        <v>0</v>
      </c>
      <c r="AF14" s="96">
        <f>'Reagent Consumption'!T16</f>
        <v>25</v>
      </c>
      <c r="AG14" s="96">
        <f>'Fuel Consumption'!F11</f>
        <v>0</v>
      </c>
      <c r="AH14" s="96"/>
      <c r="AI14" s="96"/>
      <c r="AJ14" s="96"/>
      <c r="AK14" s="96"/>
      <c r="AL14" s="96"/>
      <c r="AM14" s="96"/>
      <c r="AN14" s="96"/>
      <c r="AO14" s="96"/>
      <c r="AP14" s="96"/>
      <c r="AQ14" s="94"/>
      <c r="AR14" s="78"/>
      <c r="AS14" s="78" t="s">
        <v>119</v>
      </c>
    </row>
    <row r="15" spans="1:45" ht="14.4" x14ac:dyDescent="0.3">
      <c r="A15" s="90"/>
      <c r="B15" s="91">
        <v>46256</v>
      </c>
      <c r="C15" s="92">
        <f>Crushing!N22</f>
        <v>197.0325</v>
      </c>
      <c r="D15" s="92">
        <f t="shared" ref="D15:D36" si="9">D14+C15</f>
        <v>1399.8705</v>
      </c>
      <c r="E15" s="93">
        <f t="shared" si="8"/>
        <v>21.852033271719037</v>
      </c>
      <c r="F15" s="137">
        <f>AVERAGE('Rom File Inventory'!T93:T101)</f>
        <v>0.62933333333333319</v>
      </c>
      <c r="G15" s="92">
        <f t="shared" si="5"/>
        <v>123.99911999999998</v>
      </c>
      <c r="H15" s="137">
        <f t="shared" si="6"/>
        <v>0.12399911999999998</v>
      </c>
      <c r="I15" s="92">
        <f>'Crushing Down Time Hours'!L10</f>
        <v>9.0166666666666675</v>
      </c>
      <c r="J15" s="92">
        <v>0</v>
      </c>
      <c r="K15" s="95">
        <f>'Crushing Down Time Hours'!M10</f>
        <v>0.75138888888888899</v>
      </c>
      <c r="L15" s="95">
        <f t="shared" si="2"/>
        <v>0</v>
      </c>
      <c r="M15" s="95">
        <v>1</v>
      </c>
      <c r="N15" s="111">
        <f t="shared" si="7"/>
        <v>0</v>
      </c>
      <c r="O15" s="90"/>
      <c r="P15" s="90"/>
      <c r="Q15" s="94"/>
      <c r="R15" s="94"/>
      <c r="S15" s="94"/>
      <c r="T15" s="96">
        <f t="shared" si="3"/>
        <v>0</v>
      </c>
      <c r="U15" s="97" t="e">
        <f t="shared" si="4"/>
        <v>#DIV/0!</v>
      </c>
      <c r="V15" s="94"/>
      <c r="W15" s="94"/>
      <c r="X15" s="94"/>
      <c r="Y15" s="94"/>
      <c r="Z15" s="96">
        <f>'Reagent Consumption'!O17</f>
        <v>100</v>
      </c>
      <c r="AA15" s="92">
        <f>'Fuel Consumption'!F12</f>
        <v>0</v>
      </c>
      <c r="AB15" s="96">
        <f>'Reagent Consumption'!Q17</f>
        <v>0</v>
      </c>
      <c r="AC15" s="96">
        <f>'Reagent Consumption'!P17</f>
        <v>0</v>
      </c>
      <c r="AD15" s="96">
        <f>'Reagent Consumption'!R17</f>
        <v>0</v>
      </c>
      <c r="AE15" s="96">
        <f>'Reagent Consumption'!S17</f>
        <v>0</v>
      </c>
      <c r="AF15" s="96">
        <f>'Reagent Consumption'!T17</f>
        <v>0</v>
      </c>
      <c r="AG15" s="96">
        <f>'Fuel Consumption'!F12</f>
        <v>0</v>
      </c>
      <c r="AH15" s="96"/>
      <c r="AI15" s="96"/>
      <c r="AJ15" s="96"/>
      <c r="AK15" s="96"/>
      <c r="AL15" s="96"/>
      <c r="AM15" s="96"/>
      <c r="AN15" s="96"/>
      <c r="AO15" s="96"/>
      <c r="AP15" s="96"/>
      <c r="AQ15" s="94"/>
      <c r="AR15" s="78"/>
      <c r="AS15" s="7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7"/>
      <c r="G16" s="92">
        <f t="shared" si="5"/>
        <v>0</v>
      </c>
      <c r="H16" s="137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2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ht="14.4" x14ac:dyDescent="0.3">
      <c r="A17" s="90"/>
      <c r="B17" s="91">
        <v>46258</v>
      </c>
      <c r="C17" s="92">
        <f>Crushing!N26</f>
        <v>163.881</v>
      </c>
      <c r="D17" s="92">
        <f>D16+C17</f>
        <v>1563.7515000000001</v>
      </c>
      <c r="E17" s="93">
        <f>C17/I17</f>
        <v>16.360831946755408</v>
      </c>
      <c r="F17" s="152">
        <f>AVERAGE('Rom File Inventory'!T102:T110)</f>
        <v>1.0302222222222222</v>
      </c>
      <c r="G17" s="92">
        <f>F17*C17</f>
        <v>168.83384799999999</v>
      </c>
      <c r="H17" s="137">
        <f t="shared" si="6"/>
        <v>0.16883384799999998</v>
      </c>
      <c r="I17" s="92">
        <f>'Crushing Down Time Hours'!L12</f>
        <v>10.016666666666667</v>
      </c>
      <c r="J17" s="92">
        <v>0</v>
      </c>
      <c r="K17" s="95">
        <f>'Crushing Down Time Hours'!M12</f>
        <v>0.83472222222222225</v>
      </c>
      <c r="L17" s="95">
        <f t="shared" si="2"/>
        <v>0</v>
      </c>
      <c r="M17" s="98">
        <v>1</v>
      </c>
      <c r="N17" s="112">
        <f t="shared" si="7"/>
        <v>0</v>
      </c>
      <c r="O17" s="99"/>
      <c r="P17" s="99"/>
      <c r="Q17" s="94"/>
      <c r="R17" s="94"/>
      <c r="S17" s="94"/>
      <c r="T17" s="96">
        <f t="shared" si="3"/>
        <v>0</v>
      </c>
      <c r="U17" s="97" t="e">
        <f t="shared" si="4"/>
        <v>#DIV/0!</v>
      </c>
      <c r="V17" s="94"/>
      <c r="W17" s="94"/>
      <c r="X17" s="94"/>
      <c r="Y17" s="94"/>
      <c r="Z17" s="96">
        <f>'Reagent Consumption'!O19</f>
        <v>300</v>
      </c>
      <c r="AA17" s="92">
        <f>'Fuel Consumption'!F14</f>
        <v>0</v>
      </c>
      <c r="AB17" s="96">
        <f>'Reagent Consumption'!Q19</f>
        <v>0</v>
      </c>
      <c r="AC17" s="96">
        <f>'Reagent Consumption'!P19</f>
        <v>750</v>
      </c>
      <c r="AD17" s="96">
        <f>'Reagent Consumption'!R19</f>
        <v>0</v>
      </c>
      <c r="AE17" s="96">
        <f>'Reagent Consumption'!S19</f>
        <v>0</v>
      </c>
      <c r="AF17" s="96">
        <f>'Reagent Consumption'!T19</f>
        <v>0</v>
      </c>
      <c r="AG17" s="96">
        <f>'Fuel Consumption'!F14</f>
        <v>0</v>
      </c>
      <c r="AH17" s="96"/>
      <c r="AI17" s="96"/>
      <c r="AJ17" s="96"/>
      <c r="AK17" s="96"/>
      <c r="AL17" s="96"/>
      <c r="AM17" s="96"/>
      <c r="AN17" s="96"/>
      <c r="AO17" s="96"/>
      <c r="AP17" s="96"/>
      <c r="AQ17" s="94"/>
      <c r="AR17" s="78"/>
      <c r="AS17" s="7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7"/>
      <c r="G18" s="92">
        <f t="shared" ref="G18:G49" si="10">F18*C18</f>
        <v>0</v>
      </c>
      <c r="H18" s="137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2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7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2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ht="14.4" x14ac:dyDescent="0.3">
      <c r="A20" s="90"/>
      <c r="B20" s="91">
        <v>46261</v>
      </c>
      <c r="C20" s="92">
        <f>Crushing!N32</f>
        <v>124.94709999999999</v>
      </c>
      <c r="D20" s="92">
        <f t="shared" si="9"/>
        <v>1688.6986000000002</v>
      </c>
      <c r="E20" s="93">
        <f t="shared" si="8"/>
        <v>23.724132911392402</v>
      </c>
      <c r="F20" s="137">
        <f>AVERAGE('Rom File Inventory'!T111:T117)</f>
        <v>0.751142857142857</v>
      </c>
      <c r="G20" s="92">
        <f t="shared" si="10"/>
        <v>93.853121685714257</v>
      </c>
      <c r="H20" s="137">
        <f t="shared" si="11"/>
        <v>9.3853121685714261E-2</v>
      </c>
      <c r="I20" s="92">
        <f>'Crushing Down Time Hours'!L15</f>
        <v>5.2666666666666666</v>
      </c>
      <c r="J20" s="92">
        <v>0</v>
      </c>
      <c r="K20" s="95">
        <f>'Crushing Down Time Hours'!M15</f>
        <v>0.43888888888888888</v>
      </c>
      <c r="L20" s="95">
        <f t="shared" si="2"/>
        <v>0</v>
      </c>
      <c r="M20" s="98">
        <f>'Milling Down Time Hours'!N6</f>
        <v>0.95416666666666661</v>
      </c>
      <c r="N20" s="112">
        <f t="shared" si="7"/>
        <v>0</v>
      </c>
      <c r="O20" s="99"/>
      <c r="P20" s="21"/>
      <c r="Q20" s="94"/>
      <c r="R20" s="94"/>
      <c r="S20" s="94"/>
      <c r="T20" s="96">
        <f t="shared" si="3"/>
        <v>0</v>
      </c>
      <c r="U20" s="97" t="e">
        <f t="shared" si="4"/>
        <v>#DIV/0!</v>
      </c>
      <c r="V20" s="94"/>
      <c r="W20" s="94"/>
      <c r="X20" s="94"/>
      <c r="Y20" s="94"/>
      <c r="Z20" s="96">
        <f>'Reagent Consumption'!O24</f>
        <v>125</v>
      </c>
      <c r="AA20" s="92">
        <f>'Fuel Consumption'!F17</f>
        <v>0</v>
      </c>
      <c r="AB20" s="96">
        <f>'Reagent Consumption'!Q24</f>
        <v>500</v>
      </c>
      <c r="AC20" s="96">
        <f>'Reagent Consumption'!P24</f>
        <v>0</v>
      </c>
      <c r="AD20" s="96">
        <f>'Reagent Consumption'!R24</f>
        <v>0</v>
      </c>
      <c r="AE20" s="96">
        <f>'Reagent Consumption'!S24</f>
        <v>0</v>
      </c>
      <c r="AF20" s="96">
        <f>'Reagent Consumption'!T24</f>
        <v>0</v>
      </c>
      <c r="AG20" s="96">
        <f>'Fuel Consumption'!F17</f>
        <v>0</v>
      </c>
      <c r="AH20" s="96"/>
      <c r="AI20" s="96"/>
      <c r="AJ20" s="96"/>
      <c r="AK20" s="96"/>
      <c r="AL20" s="96"/>
      <c r="AM20" s="96"/>
      <c r="AN20" s="96"/>
      <c r="AO20" s="96"/>
      <c r="AP20" s="96"/>
      <c r="AQ20" s="94"/>
      <c r="AR20" s="78"/>
      <c r="AS20" s="78"/>
    </row>
    <row r="21" spans="1:45" ht="14.4" x14ac:dyDescent="0.3">
      <c r="A21" s="90"/>
      <c r="B21" s="91">
        <v>46262</v>
      </c>
      <c r="C21" s="92">
        <f>Crushing!N34</f>
        <v>167.76500000000001</v>
      </c>
      <c r="D21" s="92">
        <f t="shared" si="9"/>
        <v>1856.4636000000003</v>
      </c>
      <c r="E21" s="93">
        <f>C21/I21</f>
        <v>20.927027027027027</v>
      </c>
      <c r="F21" s="137">
        <f>AVERAGE('Rom File Inventory'!T118:T126)</f>
        <v>0.6641111111111111</v>
      </c>
      <c r="G21" s="92">
        <f t="shared" si="10"/>
        <v>111.41460055555557</v>
      </c>
      <c r="H21" s="137">
        <f t="shared" si="11"/>
        <v>0.11141460055555556</v>
      </c>
      <c r="I21" s="92">
        <f>'Crushing Down Time Hours'!L16</f>
        <v>8.0166666666666675</v>
      </c>
      <c r="J21" s="92">
        <v>0</v>
      </c>
      <c r="K21" s="95">
        <f>'Crushing Down Time Hours'!M16</f>
        <v>0.66805555555555562</v>
      </c>
      <c r="L21" s="95">
        <f t="shared" si="2"/>
        <v>0</v>
      </c>
      <c r="M21" s="98">
        <f>'Milling Down Time Hours'!N7</f>
        <v>0.91666666666666663</v>
      </c>
      <c r="N21" s="112">
        <f t="shared" si="7"/>
        <v>0</v>
      </c>
      <c r="O21" s="99"/>
      <c r="P21" s="99"/>
      <c r="Q21" s="94"/>
      <c r="R21" s="94"/>
      <c r="S21" s="94"/>
      <c r="T21" s="96">
        <f t="shared" si="3"/>
        <v>0</v>
      </c>
      <c r="U21" s="97" t="e">
        <f t="shared" si="4"/>
        <v>#DIV/0!</v>
      </c>
      <c r="V21" s="94"/>
      <c r="W21" s="94"/>
      <c r="X21" s="94"/>
      <c r="Y21" s="94"/>
      <c r="Z21" s="96">
        <f>'Reagent Consumption'!O26</f>
        <v>0</v>
      </c>
      <c r="AA21" s="92">
        <f>'Fuel Consumption'!F18</f>
        <v>0</v>
      </c>
      <c r="AB21" s="96">
        <f>'Reagent Consumption'!Q26</f>
        <v>0</v>
      </c>
      <c r="AC21" s="96">
        <f>'Reagent Consumption'!P26</f>
        <v>0</v>
      </c>
      <c r="AD21" s="96">
        <f>'Reagent Consumption'!R26</f>
        <v>0</v>
      </c>
      <c r="AE21" s="96">
        <f>'Reagent Consumption'!S26</f>
        <v>0</v>
      </c>
      <c r="AF21" s="96">
        <f>'Reagent Consumption'!T26</f>
        <v>0</v>
      </c>
      <c r="AG21" s="96">
        <f>'Fuel Consumption'!F18</f>
        <v>0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4"/>
      <c r="AR21" s="78"/>
      <c r="AS21" s="78"/>
    </row>
    <row r="22" spans="1:45" ht="14.4" x14ac:dyDescent="0.3">
      <c r="A22" s="90"/>
      <c r="B22" s="91">
        <v>46263</v>
      </c>
      <c r="C22" s="92">
        <f>Crushing!N36</f>
        <v>240.43500000000003</v>
      </c>
      <c r="D22" s="92">
        <f t="shared" si="9"/>
        <v>2096.8986000000004</v>
      </c>
      <c r="E22" s="93">
        <f t="shared" si="8"/>
        <v>24.003494176372712</v>
      </c>
      <c r="F22" s="96">
        <f>AVERAGE('Rom File Inventory'!T127:T137)</f>
        <v>0.872</v>
      </c>
      <c r="G22" s="92">
        <f t="shared" si="10"/>
        <v>209.65932000000004</v>
      </c>
      <c r="H22" s="137">
        <f t="shared" si="11"/>
        <v>0.20965932000000004</v>
      </c>
      <c r="I22" s="92">
        <f>'Crushing Down Time Hours'!L17</f>
        <v>10.016666666666667</v>
      </c>
      <c r="J22" s="92">
        <v>0</v>
      </c>
      <c r="K22" s="95">
        <f>'Crushing Down Time Hours'!M17</f>
        <v>0.83472222222222225</v>
      </c>
      <c r="L22" s="95">
        <f t="shared" si="2"/>
        <v>0</v>
      </c>
      <c r="M22" s="98">
        <f>'Milling Down Time Hours'!N8</f>
        <v>0.45902777777777781</v>
      </c>
      <c r="N22" s="112">
        <f t="shared" si="7"/>
        <v>0</v>
      </c>
      <c r="O22" s="99"/>
      <c r="P22" s="99"/>
      <c r="Q22" s="94"/>
      <c r="R22" s="94"/>
      <c r="S22" s="94"/>
      <c r="T22" s="96">
        <f t="shared" si="3"/>
        <v>0</v>
      </c>
      <c r="U22" s="97" t="e">
        <f t="shared" si="4"/>
        <v>#DIV/0!</v>
      </c>
      <c r="V22" s="94"/>
      <c r="W22" s="94"/>
      <c r="X22" s="94"/>
      <c r="Y22" s="94"/>
      <c r="Z22" s="96">
        <f>'Reagent Consumption'!O27</f>
        <v>0</v>
      </c>
      <c r="AA22" s="92">
        <f>'Fuel Consumption'!F19</f>
        <v>0</v>
      </c>
      <c r="AB22" s="96">
        <f>'Reagent Consumption'!Q27</f>
        <v>0</v>
      </c>
      <c r="AC22" s="96">
        <f>'Reagent Consumption'!P27</f>
        <v>0</v>
      </c>
      <c r="AD22" s="96">
        <f>'Reagent Consumption'!R27</f>
        <v>0</v>
      </c>
      <c r="AE22" s="96">
        <f>'Reagent Consumption'!S27</f>
        <v>0</v>
      </c>
      <c r="AF22" s="96">
        <f>'Reagent Consumption'!T27</f>
        <v>0</v>
      </c>
      <c r="AG22" s="96">
        <f>'Fuel Consumption'!F19</f>
        <v>0</v>
      </c>
      <c r="AH22" s="96"/>
      <c r="AI22" s="96"/>
      <c r="AJ22" s="96"/>
      <c r="AK22" s="96"/>
      <c r="AL22" s="96"/>
      <c r="AM22" s="96"/>
      <c r="AN22" s="96"/>
      <c r="AO22" s="96"/>
      <c r="AP22" s="96"/>
      <c r="AQ22" s="94"/>
      <c r="AR22" s="78"/>
      <c r="AS22" s="78"/>
    </row>
    <row r="23" spans="1:45" ht="14.4" x14ac:dyDescent="0.3">
      <c r="A23" s="90"/>
      <c r="B23" s="91">
        <v>46264</v>
      </c>
      <c r="C23" s="92">
        <f>Crushing!N38</f>
        <v>53.820000000000007</v>
      </c>
      <c r="D23" s="92">
        <f t="shared" si="9"/>
        <v>2150.7186000000006</v>
      </c>
      <c r="E23" s="93">
        <f t="shared" si="8"/>
        <v>26.4688524590164</v>
      </c>
      <c r="F23" s="96">
        <f>AVERAGE('Rom File Inventory'!T138:T141)</f>
        <v>0.98899999999999999</v>
      </c>
      <c r="G23" s="92">
        <f t="shared" si="10"/>
        <v>53.227980000000009</v>
      </c>
      <c r="H23" s="137">
        <f t="shared" si="11"/>
        <v>5.3227980000000008E-2</v>
      </c>
      <c r="I23" s="92">
        <f>'Crushing Down Time Hours'!L18</f>
        <v>2.0333333333333332</v>
      </c>
      <c r="J23" s="92">
        <v>0</v>
      </c>
      <c r="K23" s="95">
        <f>'Crushing Down Time Hours'!M18</f>
        <v>0.16944444444444443</v>
      </c>
      <c r="L23" s="95">
        <f t="shared" si="2"/>
        <v>0</v>
      </c>
      <c r="M23" s="98">
        <f>'Milling Down Time Hours'!N9</f>
        <v>1.3888888888888889E-3</v>
      </c>
      <c r="N23" s="95">
        <f t="shared" si="7"/>
        <v>0</v>
      </c>
      <c r="O23" s="94"/>
      <c r="P23" s="94"/>
      <c r="Q23" s="94"/>
      <c r="R23" s="94"/>
      <c r="S23" s="94"/>
      <c r="T23" s="96">
        <f t="shared" si="3"/>
        <v>0</v>
      </c>
      <c r="U23" s="97" t="e">
        <f t="shared" si="4"/>
        <v>#DIV/0!</v>
      </c>
      <c r="V23" s="94"/>
      <c r="W23" s="94"/>
      <c r="X23" s="94"/>
      <c r="Y23" s="94"/>
      <c r="Z23" s="96">
        <f>'Reagent Consumption'!O28</f>
        <v>0</v>
      </c>
      <c r="AA23" s="92">
        <f>'Fuel Consumption'!F20</f>
        <v>0</v>
      </c>
      <c r="AB23" s="96">
        <f>'Reagent Consumption'!Q28</f>
        <v>0</v>
      </c>
      <c r="AC23" s="96">
        <f>'Reagent Consumption'!P28</f>
        <v>0</v>
      </c>
      <c r="AD23" s="96">
        <f>'Reagent Consumption'!R28</f>
        <v>0</v>
      </c>
      <c r="AE23" s="96">
        <f>'Reagent Consumption'!S28</f>
        <v>0</v>
      </c>
      <c r="AF23" s="96">
        <f>'Reagent Consumption'!T28</f>
        <v>0</v>
      </c>
      <c r="AG23" s="96">
        <f>'Fuel Consumption'!F20</f>
        <v>0</v>
      </c>
      <c r="AH23" s="96"/>
      <c r="AI23" s="96"/>
      <c r="AJ23" s="96"/>
      <c r="AK23" s="96"/>
      <c r="AL23" s="96"/>
      <c r="AM23" s="96"/>
      <c r="AN23" s="96"/>
      <c r="AO23" s="96"/>
      <c r="AP23" s="96"/>
      <c r="AQ23" s="94"/>
      <c r="AR23" s="78"/>
      <c r="AS23" s="78"/>
    </row>
    <row r="24" spans="1:45" ht="14.4" x14ac:dyDescent="0.3">
      <c r="A24" s="90"/>
      <c r="B24" s="91">
        <v>46265</v>
      </c>
      <c r="C24" s="92">
        <f>Crushing!N40</f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7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f>Crushing!N42</f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7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Crushing!N44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7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f>Crushing!N46</f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7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Crushing!N43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7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f>Crushing!N44</f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7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Crushing!N45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7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Crushing!N46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7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Crushing!N47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7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Crushing!N48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7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ht="14.4" x14ac:dyDescent="0.3">
      <c r="A34" s="90"/>
      <c r="B34" s="91">
        <v>46275</v>
      </c>
      <c r="C34" s="92">
        <f>Crushing!N60</f>
        <v>73.774799999999999</v>
      </c>
      <c r="D34" s="92">
        <f t="shared" si="9"/>
        <v>2224.4934000000007</v>
      </c>
      <c r="E34" s="93" t="e">
        <f t="shared" si="8"/>
        <v>#DIV/0!</v>
      </c>
      <c r="F34" s="94"/>
      <c r="G34" s="92">
        <f t="shared" si="10"/>
        <v>0</v>
      </c>
      <c r="H34" s="137">
        <f t="shared" si="11"/>
        <v>0</v>
      </c>
      <c r="I34" s="92">
        <f>'Crushing Down Time Hours'!L29</f>
        <v>0</v>
      </c>
      <c r="J34" s="92">
        <f>'Milling Down Time Hours'!M15</f>
        <v>19.783333333333335</v>
      </c>
      <c r="K34" s="95">
        <f>'Crushing Down Time Hours'!M34</f>
        <v>0</v>
      </c>
      <c r="L34" s="95">
        <f t="shared" si="2"/>
        <v>0.82430555555555562</v>
      </c>
      <c r="M34" s="95">
        <v>1</v>
      </c>
      <c r="N34" s="95">
        <f t="shared" si="7"/>
        <v>0.82430555555555562</v>
      </c>
      <c r="O34" s="94"/>
      <c r="P34" s="94"/>
      <c r="Q34" s="94"/>
      <c r="R34" s="94"/>
      <c r="S34" s="94"/>
      <c r="T34" s="96">
        <f t="shared" si="3"/>
        <v>0</v>
      </c>
      <c r="U34" s="97" t="e">
        <f t="shared" si="4"/>
        <v>#DIV/0!</v>
      </c>
      <c r="V34" s="94"/>
      <c r="W34" s="94"/>
      <c r="X34" s="94"/>
      <c r="Y34" s="94"/>
      <c r="Z34" s="96">
        <f>'Reagent Consumption'!O39</f>
        <v>0</v>
      </c>
      <c r="AA34" s="92">
        <f>'Fuel Consumption'!F31</f>
        <v>0</v>
      </c>
      <c r="AB34" s="96">
        <f>'Reagent Consumption'!Q39</f>
        <v>0</v>
      </c>
      <c r="AC34" s="96">
        <f>'Reagent Consumption'!P39</f>
        <v>0</v>
      </c>
      <c r="AD34" s="96">
        <f>'Reagent Consumption'!R39</f>
        <v>0</v>
      </c>
      <c r="AE34" s="96">
        <f>'Reagent Consumption'!S39</f>
        <v>0</v>
      </c>
      <c r="AF34" s="96">
        <f>'Reagent Consumption'!T39</f>
        <v>0</v>
      </c>
      <c r="AG34" s="96">
        <f>'Fuel Consumption'!F31</f>
        <v>0</v>
      </c>
      <c r="AH34" s="96"/>
      <c r="AI34" s="96"/>
      <c r="AJ34" s="96"/>
      <c r="AK34" s="96"/>
      <c r="AL34" s="96"/>
      <c r="AM34" s="96"/>
      <c r="AN34" s="96"/>
      <c r="AO34" s="96"/>
      <c r="AP34" s="96"/>
      <c r="AQ34" s="94"/>
      <c r="AR34" s="78"/>
      <c r="AS34" s="78"/>
    </row>
    <row r="35" spans="1:45" ht="14.4" x14ac:dyDescent="0.3">
      <c r="A35" s="90"/>
      <c r="B35" s="91">
        <v>46276</v>
      </c>
      <c r="C35" s="92">
        <f>Crushing!N50</f>
        <v>0</v>
      </c>
      <c r="D35" s="92">
        <f t="shared" si="9"/>
        <v>2224.4934000000007</v>
      </c>
      <c r="E35" s="93" t="e">
        <f t="shared" si="8"/>
        <v>#DIV/0!</v>
      </c>
      <c r="F35" s="94"/>
      <c r="G35" s="92">
        <f t="shared" si="10"/>
        <v>0</v>
      </c>
      <c r="H35" s="137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ht="14.4" x14ac:dyDescent="0.3">
      <c r="A36" s="90"/>
      <c r="B36" s="91">
        <v>46277</v>
      </c>
      <c r="C36" s="92">
        <f>Crushing!N64</f>
        <v>333.82800000000003</v>
      </c>
      <c r="D36" s="223">
        <f t="shared" si="9"/>
        <v>2558.3214000000007</v>
      </c>
      <c r="E36" s="224" t="e">
        <f t="shared" si="8"/>
        <v>#DIV/0!</v>
      </c>
      <c r="F36" s="90"/>
      <c r="G36" s="92">
        <f t="shared" si="10"/>
        <v>0</v>
      </c>
      <c r="H36" s="137">
        <f t="shared" si="11"/>
        <v>0</v>
      </c>
      <c r="I36" s="92">
        <f>'Crushing Down Time Hours'!L31</f>
        <v>0</v>
      </c>
      <c r="J36" s="92">
        <f>'Milling Down Time Hours'!M18</f>
        <v>0</v>
      </c>
      <c r="K36" s="95">
        <f>'Crushing Down Time Hours'!M36</f>
        <v>0</v>
      </c>
      <c r="L36" s="95">
        <f t="shared" si="2"/>
        <v>0</v>
      </c>
      <c r="M36" s="111">
        <v>1</v>
      </c>
      <c r="N36" s="111">
        <f t="shared" si="7"/>
        <v>0</v>
      </c>
      <c r="O36" s="90"/>
      <c r="P36" s="90"/>
      <c r="Q36" s="90"/>
      <c r="R36" s="90"/>
      <c r="S36" s="90"/>
      <c r="T36" s="142">
        <f t="shared" si="3"/>
        <v>0</v>
      </c>
      <c r="U36" s="225" t="e">
        <f t="shared" si="4"/>
        <v>#DIV/0!</v>
      </c>
      <c r="V36" s="90"/>
      <c r="W36" s="90"/>
      <c r="X36" s="90"/>
      <c r="Y36" s="90"/>
      <c r="Z36" s="142">
        <f>'Reagent Consumption'!O41</f>
        <v>0</v>
      </c>
      <c r="AA36" s="223">
        <f>'Fuel Consumption'!F33</f>
        <v>0</v>
      </c>
      <c r="AB36" s="142">
        <f>'Reagent Consumption'!Q41</f>
        <v>0</v>
      </c>
      <c r="AC36" s="142">
        <f>'Reagent Consumption'!P41</f>
        <v>0</v>
      </c>
      <c r="AD36" s="142">
        <f>'Reagent Consumption'!R41</f>
        <v>0</v>
      </c>
      <c r="AE36" s="142">
        <f>'Reagent Consumption'!S41</f>
        <v>0</v>
      </c>
      <c r="AF36" s="142">
        <f>'Reagent Consumption'!T41</f>
        <v>0</v>
      </c>
      <c r="AG36" s="142">
        <f>'Fuel Consumption'!F33</f>
        <v>0</v>
      </c>
      <c r="AH36" s="142"/>
      <c r="AI36" s="142"/>
      <c r="AJ36" s="142"/>
      <c r="AK36" s="142"/>
      <c r="AL36" s="142"/>
      <c r="AM36" s="142"/>
      <c r="AN36" s="142"/>
      <c r="AO36" s="142"/>
      <c r="AP36" s="142"/>
      <c r="AQ36" s="90"/>
      <c r="AR36" s="78"/>
      <c r="AS36" s="78"/>
    </row>
    <row r="37" spans="1:45" ht="14.4" x14ac:dyDescent="0.3">
      <c r="A37" s="78"/>
      <c r="B37" s="91">
        <v>46278</v>
      </c>
      <c r="C37" s="92">
        <f>Crushing!N66</f>
        <v>148.83750000000001</v>
      </c>
      <c r="D37" s="226">
        <f>D36+C37</f>
        <v>2707.1589000000008</v>
      </c>
      <c r="E37" s="227" t="e">
        <f>C37/I37</f>
        <v>#DIV/0!</v>
      </c>
      <c r="F37" s="99"/>
      <c r="G37" s="92">
        <f t="shared" si="10"/>
        <v>0</v>
      </c>
      <c r="H37" s="137">
        <f t="shared" si="11"/>
        <v>0</v>
      </c>
      <c r="I37" s="92">
        <f>'Crushing Down Time Hours'!L32</f>
        <v>0</v>
      </c>
      <c r="J37" s="92">
        <f>'Milling Down Time Hours'!M19</f>
        <v>12</v>
      </c>
      <c r="K37" s="95">
        <f>'Crushing Down Time Hours'!M37</f>
        <v>0</v>
      </c>
      <c r="L37" s="95">
        <f t="shared" si="2"/>
        <v>0.5</v>
      </c>
      <c r="M37" s="112">
        <v>1</v>
      </c>
      <c r="N37" s="112">
        <f t="shared" si="7"/>
        <v>0.5</v>
      </c>
      <c r="O37" s="99"/>
      <c r="P37" s="99"/>
      <c r="Q37" s="99"/>
      <c r="R37" s="99"/>
      <c r="S37" s="99"/>
      <c r="T37" s="228">
        <f t="shared" si="3"/>
        <v>0</v>
      </c>
      <c r="U37" s="229" t="e">
        <f t="shared" si="4"/>
        <v>#DIV/0!</v>
      </c>
      <c r="V37" s="99"/>
      <c r="W37" s="99"/>
      <c r="X37" s="99"/>
      <c r="Y37" s="99"/>
      <c r="Z37" s="142">
        <f>'Reagent Consumption'!O42</f>
        <v>0</v>
      </c>
      <c r="AA37" s="223">
        <f>'Fuel Consumption'!F34</f>
        <v>0</v>
      </c>
      <c r="AB37" s="142">
        <f>'Reagent Consumption'!Q42</f>
        <v>0</v>
      </c>
      <c r="AC37" s="142">
        <f>'Reagent Consumption'!P42</f>
        <v>0</v>
      </c>
      <c r="AD37" s="142">
        <f>'Reagent Consumption'!R42</f>
        <v>0</v>
      </c>
      <c r="AE37" s="142">
        <f>'Reagent Consumption'!S42</f>
        <v>0</v>
      </c>
      <c r="AF37" s="142">
        <f>'Reagent Consumption'!T42</f>
        <v>0</v>
      </c>
      <c r="AG37" s="142">
        <f>'Fuel Consumption'!F34</f>
        <v>0</v>
      </c>
      <c r="AH37" s="142"/>
      <c r="AI37" s="142"/>
      <c r="AJ37" s="142"/>
      <c r="AK37" s="142"/>
      <c r="AL37" s="142"/>
      <c r="AM37" s="142"/>
      <c r="AN37" s="142"/>
      <c r="AO37" s="142"/>
      <c r="AP37" s="228"/>
      <c r="AQ37" s="99"/>
      <c r="AR37" s="78"/>
      <c r="AS37" s="78"/>
    </row>
    <row r="38" spans="1:45" ht="14.4" x14ac:dyDescent="0.3">
      <c r="A38" s="78"/>
      <c r="B38" s="91">
        <v>46279</v>
      </c>
      <c r="C38" s="92">
        <f>Crushing!N68</f>
        <v>0</v>
      </c>
      <c r="D38" s="226">
        <f>D37+C38</f>
        <v>2707.1589000000008</v>
      </c>
      <c r="E38" s="227" t="e">
        <f t="shared" ref="E38:E49" si="12">C38/I38</f>
        <v>#DIV/0!</v>
      </c>
      <c r="F38" s="99"/>
      <c r="G38" s="92">
        <f t="shared" si="10"/>
        <v>0</v>
      </c>
      <c r="H38" s="137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2">
        <v>2</v>
      </c>
      <c r="N38" s="112">
        <f t="shared" si="7"/>
        <v>0.95763888888888893</v>
      </c>
      <c r="O38" s="99"/>
      <c r="P38" s="99"/>
      <c r="Q38" s="99"/>
      <c r="R38" s="99"/>
      <c r="S38" s="99"/>
      <c r="T38" s="228"/>
      <c r="U38" s="229"/>
      <c r="V38" s="99"/>
      <c r="W38" s="99"/>
      <c r="X38" s="99"/>
      <c r="Y38" s="99"/>
      <c r="Z38" s="142">
        <f>'Reagent Consumption'!O43</f>
        <v>0</v>
      </c>
      <c r="AA38" s="223">
        <f>'Fuel Consumption'!F35</f>
        <v>0</v>
      </c>
      <c r="AB38" s="142">
        <f>'Reagent Consumption'!Q43</f>
        <v>0</v>
      </c>
      <c r="AC38" s="142">
        <f>'Reagent Consumption'!P43</f>
        <v>0</v>
      </c>
      <c r="AD38" s="142">
        <f>'Reagent Consumption'!R43</f>
        <v>0</v>
      </c>
      <c r="AE38" s="142">
        <f>'Reagent Consumption'!S43</f>
        <v>0</v>
      </c>
      <c r="AF38" s="142">
        <f>'Reagent Consumption'!T43</f>
        <v>0</v>
      </c>
      <c r="AG38" s="142">
        <f>'Fuel Consumption'!F35</f>
        <v>0</v>
      </c>
      <c r="AH38" s="142"/>
      <c r="AI38" s="142"/>
      <c r="AJ38" s="142"/>
      <c r="AK38" s="142"/>
      <c r="AL38" s="142"/>
      <c r="AM38" s="142"/>
      <c r="AN38" s="142"/>
      <c r="AO38" s="142"/>
      <c r="AP38" s="228"/>
      <c r="AQ38" s="99"/>
      <c r="AR38" s="78"/>
      <c r="AS38" s="78"/>
    </row>
    <row r="39" spans="1:45" ht="14.4" x14ac:dyDescent="0.3">
      <c r="A39" s="78"/>
      <c r="B39" s="91">
        <v>46280</v>
      </c>
      <c r="C39" s="92">
        <f>Crushing!N54</f>
        <v>0</v>
      </c>
      <c r="D39" s="226">
        <f t="shared" ref="D39:D49" si="13">D38+C39</f>
        <v>2707.1589000000008</v>
      </c>
      <c r="E39" s="227" t="e">
        <f t="shared" si="12"/>
        <v>#DIV/0!</v>
      </c>
      <c r="F39" s="99"/>
      <c r="G39" s="92">
        <f t="shared" si="10"/>
        <v>0</v>
      </c>
      <c r="H39" s="137">
        <f t="shared" si="11"/>
        <v>0</v>
      </c>
      <c r="I39" s="92">
        <f>'Crushing Down Time Hours'!L34</f>
        <v>0</v>
      </c>
      <c r="J39" s="92">
        <f>'Milling Down Time Hours'!M21</f>
        <v>24</v>
      </c>
      <c r="K39" s="95">
        <f>'Crushing Down Time Hours'!M39</f>
        <v>0</v>
      </c>
      <c r="L39" s="95">
        <f t="shared" si="2"/>
        <v>1</v>
      </c>
      <c r="M39" s="112">
        <v>3</v>
      </c>
      <c r="N39" s="112">
        <f t="shared" si="7"/>
        <v>0</v>
      </c>
      <c r="O39" s="99"/>
      <c r="P39" s="99"/>
      <c r="Q39" s="99"/>
      <c r="R39" s="99"/>
      <c r="S39" s="99"/>
      <c r="T39" s="228"/>
      <c r="U39" s="229"/>
      <c r="V39" s="99"/>
      <c r="W39" s="99"/>
      <c r="X39" s="99"/>
      <c r="Y39" s="99"/>
      <c r="Z39" s="142">
        <f>'Reagent Consumption'!O44</f>
        <v>0</v>
      </c>
      <c r="AA39" s="223">
        <f>'Fuel Consumption'!F36</f>
        <v>0</v>
      </c>
      <c r="AB39" s="142">
        <f>'Reagent Consumption'!Q44</f>
        <v>0</v>
      </c>
      <c r="AC39" s="142">
        <f>'Reagent Consumption'!P44</f>
        <v>0</v>
      </c>
      <c r="AD39" s="142">
        <f>'Reagent Consumption'!R44</f>
        <v>0</v>
      </c>
      <c r="AE39" s="142">
        <f>'Reagent Consumption'!S44</f>
        <v>0</v>
      </c>
      <c r="AF39" s="142">
        <f>'Reagent Consumption'!T44</f>
        <v>0</v>
      </c>
      <c r="AG39" s="142">
        <f>'Fuel Consumption'!F36</f>
        <v>0</v>
      </c>
      <c r="AH39" s="142"/>
      <c r="AI39" s="142"/>
      <c r="AJ39" s="142"/>
      <c r="AK39" s="142"/>
      <c r="AL39" s="142"/>
      <c r="AM39" s="142"/>
      <c r="AN39" s="142"/>
      <c r="AO39" s="142"/>
      <c r="AP39" s="228"/>
      <c r="AQ39" s="99"/>
      <c r="AR39" s="78"/>
      <c r="AS39" s="78"/>
    </row>
    <row r="40" spans="1:45" ht="14.4" x14ac:dyDescent="0.3">
      <c r="A40" s="78"/>
      <c r="B40" s="91">
        <v>46281</v>
      </c>
      <c r="C40" s="92">
        <f>Crushing!N55</f>
        <v>0</v>
      </c>
      <c r="D40" s="226">
        <f t="shared" si="13"/>
        <v>2707.1589000000008</v>
      </c>
      <c r="E40" s="227" t="e">
        <f t="shared" si="12"/>
        <v>#DIV/0!</v>
      </c>
      <c r="F40" s="99"/>
      <c r="G40" s="92">
        <f t="shared" si="10"/>
        <v>0</v>
      </c>
      <c r="H40" s="137">
        <f t="shared" si="11"/>
        <v>0</v>
      </c>
      <c r="I40" s="92">
        <f>'Crushing Down Time Hours'!L35</f>
        <v>0</v>
      </c>
      <c r="J40" s="92">
        <f>'Milling Down Time Hours'!M22</f>
        <v>24</v>
      </c>
      <c r="K40" s="95">
        <f>'Crushing Down Time Hours'!M40</f>
        <v>0</v>
      </c>
      <c r="L40" s="95">
        <f t="shared" si="2"/>
        <v>1</v>
      </c>
      <c r="M40" s="112">
        <v>4</v>
      </c>
      <c r="N40" s="112">
        <f t="shared" si="7"/>
        <v>0</v>
      </c>
      <c r="O40" s="99"/>
      <c r="P40" s="99"/>
      <c r="Q40" s="99"/>
      <c r="R40" s="99"/>
      <c r="S40" s="99"/>
      <c r="T40" s="228"/>
      <c r="U40" s="229"/>
      <c r="V40" s="99"/>
      <c r="W40" s="99"/>
      <c r="X40" s="99"/>
      <c r="Y40" s="99"/>
      <c r="Z40" s="142">
        <f>'Reagent Consumption'!O45</f>
        <v>0</v>
      </c>
      <c r="AA40" s="223">
        <f>'Fuel Consumption'!F37</f>
        <v>0</v>
      </c>
      <c r="AB40" s="142">
        <f>'Reagent Consumption'!Q45</f>
        <v>0</v>
      </c>
      <c r="AC40" s="142">
        <f>'Reagent Consumption'!P45</f>
        <v>0</v>
      </c>
      <c r="AD40" s="142">
        <f>'Reagent Consumption'!R45</f>
        <v>0</v>
      </c>
      <c r="AE40" s="142">
        <f>'Reagent Consumption'!S45</f>
        <v>0</v>
      </c>
      <c r="AF40" s="142">
        <f>'Reagent Consumption'!T45</f>
        <v>0</v>
      </c>
      <c r="AG40" s="142">
        <f>'Fuel Consumption'!F37</f>
        <v>0</v>
      </c>
      <c r="AH40" s="142"/>
      <c r="AI40" s="142"/>
      <c r="AJ40" s="142"/>
      <c r="AK40" s="142"/>
      <c r="AL40" s="142"/>
      <c r="AM40" s="142"/>
      <c r="AN40" s="142"/>
      <c r="AO40" s="142"/>
      <c r="AP40" s="228"/>
      <c r="AQ40" s="99"/>
      <c r="AR40" s="78"/>
      <c r="AS40" s="78"/>
    </row>
    <row r="41" spans="1:45" ht="14.4" x14ac:dyDescent="0.3">
      <c r="A41" s="78"/>
      <c r="B41" s="91">
        <v>46282</v>
      </c>
      <c r="C41" s="92">
        <f>Crushing!N56</f>
        <v>0</v>
      </c>
      <c r="D41" s="226">
        <f t="shared" si="13"/>
        <v>2707.1589000000008</v>
      </c>
      <c r="E41" s="227" t="e">
        <f t="shared" si="12"/>
        <v>#DIV/0!</v>
      </c>
      <c r="F41" s="99"/>
      <c r="G41" s="92">
        <f t="shared" si="10"/>
        <v>0</v>
      </c>
      <c r="H41" s="137">
        <f t="shared" si="11"/>
        <v>0</v>
      </c>
      <c r="I41" s="92">
        <f>'Crushing Down Time Hours'!L36</f>
        <v>0</v>
      </c>
      <c r="J41" s="92">
        <f>'Milling Down Time Hours'!M23</f>
        <v>24</v>
      </c>
      <c r="K41" s="95">
        <f>'Crushing Down Time Hours'!M41</f>
        <v>0</v>
      </c>
      <c r="L41" s="95">
        <f t="shared" si="2"/>
        <v>1</v>
      </c>
      <c r="M41" s="112">
        <v>5</v>
      </c>
      <c r="N41" s="112">
        <f t="shared" si="7"/>
        <v>0</v>
      </c>
      <c r="O41" s="99"/>
      <c r="P41" s="99"/>
      <c r="Q41" s="99"/>
      <c r="R41" s="99"/>
      <c r="S41" s="99"/>
      <c r="T41" s="228"/>
      <c r="U41" s="229"/>
      <c r="V41" s="99"/>
      <c r="W41" s="99"/>
      <c r="X41" s="99"/>
      <c r="Y41" s="99"/>
      <c r="Z41" s="142">
        <f>'Reagent Consumption'!O46</f>
        <v>0</v>
      </c>
      <c r="AA41" s="223">
        <f>'Fuel Consumption'!F38</f>
        <v>0</v>
      </c>
      <c r="AB41" s="142">
        <f>'Reagent Consumption'!Q46</f>
        <v>0</v>
      </c>
      <c r="AC41" s="142">
        <f>'Reagent Consumption'!P46</f>
        <v>0</v>
      </c>
      <c r="AD41" s="142">
        <f>'Reagent Consumption'!R46</f>
        <v>0</v>
      </c>
      <c r="AE41" s="142">
        <f>'Reagent Consumption'!S46</f>
        <v>0</v>
      </c>
      <c r="AF41" s="142">
        <f>'Reagent Consumption'!T46</f>
        <v>0</v>
      </c>
      <c r="AG41" s="142">
        <f>'Fuel Consumption'!F38</f>
        <v>0</v>
      </c>
      <c r="AH41" s="142"/>
      <c r="AI41" s="142"/>
      <c r="AJ41" s="142"/>
      <c r="AK41" s="142"/>
      <c r="AL41" s="142"/>
      <c r="AM41" s="142"/>
      <c r="AN41" s="142"/>
      <c r="AO41" s="142"/>
      <c r="AP41" s="228"/>
      <c r="AQ41" s="99"/>
      <c r="AR41" s="78"/>
      <c r="AS41" s="78"/>
    </row>
    <row r="42" spans="1:45" ht="14.4" x14ac:dyDescent="0.3">
      <c r="A42" s="78"/>
      <c r="B42" s="91">
        <v>46283</v>
      </c>
      <c r="C42" s="92">
        <f>Crushing!N57</f>
        <v>0</v>
      </c>
      <c r="D42" s="226">
        <f t="shared" si="13"/>
        <v>2707.1589000000008</v>
      </c>
      <c r="E42" s="227" t="e">
        <f>C42/I42</f>
        <v>#DIV/0!</v>
      </c>
      <c r="F42" s="99"/>
      <c r="G42" s="92">
        <f t="shared" si="10"/>
        <v>0</v>
      </c>
      <c r="H42" s="137">
        <f t="shared" si="11"/>
        <v>0</v>
      </c>
      <c r="I42" s="92">
        <f>'Crushing Down Time Hours'!L37</f>
        <v>0</v>
      </c>
      <c r="J42" s="92">
        <f>'Milling Down Time Hours'!M24</f>
        <v>12</v>
      </c>
      <c r="K42" s="95">
        <f>'Crushing Down Time Hours'!M42</f>
        <v>0</v>
      </c>
      <c r="L42" s="95">
        <f t="shared" si="2"/>
        <v>0.5</v>
      </c>
      <c r="M42" s="112">
        <v>6</v>
      </c>
      <c r="N42" s="112">
        <f t="shared" si="7"/>
        <v>0.5</v>
      </c>
      <c r="O42" s="99"/>
      <c r="P42" s="99"/>
      <c r="Q42" s="99"/>
      <c r="R42" s="99"/>
      <c r="S42" s="99"/>
      <c r="T42" s="228"/>
      <c r="U42" s="229"/>
      <c r="V42" s="99"/>
      <c r="W42" s="99"/>
      <c r="X42" s="99"/>
      <c r="Y42" s="99"/>
      <c r="Z42" s="142">
        <f>'Reagent Consumption'!O47</f>
        <v>0</v>
      </c>
      <c r="AA42" s="223">
        <f>'Fuel Consumption'!F39</f>
        <v>0</v>
      </c>
      <c r="AB42" s="142">
        <f>'Reagent Consumption'!Q47</f>
        <v>0</v>
      </c>
      <c r="AC42" s="142">
        <f>'Reagent Consumption'!P47</f>
        <v>0</v>
      </c>
      <c r="AD42" s="142">
        <f>'Reagent Consumption'!R47</f>
        <v>0</v>
      </c>
      <c r="AE42" s="142">
        <f>'Reagent Consumption'!S47</f>
        <v>0</v>
      </c>
      <c r="AF42" s="142">
        <f>'Reagent Consumption'!T47</f>
        <v>0</v>
      </c>
      <c r="AG42" s="142">
        <f>'Fuel Consumption'!F39</f>
        <v>0</v>
      </c>
      <c r="AH42" s="142"/>
      <c r="AI42" s="142"/>
      <c r="AJ42" s="142"/>
      <c r="AK42" s="142"/>
      <c r="AL42" s="142"/>
      <c r="AM42" s="142"/>
      <c r="AN42" s="142"/>
      <c r="AO42" s="142"/>
      <c r="AP42" s="228"/>
      <c r="AQ42" s="99"/>
      <c r="AR42" s="78"/>
      <c r="AS42" s="78"/>
    </row>
    <row r="43" spans="1:45" ht="14.4" x14ac:dyDescent="0.3">
      <c r="A43" s="78"/>
      <c r="B43" s="91">
        <v>46284</v>
      </c>
      <c r="C43" s="92">
        <f>Crushing!N58</f>
        <v>0</v>
      </c>
      <c r="D43" s="226">
        <f t="shared" si="13"/>
        <v>2707.1589000000008</v>
      </c>
      <c r="E43" s="227" t="e">
        <f t="shared" si="12"/>
        <v>#DIV/0!</v>
      </c>
      <c r="F43" s="99"/>
      <c r="G43" s="92">
        <f t="shared" si="10"/>
        <v>0</v>
      </c>
      <c r="H43" s="137">
        <f t="shared" si="11"/>
        <v>0</v>
      </c>
      <c r="I43" s="92">
        <f>'Crushing Down Time Hours'!L38</f>
        <v>0</v>
      </c>
      <c r="J43" s="92">
        <f>'Milling Down Time Hours'!M25</f>
        <v>12</v>
      </c>
      <c r="K43" s="95">
        <f>'Crushing Down Time Hours'!M43</f>
        <v>0.49962121212121213</v>
      </c>
      <c r="L43" s="95">
        <f t="shared" si="2"/>
        <v>0.5</v>
      </c>
      <c r="M43" s="112">
        <v>7</v>
      </c>
      <c r="N43" s="112">
        <f t="shared" si="7"/>
        <v>0.5</v>
      </c>
      <c r="O43" s="99"/>
      <c r="P43" s="99"/>
      <c r="Q43" s="99"/>
      <c r="R43" s="99"/>
      <c r="S43" s="99"/>
      <c r="T43" s="228"/>
      <c r="U43" s="229"/>
      <c r="V43" s="99"/>
      <c r="W43" s="99"/>
      <c r="X43" s="99"/>
      <c r="Y43" s="99"/>
      <c r="Z43" s="142">
        <f>'Reagent Consumption'!O48</f>
        <v>0</v>
      </c>
      <c r="AA43" s="223">
        <f>'Fuel Consumption'!F40</f>
        <v>0</v>
      </c>
      <c r="AB43" s="142">
        <f>'Reagent Consumption'!Q48</f>
        <v>0</v>
      </c>
      <c r="AC43" s="142">
        <f>'Reagent Consumption'!P48</f>
        <v>0</v>
      </c>
      <c r="AD43" s="142">
        <f>'Reagent Consumption'!R48</f>
        <v>0</v>
      </c>
      <c r="AE43" s="142">
        <f>'Reagent Consumption'!S48</f>
        <v>0</v>
      </c>
      <c r="AF43" s="142">
        <f>'Reagent Consumption'!T48</f>
        <v>0</v>
      </c>
      <c r="AG43" s="142">
        <f>'Fuel Consumption'!F40</f>
        <v>0</v>
      </c>
      <c r="AH43" s="142"/>
      <c r="AI43" s="142"/>
      <c r="AJ43" s="142"/>
      <c r="AK43" s="142"/>
      <c r="AL43" s="142"/>
      <c r="AM43" s="142"/>
      <c r="AN43" s="142"/>
      <c r="AO43" s="142"/>
      <c r="AP43" s="228"/>
      <c r="AQ43" s="99"/>
      <c r="AR43" s="78"/>
      <c r="AS43" s="78"/>
    </row>
    <row r="44" spans="1:45" ht="14.4" x14ac:dyDescent="0.3">
      <c r="A44" s="78"/>
      <c r="B44" s="91">
        <v>46285</v>
      </c>
      <c r="C44" s="92">
        <f>Crushing!N59</f>
        <v>0</v>
      </c>
      <c r="D44" s="226">
        <f t="shared" si="13"/>
        <v>2707.1589000000008</v>
      </c>
      <c r="E44" s="227" t="e">
        <f t="shared" si="12"/>
        <v>#DIV/0!</v>
      </c>
      <c r="F44" s="99"/>
      <c r="G44" s="92">
        <f t="shared" si="10"/>
        <v>0</v>
      </c>
      <c r="H44" s="137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2">
        <v>8</v>
      </c>
      <c r="N44" s="112">
        <f t="shared" si="7"/>
        <v>0</v>
      </c>
      <c r="O44" s="99"/>
      <c r="P44" s="99"/>
      <c r="Q44" s="99"/>
      <c r="R44" s="99"/>
      <c r="S44" s="99"/>
      <c r="T44" s="228"/>
      <c r="U44" s="229"/>
      <c r="V44" s="99"/>
      <c r="W44" s="99"/>
      <c r="X44" s="99"/>
      <c r="Y44" s="99"/>
      <c r="Z44" s="142">
        <f>'Reagent Consumption'!O49</f>
        <v>0</v>
      </c>
      <c r="AA44" s="223">
        <f>'Fuel Consumption'!F41</f>
        <v>0</v>
      </c>
      <c r="AB44" s="142">
        <f>'Reagent Consumption'!Q49</f>
        <v>0</v>
      </c>
      <c r="AC44" s="142">
        <f>'Reagent Consumption'!P49</f>
        <v>0</v>
      </c>
      <c r="AD44" s="142">
        <f>'Reagent Consumption'!R49</f>
        <v>0</v>
      </c>
      <c r="AE44" s="142">
        <f>'Reagent Consumption'!S49</f>
        <v>0</v>
      </c>
      <c r="AF44" s="142">
        <f>'Reagent Consumption'!T49</f>
        <v>0</v>
      </c>
      <c r="AG44" s="142">
        <f>'Fuel Consumption'!F41</f>
        <v>0</v>
      </c>
      <c r="AH44" s="142"/>
      <c r="AI44" s="142"/>
      <c r="AJ44" s="142"/>
      <c r="AK44" s="142"/>
      <c r="AL44" s="142"/>
      <c r="AM44" s="142"/>
      <c r="AN44" s="142"/>
      <c r="AO44" s="142"/>
      <c r="AP44" s="228"/>
      <c r="AQ44" s="99"/>
      <c r="AR44" s="78"/>
      <c r="AS44" s="78"/>
    </row>
    <row r="45" spans="1:45" ht="14.4" x14ac:dyDescent="0.3">
      <c r="A45" s="78"/>
      <c r="B45" s="91">
        <v>46286</v>
      </c>
      <c r="C45" s="92"/>
      <c r="D45" s="226">
        <f t="shared" si="13"/>
        <v>2707.1589000000008</v>
      </c>
      <c r="E45" s="227" t="e">
        <f t="shared" si="12"/>
        <v>#DIV/0!</v>
      </c>
      <c r="F45" s="99"/>
      <c r="G45" s="92">
        <f t="shared" si="10"/>
        <v>0</v>
      </c>
      <c r="H45" s="137">
        <f t="shared" si="11"/>
        <v>0</v>
      </c>
      <c r="I45" s="92">
        <f>'Crushing Down Time Hours'!L40</f>
        <v>0</v>
      </c>
      <c r="J45" s="226"/>
      <c r="K45" s="95">
        <f>'Crushing Down Time Hours'!M45</f>
        <v>0</v>
      </c>
      <c r="L45" s="95">
        <f t="shared" si="2"/>
        <v>0</v>
      </c>
      <c r="M45" s="112">
        <v>9</v>
      </c>
      <c r="N45" s="112">
        <f t="shared" si="7"/>
        <v>0</v>
      </c>
      <c r="O45" s="99"/>
      <c r="P45" s="99"/>
      <c r="Q45" s="99"/>
      <c r="R45" s="99"/>
      <c r="S45" s="99"/>
      <c r="T45" s="228"/>
      <c r="U45" s="229"/>
      <c r="V45" s="99"/>
      <c r="W45" s="99"/>
      <c r="X45" s="99"/>
      <c r="Y45" s="99"/>
      <c r="Z45" s="142">
        <f>'Reagent Consumption'!O50</f>
        <v>0</v>
      </c>
      <c r="AA45" s="223">
        <f>'Fuel Consumption'!F42</f>
        <v>0</v>
      </c>
      <c r="AB45" s="142">
        <f>'Reagent Consumption'!Q50</f>
        <v>0</v>
      </c>
      <c r="AC45" s="142">
        <f>'Reagent Consumption'!P50</f>
        <v>0</v>
      </c>
      <c r="AD45" s="142">
        <f>'Reagent Consumption'!R50</f>
        <v>0</v>
      </c>
      <c r="AE45" s="142">
        <f>'Reagent Consumption'!S50</f>
        <v>0</v>
      </c>
      <c r="AF45" s="142">
        <f>'Reagent Consumption'!T50</f>
        <v>0</v>
      </c>
      <c r="AG45" s="142">
        <f>'Fuel Consumption'!F42</f>
        <v>0</v>
      </c>
      <c r="AH45" s="142"/>
      <c r="AI45" s="142"/>
      <c r="AJ45" s="142"/>
      <c r="AK45" s="142"/>
      <c r="AL45" s="142"/>
      <c r="AM45" s="142"/>
      <c r="AN45" s="142"/>
      <c r="AO45" s="142"/>
      <c r="AP45" s="228"/>
      <c r="AQ45" s="99"/>
      <c r="AR45" s="78"/>
      <c r="AS45" s="78"/>
    </row>
    <row r="46" spans="1:45" ht="14.4" x14ac:dyDescent="0.3">
      <c r="A46" s="78"/>
      <c r="B46" s="91">
        <v>46287</v>
      </c>
      <c r="C46" s="92">
        <f>Crushing!N61</f>
        <v>0</v>
      </c>
      <c r="D46" s="226">
        <f t="shared" si="13"/>
        <v>2707.1589000000008</v>
      </c>
      <c r="E46" s="227" t="e">
        <f t="shared" si="12"/>
        <v>#DIV/0!</v>
      </c>
      <c r="F46" s="99"/>
      <c r="G46" s="92">
        <f t="shared" si="10"/>
        <v>0</v>
      </c>
      <c r="H46" s="137">
        <f t="shared" si="11"/>
        <v>0</v>
      </c>
      <c r="I46" s="92">
        <f>'Crushing Down Time Hours'!L41</f>
        <v>0</v>
      </c>
      <c r="J46" s="226"/>
      <c r="K46" s="112"/>
      <c r="L46" s="112"/>
      <c r="M46" s="112"/>
      <c r="N46" s="112"/>
      <c r="O46" s="99"/>
      <c r="P46" s="99"/>
      <c r="Q46" s="99"/>
      <c r="R46" s="99"/>
      <c r="S46" s="99"/>
      <c r="T46" s="228"/>
      <c r="U46" s="229"/>
      <c r="V46" s="99"/>
      <c r="W46" s="99"/>
      <c r="X46" s="99"/>
      <c r="Y46" s="99"/>
      <c r="Z46" s="142">
        <f>'Reagent Consumption'!O51</f>
        <v>0</v>
      </c>
      <c r="AA46" s="223">
        <f>'Fuel Consumption'!F43</f>
        <v>0</v>
      </c>
      <c r="AB46" s="142">
        <f>'Reagent Consumption'!Q51</f>
        <v>0</v>
      </c>
      <c r="AC46" s="142">
        <f>'Reagent Consumption'!P51</f>
        <v>0</v>
      </c>
      <c r="AD46" s="142">
        <f>'Reagent Consumption'!R51</f>
        <v>0</v>
      </c>
      <c r="AE46" s="142">
        <f>'Reagent Consumption'!S51</f>
        <v>0</v>
      </c>
      <c r="AF46" s="142">
        <f>'Reagent Consumption'!T51</f>
        <v>0</v>
      </c>
      <c r="AG46" s="142">
        <f>'Fuel Consumption'!F43</f>
        <v>0</v>
      </c>
      <c r="AH46" s="142"/>
      <c r="AI46" s="142"/>
      <c r="AJ46" s="142"/>
      <c r="AK46" s="142"/>
      <c r="AL46" s="142"/>
      <c r="AM46" s="142"/>
      <c r="AN46" s="142"/>
      <c r="AO46" s="142"/>
      <c r="AP46" s="228"/>
      <c r="AQ46" s="99"/>
      <c r="AR46" s="78"/>
      <c r="AS46" s="78"/>
    </row>
    <row r="47" spans="1:45" ht="14.4" x14ac:dyDescent="0.3">
      <c r="A47" s="78"/>
      <c r="B47" s="91">
        <v>46288</v>
      </c>
      <c r="C47" s="92">
        <f>Crushing!N62</f>
        <v>0</v>
      </c>
      <c r="D47" s="226">
        <f t="shared" si="13"/>
        <v>2707.1589000000008</v>
      </c>
      <c r="E47" s="227" t="e">
        <f t="shared" si="12"/>
        <v>#DIV/0!</v>
      </c>
      <c r="F47" s="99"/>
      <c r="G47" s="92">
        <f t="shared" si="10"/>
        <v>0</v>
      </c>
      <c r="H47" s="137">
        <f t="shared" si="11"/>
        <v>0</v>
      </c>
      <c r="I47" s="92">
        <f>'Crushing Down Time Hours'!L42</f>
        <v>0</v>
      </c>
      <c r="J47" s="226"/>
      <c r="K47" s="112"/>
      <c r="L47" s="112"/>
      <c r="M47" s="112"/>
      <c r="N47" s="112"/>
      <c r="O47" s="99"/>
      <c r="P47" s="99"/>
      <c r="Q47" s="99"/>
      <c r="R47" s="99"/>
      <c r="S47" s="99"/>
      <c r="T47" s="228"/>
      <c r="U47" s="229"/>
      <c r="V47" s="99"/>
      <c r="W47" s="99"/>
      <c r="X47" s="99"/>
      <c r="Y47" s="99"/>
      <c r="Z47" s="142">
        <f>'Reagent Consumption'!O52</f>
        <v>0</v>
      </c>
      <c r="AA47" s="223">
        <f>'Fuel Consumption'!F44</f>
        <v>0</v>
      </c>
      <c r="AB47" s="142">
        <f>'Reagent Consumption'!Q52</f>
        <v>0</v>
      </c>
      <c r="AC47" s="142">
        <f>'Reagent Consumption'!P52</f>
        <v>0</v>
      </c>
      <c r="AD47" s="142">
        <f>'Reagent Consumption'!R52</f>
        <v>0</v>
      </c>
      <c r="AE47" s="142">
        <f>'Reagent Consumption'!S52</f>
        <v>0</v>
      </c>
      <c r="AF47" s="142">
        <f>'Reagent Consumption'!T52</f>
        <v>0</v>
      </c>
      <c r="AG47" s="142">
        <f>'Fuel Consumption'!F44</f>
        <v>0</v>
      </c>
      <c r="AH47" s="142"/>
      <c r="AI47" s="142"/>
      <c r="AJ47" s="142"/>
      <c r="AK47" s="142"/>
      <c r="AL47" s="142"/>
      <c r="AM47" s="142"/>
      <c r="AN47" s="142"/>
      <c r="AO47" s="142"/>
      <c r="AP47" s="228"/>
      <c r="AQ47" s="99"/>
      <c r="AR47" s="78"/>
      <c r="AS47" s="78"/>
    </row>
    <row r="48" spans="1:45" ht="14.4" x14ac:dyDescent="0.3">
      <c r="A48" s="78"/>
      <c r="B48" s="91">
        <v>46289</v>
      </c>
      <c r="C48" s="92">
        <f>Crushing!N63</f>
        <v>0</v>
      </c>
      <c r="D48" s="226">
        <f t="shared" si="13"/>
        <v>2707.1589000000008</v>
      </c>
      <c r="E48" s="227">
        <f t="shared" si="12"/>
        <v>0</v>
      </c>
      <c r="F48" s="99"/>
      <c r="G48" s="92">
        <f t="shared" si="10"/>
        <v>0</v>
      </c>
      <c r="H48" s="137">
        <f t="shared" si="11"/>
        <v>0</v>
      </c>
      <c r="I48" s="92">
        <f>'Crushing Down Time Hours'!L43</f>
        <v>65.95</v>
      </c>
      <c r="J48" s="226"/>
      <c r="K48" s="112"/>
      <c r="L48" s="112"/>
      <c r="M48" s="112"/>
      <c r="N48" s="112"/>
      <c r="O48" s="99"/>
      <c r="P48" s="99"/>
      <c r="Q48" s="99"/>
      <c r="R48" s="99"/>
      <c r="S48" s="99"/>
      <c r="T48" s="228"/>
      <c r="U48" s="229"/>
      <c r="V48" s="99"/>
      <c r="W48" s="99"/>
      <c r="X48" s="99"/>
      <c r="Y48" s="99"/>
      <c r="Z48" s="142">
        <f>'Reagent Consumption'!O53</f>
        <v>0</v>
      </c>
      <c r="AA48" s="223">
        <f>'Fuel Consumption'!F45</f>
        <v>0</v>
      </c>
      <c r="AB48" s="142">
        <f>'Reagent Consumption'!Q53</f>
        <v>0</v>
      </c>
      <c r="AC48" s="142">
        <f>'Reagent Consumption'!P53</f>
        <v>0</v>
      </c>
      <c r="AD48" s="142">
        <f>'Reagent Consumption'!R53</f>
        <v>0</v>
      </c>
      <c r="AE48" s="142">
        <f>'Reagent Consumption'!S53</f>
        <v>0</v>
      </c>
      <c r="AF48" s="142">
        <f>'Reagent Consumption'!T53</f>
        <v>0</v>
      </c>
      <c r="AG48" s="142">
        <f>'Fuel Consumption'!F45</f>
        <v>0</v>
      </c>
      <c r="AH48" s="142"/>
      <c r="AI48" s="142"/>
      <c r="AJ48" s="142"/>
      <c r="AK48" s="142"/>
      <c r="AL48" s="142"/>
      <c r="AM48" s="142"/>
      <c r="AN48" s="142"/>
      <c r="AO48" s="142"/>
      <c r="AP48" s="228"/>
      <c r="AQ48" s="99"/>
      <c r="AR48" s="78"/>
      <c r="AS48" s="78"/>
    </row>
    <row r="49" spans="1:45" ht="14.4" x14ac:dyDescent="0.3">
      <c r="A49" s="78"/>
      <c r="B49" s="430">
        <v>46290</v>
      </c>
      <c r="C49" s="92"/>
      <c r="D49" s="431">
        <f t="shared" si="13"/>
        <v>2707.1589000000008</v>
      </c>
      <c r="E49" s="432">
        <f t="shared" si="12"/>
        <v>0</v>
      </c>
      <c r="F49" s="433"/>
      <c r="G49" s="223">
        <f t="shared" si="10"/>
        <v>0</v>
      </c>
      <c r="H49" s="137">
        <f t="shared" si="11"/>
        <v>0</v>
      </c>
      <c r="I49" s="92">
        <f>'Crushing Down Time Hours'!L44</f>
        <v>0.61064814814814816</v>
      </c>
      <c r="J49" s="431"/>
      <c r="K49" s="434"/>
      <c r="L49" s="434"/>
      <c r="M49" s="434"/>
      <c r="N49" s="434"/>
      <c r="O49" s="433"/>
      <c r="P49" s="433"/>
      <c r="Q49" s="433"/>
      <c r="R49" s="433"/>
      <c r="S49" s="433"/>
      <c r="T49" s="435"/>
      <c r="U49" s="436"/>
      <c r="V49" s="433"/>
      <c r="W49" s="433"/>
      <c r="X49" s="433"/>
      <c r="Y49" s="433"/>
      <c r="Z49" s="142">
        <f>'Reagent Consumption'!O54</f>
        <v>0</v>
      </c>
      <c r="AA49" s="223">
        <f>'Fuel Consumption'!F46</f>
        <v>0</v>
      </c>
      <c r="AB49" s="142">
        <f>'Reagent Consumption'!Q54</f>
        <v>0</v>
      </c>
      <c r="AC49" s="142">
        <f>'Reagent Consumption'!P54</f>
        <v>0</v>
      </c>
      <c r="AD49" s="142">
        <f>'Reagent Consumption'!R54</f>
        <v>0</v>
      </c>
      <c r="AE49" s="142">
        <f>'Reagent Consumption'!S54</f>
        <v>0</v>
      </c>
      <c r="AF49" s="142">
        <f>'Reagent Consumption'!T54</f>
        <v>0</v>
      </c>
      <c r="AG49" s="142">
        <f>'Fuel Consumption'!F46</f>
        <v>0</v>
      </c>
      <c r="AH49" s="142"/>
      <c r="AI49" s="142"/>
      <c r="AJ49" s="142"/>
      <c r="AK49" s="142"/>
      <c r="AL49" s="142"/>
      <c r="AM49" s="142"/>
      <c r="AN49" s="142"/>
      <c r="AO49" s="142"/>
      <c r="AP49" s="435"/>
      <c r="AQ49" s="433"/>
      <c r="AR49" s="78"/>
      <c r="AS49" s="78"/>
    </row>
    <row r="50" spans="1:45" ht="14.4" x14ac:dyDescent="0.3">
      <c r="A50" s="78"/>
      <c r="B50" s="437" t="s">
        <v>18</v>
      </c>
      <c r="C50" s="441">
        <f>SUM(C7:C49)</f>
        <v>2707.1589000000008</v>
      </c>
      <c r="D50" s="442"/>
      <c r="E50" s="442"/>
      <c r="F50" s="442"/>
      <c r="G50" s="441">
        <f>SUM(G7:G49)</f>
        <v>1779.4291540412698</v>
      </c>
      <c r="H50" s="443">
        <f>SUM(H7:H37)</f>
        <v>1.7794291540412701</v>
      </c>
      <c r="I50" s="448">
        <f>'Crushing Down Time Hours'!L45</f>
        <v>0</v>
      </c>
      <c r="J50" s="441"/>
      <c r="K50" s="444"/>
      <c r="L50" s="439"/>
      <c r="M50" s="439"/>
      <c r="N50" s="444"/>
      <c r="O50" s="439">
        <f t="shared" ref="O50:Y50" si="14">SUM(O7:O36)</f>
        <v>0</v>
      </c>
      <c r="P50" s="439">
        <f>SUM(P7:P36)</f>
        <v>0</v>
      </c>
      <c r="Q50" s="439">
        <f t="shared" si="14"/>
        <v>0</v>
      </c>
      <c r="R50" s="439"/>
      <c r="S50" s="439"/>
      <c r="T50" s="445">
        <f t="shared" ref="T50" si="15">R50-S50</f>
        <v>0</v>
      </c>
      <c r="U50" s="438"/>
      <c r="V50" s="439">
        <f t="shared" si="14"/>
        <v>0</v>
      </c>
      <c r="W50" s="439">
        <f t="shared" si="14"/>
        <v>0</v>
      </c>
      <c r="X50" s="439">
        <f t="shared" si="14"/>
        <v>0</v>
      </c>
      <c r="Y50" s="439">
        <f t="shared" si="14"/>
        <v>0</v>
      </c>
      <c r="Z50" s="439">
        <f>SUM(Z7:Z49)</f>
        <v>1625</v>
      </c>
      <c r="AA50" s="439"/>
      <c r="AB50" s="440">
        <f>SUM(AB7:AB49)</f>
        <v>2500</v>
      </c>
      <c r="AC50" s="440">
        <f>SUM(AC7:AC49)</f>
        <v>3500</v>
      </c>
      <c r="AD50" s="440"/>
      <c r="AE50" s="440"/>
      <c r="AF50" s="439">
        <f>SUM(AF7:AF49)</f>
        <v>75</v>
      </c>
      <c r="AG50" s="439">
        <f>SUM(AG7:AG37)</f>
        <v>0</v>
      </c>
      <c r="AH50" s="439"/>
      <c r="AI50" s="439"/>
      <c r="AJ50" s="439"/>
      <c r="AK50" s="439"/>
      <c r="AL50" s="439"/>
      <c r="AM50" s="439"/>
      <c r="AN50" s="440"/>
      <c r="AO50" s="439"/>
      <c r="AP50" s="439"/>
      <c r="AQ50" s="439"/>
      <c r="AR50" s="78"/>
      <c r="AS50" s="78"/>
    </row>
    <row r="51" spans="1:45" ht="14.4" x14ac:dyDescent="0.3">
      <c r="A51" s="78"/>
      <c r="B51" s="446" t="s">
        <v>122</v>
      </c>
      <c r="C51" s="441">
        <f>AVERAGE(C7:C15)</f>
        <v>155.54116666666667</v>
      </c>
      <c r="D51" s="441"/>
      <c r="E51" s="441" t="e">
        <f>AVERAGE(E7:E15)</f>
        <v>#DIV/0!</v>
      </c>
      <c r="F51" s="443">
        <f>AVERAGE(F7:F49)</f>
        <v>0.93252380952380953</v>
      </c>
      <c r="G51" s="441">
        <f>AVERAGE(G7:G37)</f>
        <v>57.400940452944191</v>
      </c>
      <c r="H51" s="441">
        <f t="shared" ref="H51:AF51" si="16">AVERAGE(H8:H36)</f>
        <v>6.1359626001423105E-2</v>
      </c>
      <c r="I51" s="441">
        <f>AVERAGE(I7:I15)</f>
        <v>9.1291666666666664</v>
      </c>
      <c r="J51" s="441"/>
      <c r="K51" s="444">
        <f>AVERAGE(K7:K17)</f>
        <v>0.6261904761904763</v>
      </c>
      <c r="L51" s="444">
        <f t="shared" si="16"/>
        <v>0.27188697318007671</v>
      </c>
      <c r="M51" s="444">
        <f t="shared" si="16"/>
        <v>0.82361111111111085</v>
      </c>
      <c r="N51" s="444">
        <f>AVERAGE(N8:N45)</f>
        <v>0.27216739766081871</v>
      </c>
      <c r="O51" s="441" t="e">
        <f t="shared" si="16"/>
        <v>#DIV/0!</v>
      </c>
      <c r="P51" s="441" t="e">
        <f>AVERAGE(P8:P36)</f>
        <v>#DIV/0!</v>
      </c>
      <c r="Q51" s="441" t="e">
        <f t="shared" si="16"/>
        <v>#DIV/0!</v>
      </c>
      <c r="R51" s="441"/>
      <c r="S51" s="441"/>
      <c r="T51" s="441"/>
      <c r="U51" s="447"/>
      <c r="V51" s="441" t="e">
        <f t="shared" si="16"/>
        <v>#DIV/0!</v>
      </c>
      <c r="W51" s="441" t="e">
        <f t="shared" si="16"/>
        <v>#DIV/0!</v>
      </c>
      <c r="X51" s="441" t="e">
        <f t="shared" si="16"/>
        <v>#DIV/0!</v>
      </c>
      <c r="Y51" s="441" t="e">
        <f t="shared" si="16"/>
        <v>#DIV/0!</v>
      </c>
      <c r="Z51" s="442">
        <f t="shared" si="16"/>
        <v>56.03448275862069</v>
      </c>
      <c r="AA51" s="441">
        <f t="shared" si="16"/>
        <v>0</v>
      </c>
      <c r="AB51" s="441">
        <f t="shared" si="16"/>
        <v>86.206896551724142</v>
      </c>
      <c r="AC51" s="442">
        <f t="shared" si="16"/>
        <v>120.68965517241379</v>
      </c>
      <c r="AD51" s="442"/>
      <c r="AE51" s="442"/>
      <c r="AF51" s="441">
        <f t="shared" si="16"/>
        <v>2.5862068965517242</v>
      </c>
      <c r="AG51" s="441"/>
      <c r="AH51" s="441"/>
      <c r="AI51" s="441"/>
      <c r="AJ51" s="441"/>
      <c r="AK51" s="441"/>
      <c r="AL51" s="441"/>
      <c r="AM51" s="441"/>
      <c r="AN51" s="441"/>
      <c r="AO51" s="441"/>
      <c r="AP51" s="441"/>
      <c r="AQ51" s="441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21" t="s">
        <v>202</v>
      </c>
      <c r="F53" s="420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21" t="s">
        <v>203</v>
      </c>
      <c r="F54" s="127">
        <f>MAX(F7:F17)</f>
        <v>1.45</v>
      </c>
      <c r="I54" s="79"/>
      <c r="J54" s="79"/>
      <c r="K54" s="80"/>
      <c r="L54" s="80"/>
      <c r="M54" s="80"/>
      <c r="W54" s="758" t="s">
        <v>205</v>
      </c>
      <c r="X54" s="758"/>
    </row>
    <row r="55" spans="1:45" ht="14.4" x14ac:dyDescent="0.3">
      <c r="C55" s="79"/>
      <c r="D55" s="80"/>
      <c r="E55" s="421" t="s">
        <v>204</v>
      </c>
      <c r="F55" s="127">
        <f>MIN(F7,F9:F19)</f>
        <v>0.442</v>
      </c>
      <c r="I55" s="79"/>
      <c r="J55" s="79"/>
      <c r="K55" s="80"/>
      <c r="L55" s="80"/>
      <c r="M55" s="80"/>
      <c r="W55" s="156" t="s">
        <v>206</v>
      </c>
      <c r="X55" s="157">
        <f>F53</f>
        <v>0.872</v>
      </c>
    </row>
    <row r="56" spans="1:45" ht="43.2" x14ac:dyDescent="0.3">
      <c r="C56" s="79"/>
      <c r="D56" s="80"/>
      <c r="E56" s="80"/>
      <c r="G56" s="401" t="s">
        <v>196</v>
      </c>
      <c r="I56" s="79"/>
      <c r="J56" s="79"/>
      <c r="K56" s="80"/>
      <c r="L56" s="80"/>
      <c r="M56" s="80"/>
      <c r="W56" s="156" t="s">
        <v>122</v>
      </c>
      <c r="X56" s="157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55"/>
      <c r="F57" s="422" t="s">
        <v>424</v>
      </c>
      <c r="G57" s="423">
        <f>G50/D49</f>
        <v>0.65730502706777549</v>
      </c>
      <c r="I57" s="79"/>
      <c r="J57" s="79"/>
      <c r="K57" s="80"/>
      <c r="L57" s="80"/>
      <c r="M57" s="80"/>
      <c r="W57" s="156" t="s">
        <v>204</v>
      </c>
      <c r="X57" s="157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6" t="s">
        <v>203</v>
      </c>
      <c r="X58" s="157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55"/>
      <c r="E60" s="80"/>
      <c r="I60" s="79"/>
      <c r="J60" s="79"/>
      <c r="K60" s="80"/>
      <c r="L60" s="80"/>
      <c r="M60" s="80"/>
      <c r="W60" s="758" t="s">
        <v>207</v>
      </c>
      <c r="X60" s="758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6" t="s">
        <v>208</v>
      </c>
      <c r="X61" s="120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6" t="s">
        <v>37</v>
      </c>
      <c r="X62" s="120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B2:T26"/>
  <sheetViews>
    <sheetView workbookViewId="0">
      <selection activeCell="E12" sqref="E12:G1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" customWidth="1"/>
    <col min="5" max="5" width="12.109375" style="1" bestFit="1" customWidth="1"/>
    <col min="6" max="6" width="8.88671875" style="1"/>
    <col min="7" max="7" width="9.77734375" style="1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0" x14ac:dyDescent="0.3">
      <c r="B2" s="742" t="s">
        <v>598</v>
      </c>
      <c r="C2" s="742"/>
      <c r="D2" s="742"/>
      <c r="E2" s="742"/>
      <c r="F2" s="742"/>
      <c r="G2" s="742"/>
      <c r="H2" s="742"/>
      <c r="J2" s="743" t="s">
        <v>599</v>
      </c>
      <c r="K2" s="743"/>
      <c r="L2" s="743"/>
      <c r="M2" s="743"/>
      <c r="N2" s="743"/>
      <c r="O2" s="743"/>
      <c r="P2" s="743"/>
      <c r="R2" s="747" t="s">
        <v>600</v>
      </c>
      <c r="S2" s="747"/>
    </row>
    <row r="3" spans="2:20" ht="28.8" x14ac:dyDescent="0.3">
      <c r="B3" s="17" t="s">
        <v>71</v>
      </c>
      <c r="C3" s="17" t="s">
        <v>1</v>
      </c>
      <c r="D3" s="17" t="s">
        <v>27</v>
      </c>
      <c r="E3" s="17" t="s">
        <v>594</v>
      </c>
      <c r="F3" s="17" t="s">
        <v>596</v>
      </c>
      <c r="G3" s="17" t="s">
        <v>595</v>
      </c>
      <c r="H3" s="17" t="s">
        <v>597</v>
      </c>
      <c r="J3" s="511" t="s">
        <v>71</v>
      </c>
      <c r="K3" s="511" t="s">
        <v>1</v>
      </c>
      <c r="L3" s="511" t="s">
        <v>27</v>
      </c>
      <c r="M3" s="511" t="s">
        <v>594</v>
      </c>
      <c r="N3" s="741" t="s">
        <v>604</v>
      </c>
      <c r="O3" s="511" t="s">
        <v>595</v>
      </c>
      <c r="P3" s="741" t="s">
        <v>605</v>
      </c>
      <c r="R3" s="144" t="s">
        <v>601</v>
      </c>
      <c r="S3" s="144" t="s">
        <v>602</v>
      </c>
    </row>
    <row r="4" spans="2:20" x14ac:dyDescent="0.3">
      <c r="B4" s="16">
        <v>1</v>
      </c>
      <c r="C4" s="77">
        <v>46266</v>
      </c>
      <c r="D4" s="77" t="s">
        <v>13</v>
      </c>
      <c r="E4" s="16">
        <v>10</v>
      </c>
      <c r="F4" s="43">
        <f t="shared" ref="F4:F12" si="0">E4*$R$4</f>
        <v>60</v>
      </c>
      <c r="G4" s="44">
        <v>0.2</v>
      </c>
      <c r="H4" s="43">
        <f>F4*(1-G4)</f>
        <v>48</v>
      </c>
      <c r="J4" s="16">
        <v>1</v>
      </c>
      <c r="K4" s="77">
        <v>46266</v>
      </c>
      <c r="L4" s="77" t="s">
        <v>13</v>
      </c>
      <c r="M4" s="16">
        <v>10</v>
      </c>
      <c r="N4" s="43">
        <f t="shared" ref="N4:N9" si="1">M4*$S$4</f>
        <v>149</v>
      </c>
      <c r="O4" s="44">
        <v>0.2</v>
      </c>
      <c r="P4" s="43">
        <f t="shared" ref="P4:P9" si="2">N4*(1-O4)</f>
        <v>119.2</v>
      </c>
      <c r="R4" s="16">
        <v>6</v>
      </c>
      <c r="S4" s="43">
        <v>14.9</v>
      </c>
    </row>
    <row r="5" spans="2:20" x14ac:dyDescent="0.3">
      <c r="B5" s="16">
        <v>2</v>
      </c>
      <c r="C5" s="77">
        <v>46268</v>
      </c>
      <c r="D5" s="77" t="s">
        <v>13</v>
      </c>
      <c r="E5" s="16">
        <v>16</v>
      </c>
      <c r="F5" s="43">
        <f t="shared" si="0"/>
        <v>96</v>
      </c>
      <c r="G5" s="44">
        <v>0.2</v>
      </c>
      <c r="H5" s="43">
        <f>F5*(1-G5)</f>
        <v>76.800000000000011</v>
      </c>
      <c r="J5" s="16">
        <v>2</v>
      </c>
      <c r="K5" s="77">
        <v>46268</v>
      </c>
      <c r="L5" s="77" t="s">
        <v>13</v>
      </c>
      <c r="M5" s="16">
        <v>9</v>
      </c>
      <c r="N5" s="43">
        <f t="shared" si="1"/>
        <v>134.1</v>
      </c>
      <c r="O5" s="44">
        <v>0.2</v>
      </c>
      <c r="P5" s="43">
        <f t="shared" si="2"/>
        <v>107.28</v>
      </c>
      <c r="S5" s="13"/>
    </row>
    <row r="6" spans="2:20" x14ac:dyDescent="0.3">
      <c r="B6" s="16">
        <v>3</v>
      </c>
      <c r="C6" s="77">
        <v>46269</v>
      </c>
      <c r="D6" s="16" t="s">
        <v>13</v>
      </c>
      <c r="E6" s="16">
        <v>5</v>
      </c>
      <c r="F6" s="43">
        <f t="shared" si="0"/>
        <v>30</v>
      </c>
      <c r="G6" s="44">
        <v>0.2</v>
      </c>
      <c r="H6" s="43">
        <f>F6*(1-G6)</f>
        <v>24</v>
      </c>
      <c r="J6" s="16">
        <v>3</v>
      </c>
      <c r="K6" s="77">
        <v>46269</v>
      </c>
      <c r="L6" s="16" t="s">
        <v>13</v>
      </c>
      <c r="M6" s="16">
        <v>4</v>
      </c>
      <c r="N6" s="43">
        <f t="shared" si="1"/>
        <v>59.6</v>
      </c>
      <c r="O6" s="44">
        <v>0.2</v>
      </c>
      <c r="P6" s="43">
        <f t="shared" si="2"/>
        <v>47.680000000000007</v>
      </c>
      <c r="S6" s="186"/>
    </row>
    <row r="7" spans="2:20" x14ac:dyDescent="0.3">
      <c r="B7" s="16">
        <v>4</v>
      </c>
      <c r="C7" s="77">
        <v>46269</v>
      </c>
      <c r="D7" s="16" t="s">
        <v>14</v>
      </c>
      <c r="E7" s="16">
        <v>12</v>
      </c>
      <c r="F7" s="43">
        <f t="shared" si="0"/>
        <v>72</v>
      </c>
      <c r="G7" s="44">
        <v>0.2</v>
      </c>
      <c r="H7" s="43">
        <f>F7*(1-G7)</f>
        <v>57.6</v>
      </c>
      <c r="J7" s="16">
        <v>4</v>
      </c>
      <c r="K7" s="77">
        <v>46269</v>
      </c>
      <c r="L7" s="16" t="s">
        <v>14</v>
      </c>
      <c r="M7" s="16">
        <v>10</v>
      </c>
      <c r="N7" s="43">
        <f t="shared" si="1"/>
        <v>149</v>
      </c>
      <c r="O7" s="44">
        <v>0.19</v>
      </c>
      <c r="P7" s="43">
        <f t="shared" si="2"/>
        <v>120.69000000000001</v>
      </c>
    </row>
    <row r="8" spans="2:20" x14ac:dyDescent="0.3">
      <c r="B8" s="16">
        <v>5</v>
      </c>
      <c r="C8" s="77">
        <v>46274</v>
      </c>
      <c r="D8" s="16" t="s">
        <v>13</v>
      </c>
      <c r="E8" s="16">
        <v>4</v>
      </c>
      <c r="F8" s="43">
        <f t="shared" si="0"/>
        <v>24</v>
      </c>
      <c r="G8" s="44">
        <v>0.19</v>
      </c>
      <c r="H8" s="43">
        <f t="shared" ref="H8:H12" si="3">F8*(1-G8)</f>
        <v>19.440000000000001</v>
      </c>
      <c r="J8" s="16">
        <v>5</v>
      </c>
      <c r="K8" s="77">
        <v>46274</v>
      </c>
      <c r="L8" s="16" t="s">
        <v>13</v>
      </c>
      <c r="M8" s="16">
        <v>4</v>
      </c>
      <c r="N8" s="43">
        <f t="shared" si="1"/>
        <v>59.6</v>
      </c>
      <c r="O8" s="44">
        <v>0.18</v>
      </c>
      <c r="P8" s="43">
        <f t="shared" si="2"/>
        <v>48.872000000000007</v>
      </c>
    </row>
    <row r="9" spans="2:20" x14ac:dyDescent="0.3">
      <c r="B9" s="16">
        <v>6</v>
      </c>
      <c r="C9" s="77">
        <v>46274</v>
      </c>
      <c r="D9" s="16" t="s">
        <v>14</v>
      </c>
      <c r="E9" s="16">
        <v>12</v>
      </c>
      <c r="F9" s="43">
        <f t="shared" si="0"/>
        <v>72</v>
      </c>
      <c r="G9" s="44">
        <v>0.2</v>
      </c>
      <c r="H9" s="43">
        <f t="shared" si="3"/>
        <v>57.6</v>
      </c>
      <c r="J9" s="16">
        <v>6</v>
      </c>
      <c r="K9" s="77">
        <v>46274</v>
      </c>
      <c r="L9" s="16" t="s">
        <v>14</v>
      </c>
      <c r="M9" s="16">
        <v>12</v>
      </c>
      <c r="N9" s="43">
        <f t="shared" si="1"/>
        <v>178.8</v>
      </c>
      <c r="O9" s="44">
        <v>0.19</v>
      </c>
      <c r="P9" s="43">
        <f t="shared" si="2"/>
        <v>144.82800000000003</v>
      </c>
      <c r="R9" s="744" t="s">
        <v>603</v>
      </c>
      <c r="S9" s="744"/>
      <c r="T9" s="744"/>
    </row>
    <row r="10" spans="2:20" x14ac:dyDescent="0.3">
      <c r="B10" s="16">
        <v>7</v>
      </c>
      <c r="C10" s="77">
        <v>46277</v>
      </c>
      <c r="D10" s="16" t="s">
        <v>13</v>
      </c>
      <c r="E10" s="16">
        <v>7</v>
      </c>
      <c r="F10" s="43">
        <f t="shared" si="0"/>
        <v>42</v>
      </c>
      <c r="G10" s="44">
        <v>0.19</v>
      </c>
      <c r="H10" s="43">
        <f t="shared" si="3"/>
        <v>34.020000000000003</v>
      </c>
      <c r="J10" s="16">
        <v>7</v>
      </c>
      <c r="K10" s="77">
        <v>46277</v>
      </c>
      <c r="L10" s="16" t="s">
        <v>13</v>
      </c>
      <c r="M10" s="16">
        <v>7</v>
      </c>
      <c r="N10" s="43">
        <f t="shared" ref="N10:N15" si="4">M10*$S$4</f>
        <v>104.3</v>
      </c>
      <c r="O10" s="44">
        <v>0.19</v>
      </c>
      <c r="P10" s="43">
        <f t="shared" ref="P10:P15" si="5">N10*(1-O10)</f>
        <v>84.483000000000004</v>
      </c>
      <c r="R10" s="745">
        <f>SUM(P4:P66,H4:H66)</f>
        <v>1345.6110000000003</v>
      </c>
      <c r="S10" s="746"/>
      <c r="T10" s="746"/>
    </row>
    <row r="11" spans="2:20" x14ac:dyDescent="0.3">
      <c r="B11" s="16">
        <v>8</v>
      </c>
      <c r="C11" s="77">
        <v>46277</v>
      </c>
      <c r="D11" s="16" t="s">
        <v>14</v>
      </c>
      <c r="E11" s="16">
        <v>11</v>
      </c>
      <c r="F11" s="16">
        <f t="shared" si="0"/>
        <v>66</v>
      </c>
      <c r="G11" s="44">
        <v>0.18</v>
      </c>
      <c r="H11" s="43">
        <f t="shared" si="3"/>
        <v>54.120000000000005</v>
      </c>
      <c r="J11" s="16">
        <v>8</v>
      </c>
      <c r="K11" s="77">
        <v>46277</v>
      </c>
      <c r="L11" s="16" t="s">
        <v>14</v>
      </c>
      <c r="M11" s="16">
        <v>11</v>
      </c>
      <c r="N11" s="43">
        <f t="shared" si="4"/>
        <v>163.9</v>
      </c>
      <c r="O11" s="44">
        <v>0.18</v>
      </c>
      <c r="P11" s="43">
        <f t="shared" si="5"/>
        <v>134.39800000000002</v>
      </c>
    </row>
    <row r="12" spans="2:20" x14ac:dyDescent="0.3">
      <c r="B12" s="16">
        <v>9</v>
      </c>
      <c r="C12" s="66">
        <v>46278</v>
      </c>
      <c r="D12" s="6" t="s">
        <v>14</v>
      </c>
      <c r="E12" s="16">
        <v>10</v>
      </c>
      <c r="F12" s="16">
        <f t="shared" si="0"/>
        <v>60</v>
      </c>
      <c r="G12" s="44">
        <v>0.21</v>
      </c>
      <c r="H12" s="43">
        <f t="shared" si="3"/>
        <v>47.400000000000006</v>
      </c>
      <c r="J12" s="16">
        <v>9</v>
      </c>
      <c r="K12" s="77">
        <v>46278</v>
      </c>
      <c r="L12" s="16" t="s">
        <v>14</v>
      </c>
      <c r="M12" s="16">
        <v>10</v>
      </c>
      <c r="N12" s="16">
        <f t="shared" si="4"/>
        <v>149</v>
      </c>
      <c r="O12" s="44">
        <v>0.2</v>
      </c>
      <c r="P12" s="43">
        <f t="shared" si="5"/>
        <v>119.2</v>
      </c>
      <c r="T12" s="13"/>
    </row>
    <row r="13" spans="2:20" x14ac:dyDescent="0.3">
      <c r="B13" s="16">
        <v>10</v>
      </c>
      <c r="C13" s="6"/>
      <c r="D13" s="6"/>
      <c r="E13" s="6"/>
      <c r="F13" s="6"/>
      <c r="G13" s="6"/>
      <c r="H13" s="6"/>
      <c r="J13" s="16">
        <v>10</v>
      </c>
      <c r="K13" s="77"/>
      <c r="L13" s="16"/>
      <c r="M13" s="16"/>
      <c r="N13" s="16">
        <f t="shared" si="4"/>
        <v>0</v>
      </c>
      <c r="O13" s="44"/>
      <c r="P13" s="43">
        <f t="shared" si="5"/>
        <v>0</v>
      </c>
    </row>
    <row r="14" spans="2:20" x14ac:dyDescent="0.3">
      <c r="B14" s="16">
        <v>11</v>
      </c>
      <c r="C14" s="6"/>
      <c r="D14" s="6"/>
      <c r="E14" s="6"/>
      <c r="F14" s="6"/>
      <c r="G14" s="6"/>
      <c r="H14" s="6"/>
      <c r="J14" s="16">
        <v>11</v>
      </c>
      <c r="K14" s="77"/>
      <c r="L14" s="16"/>
      <c r="M14" s="16"/>
      <c r="N14" s="16">
        <f t="shared" si="4"/>
        <v>0</v>
      </c>
      <c r="O14" s="44"/>
      <c r="P14" s="43">
        <f t="shared" si="5"/>
        <v>0</v>
      </c>
    </row>
    <row r="15" spans="2:20" x14ac:dyDescent="0.3">
      <c r="B15" s="16">
        <v>12</v>
      </c>
      <c r="C15" s="6"/>
      <c r="D15" s="6"/>
      <c r="E15" s="6"/>
      <c r="F15" s="6"/>
      <c r="G15" s="6"/>
      <c r="H15" s="6"/>
      <c r="J15" s="16">
        <v>12</v>
      </c>
      <c r="K15" s="77"/>
      <c r="L15" s="16"/>
      <c r="M15" s="16"/>
      <c r="N15" s="16">
        <f t="shared" si="4"/>
        <v>0</v>
      </c>
      <c r="O15" s="44"/>
      <c r="P15" s="43">
        <f t="shared" si="5"/>
        <v>0</v>
      </c>
    </row>
    <row r="16" spans="2:20" x14ac:dyDescent="0.3">
      <c r="B16" s="16">
        <v>13</v>
      </c>
      <c r="C16" s="6"/>
      <c r="D16" s="6"/>
      <c r="E16" s="6"/>
      <c r="F16" s="6"/>
      <c r="G16" s="6"/>
      <c r="H16" s="6"/>
      <c r="J16" s="16">
        <v>13</v>
      </c>
      <c r="K16" s="6"/>
      <c r="L16" s="6"/>
      <c r="M16" s="6"/>
      <c r="N16" s="6"/>
      <c r="O16" s="6"/>
      <c r="P16" s="6"/>
    </row>
    <row r="17" spans="2:16" x14ac:dyDescent="0.3">
      <c r="B17" s="16">
        <v>14</v>
      </c>
      <c r="C17" s="6"/>
      <c r="D17" s="6"/>
      <c r="E17" s="6"/>
      <c r="F17" s="6"/>
      <c r="G17" s="6"/>
      <c r="H17" s="6"/>
      <c r="J17" s="16">
        <v>14</v>
      </c>
      <c r="K17" s="6"/>
      <c r="L17" s="6"/>
      <c r="M17" s="6"/>
      <c r="N17" s="6"/>
      <c r="O17" s="6"/>
      <c r="P17" s="6"/>
    </row>
    <row r="18" spans="2:16" x14ac:dyDescent="0.3">
      <c r="B18" s="16">
        <v>15</v>
      </c>
      <c r="C18" s="6"/>
      <c r="D18" s="6"/>
      <c r="E18" s="6"/>
      <c r="F18" s="6"/>
      <c r="G18" s="6"/>
      <c r="H18" s="6"/>
      <c r="J18" s="16">
        <v>15</v>
      </c>
      <c r="K18" s="6"/>
      <c r="L18" s="6"/>
      <c r="M18" s="6"/>
      <c r="N18" s="6"/>
      <c r="O18" s="6"/>
      <c r="P18" s="6"/>
    </row>
    <row r="19" spans="2:16" x14ac:dyDescent="0.3">
      <c r="B19" s="16">
        <v>16</v>
      </c>
      <c r="C19" s="6"/>
      <c r="D19" s="6"/>
      <c r="E19" s="6"/>
      <c r="F19" s="6"/>
      <c r="G19" s="6"/>
      <c r="H19" s="6"/>
      <c r="J19" s="16">
        <v>16</v>
      </c>
      <c r="K19" s="6"/>
      <c r="L19" s="6"/>
      <c r="M19" s="6"/>
      <c r="N19" s="6"/>
      <c r="O19" s="6"/>
      <c r="P19" s="6"/>
    </row>
    <row r="20" spans="2:16" x14ac:dyDescent="0.3">
      <c r="B20" s="16">
        <v>17</v>
      </c>
      <c r="C20" s="6"/>
      <c r="D20" s="6"/>
      <c r="E20" s="6"/>
      <c r="F20" s="6"/>
      <c r="G20" s="6"/>
      <c r="H20" s="6"/>
      <c r="J20" s="16">
        <v>17</v>
      </c>
      <c r="K20" s="6"/>
      <c r="L20" s="6"/>
      <c r="M20" s="6"/>
      <c r="N20" s="6"/>
      <c r="O20" s="6"/>
      <c r="P20" s="6"/>
    </row>
    <row r="21" spans="2:16" x14ac:dyDescent="0.3">
      <c r="B21" s="16">
        <v>18</v>
      </c>
      <c r="C21" s="6"/>
      <c r="D21" s="6"/>
      <c r="E21" s="6"/>
      <c r="F21" s="6"/>
      <c r="G21" s="6"/>
      <c r="H21" s="6"/>
      <c r="J21" s="16">
        <v>18</v>
      </c>
      <c r="K21" s="6"/>
      <c r="L21" s="6"/>
      <c r="M21" s="6"/>
      <c r="N21" s="6"/>
      <c r="O21" s="6"/>
      <c r="P21" s="6"/>
    </row>
    <row r="22" spans="2:16" x14ac:dyDescent="0.3">
      <c r="B22" s="16">
        <v>19</v>
      </c>
      <c r="C22" s="6"/>
      <c r="D22" s="6"/>
      <c r="E22" s="6"/>
      <c r="F22" s="6"/>
      <c r="G22" s="6"/>
      <c r="H22" s="6"/>
      <c r="J22" s="16">
        <v>19</v>
      </c>
      <c r="K22" s="6"/>
      <c r="L22" s="6"/>
      <c r="M22" s="6"/>
      <c r="N22" s="6"/>
      <c r="O22" s="6"/>
      <c r="P22" s="6"/>
    </row>
    <row r="23" spans="2:16" x14ac:dyDescent="0.3">
      <c r="B23" s="16">
        <v>20</v>
      </c>
      <c r="C23" s="6"/>
      <c r="D23" s="6"/>
      <c r="E23" s="6"/>
      <c r="F23" s="6"/>
      <c r="G23" s="6"/>
      <c r="H23" s="6"/>
      <c r="J23" s="16">
        <v>20</v>
      </c>
      <c r="K23" s="6"/>
      <c r="L23" s="6"/>
      <c r="M23" s="6"/>
      <c r="N23" s="6"/>
      <c r="O23" s="6"/>
      <c r="P23" s="6"/>
    </row>
    <row r="24" spans="2:16" x14ac:dyDescent="0.3">
      <c r="B24" s="16">
        <v>21</v>
      </c>
      <c r="C24" s="6"/>
      <c r="D24" s="6"/>
      <c r="E24" s="6"/>
      <c r="F24" s="6"/>
      <c r="G24" s="6"/>
      <c r="H24" s="6"/>
      <c r="J24" s="16">
        <v>21</v>
      </c>
      <c r="K24" s="6"/>
      <c r="L24" s="6"/>
      <c r="M24" s="6"/>
      <c r="N24" s="6"/>
      <c r="O24" s="6"/>
      <c r="P24" s="6"/>
    </row>
    <row r="25" spans="2:16" x14ac:dyDescent="0.3">
      <c r="B25" s="16">
        <v>22</v>
      </c>
      <c r="C25" s="6"/>
      <c r="D25" s="6"/>
      <c r="E25" s="6"/>
      <c r="F25" s="6"/>
      <c r="G25" s="6"/>
      <c r="H25" s="6"/>
      <c r="J25" s="16">
        <v>22</v>
      </c>
      <c r="K25" s="6"/>
      <c r="L25" s="6"/>
      <c r="M25" s="6"/>
      <c r="N25" s="6"/>
      <c r="O25" s="6"/>
      <c r="P25" s="6"/>
    </row>
    <row r="26" spans="2:16" x14ac:dyDescent="0.3">
      <c r="B26" s="16">
        <v>23</v>
      </c>
      <c r="C26" s="6"/>
      <c r="D26" s="6"/>
      <c r="E26" s="6"/>
      <c r="F26" s="6"/>
      <c r="G26" s="6"/>
      <c r="H26" s="6"/>
      <c r="J26" s="16">
        <v>23</v>
      </c>
      <c r="K26" s="6"/>
      <c r="L26" s="6"/>
      <c r="M26" s="6"/>
      <c r="N26" s="6"/>
      <c r="O26" s="6"/>
      <c r="P26" s="6"/>
    </row>
  </sheetData>
  <mergeCells count="5"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42" t="s">
        <v>346</v>
      </c>
      <c r="D3" s="742"/>
      <c r="E3" s="742"/>
      <c r="F3" s="742"/>
      <c r="G3" s="742"/>
      <c r="H3" s="742"/>
      <c r="L3" s="742" t="s">
        <v>346</v>
      </c>
      <c r="M3" s="742"/>
      <c r="N3" s="742"/>
      <c r="O3" s="742"/>
      <c r="P3" s="742"/>
      <c r="Q3" s="742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7">
        <v>1</v>
      </c>
      <c r="D5" s="127" t="s">
        <v>351</v>
      </c>
      <c r="E5" s="66">
        <v>46197</v>
      </c>
      <c r="F5" s="127">
        <v>0.54600000000000004</v>
      </c>
      <c r="G5" s="127"/>
      <c r="H5" s="127"/>
      <c r="L5" s="127">
        <v>51</v>
      </c>
      <c r="M5" s="127" t="s">
        <v>405</v>
      </c>
      <c r="N5" s="285">
        <v>46253</v>
      </c>
      <c r="O5" s="127">
        <v>0.67300000000000004</v>
      </c>
      <c r="P5" s="127"/>
      <c r="Q5" s="127"/>
    </row>
    <row r="6" spans="3:17" x14ac:dyDescent="0.3">
      <c r="C6" s="127">
        <v>2</v>
      </c>
      <c r="D6" s="127" t="s">
        <v>352</v>
      </c>
      <c r="E6" s="66">
        <v>46197</v>
      </c>
      <c r="F6" s="127">
        <v>0.57599999999999996</v>
      </c>
      <c r="G6" s="127"/>
      <c r="H6" s="127"/>
      <c r="L6" s="127">
        <v>52</v>
      </c>
      <c r="M6" s="127" t="s">
        <v>406</v>
      </c>
      <c r="N6" s="285">
        <v>46253</v>
      </c>
      <c r="O6" s="127">
        <v>0.66200000000000003</v>
      </c>
      <c r="P6" s="127"/>
      <c r="Q6" s="127"/>
    </row>
    <row r="7" spans="3:17" x14ac:dyDescent="0.3">
      <c r="C7" s="127">
        <v>3</v>
      </c>
      <c r="D7" s="127" t="s">
        <v>353</v>
      </c>
      <c r="E7" s="66">
        <v>46197</v>
      </c>
      <c r="F7" s="127">
        <v>0.83899999999999997</v>
      </c>
      <c r="G7" s="127"/>
      <c r="H7" s="127"/>
      <c r="L7" s="127">
        <v>53</v>
      </c>
      <c r="M7" s="127" t="s">
        <v>407</v>
      </c>
      <c r="N7" s="285">
        <v>46253</v>
      </c>
      <c r="O7" s="127">
        <v>0.55500000000000005</v>
      </c>
      <c r="P7" s="127"/>
      <c r="Q7" s="127"/>
    </row>
    <row r="8" spans="3:17" x14ac:dyDescent="0.3">
      <c r="C8" s="127">
        <v>4</v>
      </c>
      <c r="D8" s="127" t="s">
        <v>354</v>
      </c>
      <c r="E8" s="66">
        <v>46197</v>
      </c>
      <c r="F8" s="127">
        <v>2.0110000000000001</v>
      </c>
      <c r="G8" s="127"/>
      <c r="H8" s="127"/>
      <c r="L8" s="127">
        <v>54</v>
      </c>
      <c r="M8" s="127" t="s">
        <v>408</v>
      </c>
      <c r="N8" s="285">
        <v>46253</v>
      </c>
      <c r="O8" s="127">
        <v>0.81299999999999994</v>
      </c>
      <c r="P8" s="127"/>
      <c r="Q8" s="127"/>
    </row>
    <row r="9" spans="3:17" x14ac:dyDescent="0.3">
      <c r="C9" s="127">
        <v>5</v>
      </c>
      <c r="D9" s="127" t="s">
        <v>355</v>
      </c>
      <c r="E9" s="66">
        <v>46197</v>
      </c>
      <c r="F9" s="127">
        <v>0.94399999999999995</v>
      </c>
      <c r="G9" s="127"/>
      <c r="H9" s="127"/>
      <c r="L9" s="127">
        <v>55</v>
      </c>
      <c r="M9" s="127" t="s">
        <v>409</v>
      </c>
      <c r="N9" s="285">
        <v>46253</v>
      </c>
      <c r="O9" s="127">
        <v>1.147</v>
      </c>
      <c r="P9" s="127"/>
      <c r="Q9" s="127"/>
    </row>
    <row r="10" spans="3:17" x14ac:dyDescent="0.3">
      <c r="C10" s="127">
        <v>6</v>
      </c>
      <c r="D10" s="127" t="s">
        <v>356</v>
      </c>
      <c r="E10" s="66">
        <v>46197</v>
      </c>
      <c r="F10" s="127">
        <v>0.70199999999999996</v>
      </c>
      <c r="G10" s="127"/>
      <c r="H10" s="127"/>
      <c r="L10" s="127">
        <v>56</v>
      </c>
      <c r="M10" s="127" t="s">
        <v>410</v>
      </c>
      <c r="N10" s="285">
        <v>46253</v>
      </c>
      <c r="O10" s="127">
        <v>1.9410000000000001</v>
      </c>
      <c r="P10" s="127"/>
      <c r="Q10" s="127"/>
    </row>
    <row r="11" spans="3:17" x14ac:dyDescent="0.3">
      <c r="C11" s="127">
        <v>7</v>
      </c>
      <c r="D11" s="127" t="s">
        <v>357</v>
      </c>
      <c r="E11" s="66">
        <v>46197</v>
      </c>
      <c r="F11" s="127">
        <v>3.2160000000000002</v>
      </c>
      <c r="G11" s="127"/>
      <c r="H11" s="127"/>
      <c r="L11" s="127">
        <v>57</v>
      </c>
      <c r="M11" s="127" t="s">
        <v>411</v>
      </c>
      <c r="N11" s="285">
        <v>46253</v>
      </c>
      <c r="O11" s="127">
        <v>0.48899999999999999</v>
      </c>
      <c r="P11" s="127"/>
      <c r="Q11" s="127"/>
    </row>
    <row r="12" spans="3:17" x14ac:dyDescent="0.3">
      <c r="C12" s="127">
        <v>8</v>
      </c>
      <c r="D12" s="127" t="s">
        <v>358</v>
      </c>
      <c r="E12" s="66">
        <v>46197</v>
      </c>
      <c r="F12" s="127">
        <v>0.56200000000000006</v>
      </c>
      <c r="G12" s="127"/>
      <c r="H12" s="127"/>
      <c r="L12" s="127">
        <v>58</v>
      </c>
      <c r="M12" s="127" t="s">
        <v>412</v>
      </c>
      <c r="N12" s="285">
        <v>46253</v>
      </c>
      <c r="O12" s="127">
        <v>0.55600000000000005</v>
      </c>
      <c r="P12" s="127"/>
      <c r="Q12" s="127"/>
    </row>
    <row r="13" spans="3:17" x14ac:dyDescent="0.3">
      <c r="C13" s="127">
        <v>9</v>
      </c>
      <c r="D13" s="127" t="s">
        <v>359</v>
      </c>
      <c r="E13" s="66">
        <v>46197</v>
      </c>
      <c r="F13" s="127">
        <v>0.79</v>
      </c>
      <c r="G13" s="127"/>
      <c r="H13" s="127"/>
      <c r="L13" s="127">
        <v>59</v>
      </c>
      <c r="M13" s="127" t="s">
        <v>413</v>
      </c>
      <c r="N13" s="285">
        <v>46253</v>
      </c>
      <c r="O13" s="127">
        <v>3.032</v>
      </c>
      <c r="P13" s="127"/>
      <c r="Q13" s="127"/>
    </row>
    <row r="14" spans="3:17" x14ac:dyDescent="0.3">
      <c r="C14" s="127">
        <v>10</v>
      </c>
      <c r="D14" s="127" t="s">
        <v>360</v>
      </c>
      <c r="E14" s="66">
        <v>46197</v>
      </c>
      <c r="F14" s="127">
        <v>1.583</v>
      </c>
      <c r="G14" s="127"/>
      <c r="H14" s="127"/>
      <c r="L14" s="127">
        <v>60</v>
      </c>
      <c r="M14" s="127" t="s">
        <v>393</v>
      </c>
      <c r="N14" s="285">
        <v>46253</v>
      </c>
      <c r="O14" s="127">
        <v>0.63200000000000001</v>
      </c>
      <c r="P14" s="127"/>
      <c r="Q14" s="127"/>
    </row>
    <row r="15" spans="3:17" x14ac:dyDescent="0.3">
      <c r="C15" s="127">
        <v>11</v>
      </c>
      <c r="D15" s="127" t="s">
        <v>361</v>
      </c>
      <c r="E15" s="66">
        <v>46181</v>
      </c>
      <c r="F15" s="127">
        <v>1.9630000000000001</v>
      </c>
      <c r="G15" s="127"/>
      <c r="H15" s="127"/>
      <c r="L15" s="127">
        <v>61</v>
      </c>
      <c r="M15" s="127" t="s">
        <v>394</v>
      </c>
      <c r="N15" s="285">
        <v>46253</v>
      </c>
      <c r="O15" s="127">
        <v>1.0429999999999999</v>
      </c>
      <c r="P15" s="127"/>
      <c r="Q15" s="127"/>
    </row>
    <row r="16" spans="3:17" x14ac:dyDescent="0.3">
      <c r="C16" s="127">
        <v>12</v>
      </c>
      <c r="D16" s="127" t="s">
        <v>362</v>
      </c>
      <c r="E16" s="66">
        <v>46181</v>
      </c>
      <c r="F16" s="127">
        <v>0.73499999999999999</v>
      </c>
      <c r="G16" s="127"/>
      <c r="H16" s="127"/>
      <c r="L16" s="127">
        <v>62</v>
      </c>
      <c r="M16" s="127" t="s">
        <v>395</v>
      </c>
      <c r="N16" s="285">
        <v>46253</v>
      </c>
      <c r="O16" s="127">
        <v>1.59</v>
      </c>
      <c r="P16" s="127"/>
      <c r="Q16" s="127"/>
    </row>
    <row r="17" spans="3:17" x14ac:dyDescent="0.3">
      <c r="C17" s="127">
        <v>13</v>
      </c>
      <c r="D17" s="127" t="s">
        <v>363</v>
      </c>
      <c r="E17" s="66">
        <v>46181</v>
      </c>
      <c r="F17" s="127">
        <v>0.34799999999999998</v>
      </c>
      <c r="G17" s="127"/>
      <c r="H17" s="127"/>
      <c r="L17" s="127">
        <v>63</v>
      </c>
      <c r="M17" s="127" t="s">
        <v>414</v>
      </c>
      <c r="N17" s="285">
        <v>46253</v>
      </c>
      <c r="O17" s="127">
        <v>0.33700000000000002</v>
      </c>
      <c r="P17" s="127"/>
      <c r="Q17" s="127"/>
    </row>
    <row r="18" spans="3:17" x14ac:dyDescent="0.3">
      <c r="C18" s="127">
        <v>14</v>
      </c>
      <c r="D18" s="127" t="s">
        <v>364</v>
      </c>
      <c r="E18" s="66">
        <v>46181</v>
      </c>
      <c r="F18" s="127">
        <v>1.2929999999999999</v>
      </c>
      <c r="G18" s="127"/>
      <c r="H18" s="127"/>
      <c r="L18" s="127">
        <v>64</v>
      </c>
      <c r="M18" s="127" t="s">
        <v>415</v>
      </c>
      <c r="N18" s="285">
        <v>46253</v>
      </c>
      <c r="O18" s="127">
        <v>0.252</v>
      </c>
      <c r="P18" s="127"/>
      <c r="Q18" s="127"/>
    </row>
    <row r="19" spans="3:17" x14ac:dyDescent="0.3">
      <c r="C19" s="127">
        <v>15</v>
      </c>
      <c r="D19" s="127" t="s">
        <v>365</v>
      </c>
      <c r="E19" s="66">
        <v>46181</v>
      </c>
      <c r="F19" s="127">
        <v>0.43</v>
      </c>
      <c r="G19" s="127"/>
      <c r="H19" s="127"/>
      <c r="L19" s="127">
        <v>65</v>
      </c>
      <c r="M19" s="127" t="s">
        <v>399</v>
      </c>
      <c r="N19" s="285">
        <v>46254</v>
      </c>
      <c r="O19" s="127">
        <v>0.90500000000000003</v>
      </c>
      <c r="P19" s="127"/>
      <c r="Q19" s="127"/>
    </row>
    <row r="20" spans="3:17" x14ac:dyDescent="0.3">
      <c r="C20" s="127">
        <v>16</v>
      </c>
      <c r="D20" s="127" t="s">
        <v>366</v>
      </c>
      <c r="E20" s="66">
        <v>46180</v>
      </c>
      <c r="F20" s="127">
        <v>0.55800000000000005</v>
      </c>
      <c r="G20" s="127"/>
      <c r="H20" s="127"/>
      <c r="L20" s="127">
        <v>66</v>
      </c>
      <c r="M20" s="127" t="s">
        <v>401</v>
      </c>
      <c r="N20" s="285">
        <v>46254</v>
      </c>
      <c r="O20" s="127">
        <v>0.91200000000000003</v>
      </c>
      <c r="P20" s="127"/>
      <c r="Q20" s="127"/>
    </row>
    <row r="21" spans="3:17" x14ac:dyDescent="0.3">
      <c r="C21" s="127">
        <v>17</v>
      </c>
      <c r="D21" s="127" t="s">
        <v>367</v>
      </c>
      <c r="E21" s="66">
        <v>46180</v>
      </c>
      <c r="F21" s="127">
        <v>0.60399999999999998</v>
      </c>
      <c r="G21" s="127"/>
      <c r="H21" s="127"/>
      <c r="L21" s="127">
        <v>67</v>
      </c>
      <c r="M21" s="127" t="s">
        <v>403</v>
      </c>
      <c r="N21" s="285">
        <v>46254</v>
      </c>
      <c r="O21" s="127">
        <v>0.21199999999999999</v>
      </c>
      <c r="P21" s="127"/>
      <c r="Q21" s="127"/>
    </row>
    <row r="22" spans="3:17" x14ac:dyDescent="0.3">
      <c r="C22" s="127">
        <v>18</v>
      </c>
      <c r="D22" s="127" t="s">
        <v>368</v>
      </c>
      <c r="E22" s="66">
        <v>46180</v>
      </c>
      <c r="F22" s="127">
        <v>4.383</v>
      </c>
      <c r="G22" s="127"/>
      <c r="H22" s="127"/>
      <c r="L22" s="127">
        <v>68</v>
      </c>
      <c r="M22" s="127" t="s">
        <v>405</v>
      </c>
      <c r="N22" s="285">
        <v>46254</v>
      </c>
      <c r="O22" s="127">
        <v>0.32300000000000001</v>
      </c>
      <c r="P22" s="127"/>
      <c r="Q22" s="127"/>
    </row>
    <row r="23" spans="3:17" x14ac:dyDescent="0.3">
      <c r="C23" s="127">
        <v>19</v>
      </c>
      <c r="D23" s="127" t="s">
        <v>369</v>
      </c>
      <c r="E23" s="66">
        <v>46180</v>
      </c>
      <c r="F23" s="127">
        <v>3.2330000000000001</v>
      </c>
      <c r="G23" s="127"/>
      <c r="H23" s="127"/>
      <c r="L23" s="127">
        <v>69</v>
      </c>
      <c r="M23" s="127" t="s">
        <v>407</v>
      </c>
      <c r="N23" s="285">
        <v>46254</v>
      </c>
      <c r="O23" s="127">
        <v>0.63500000000000001</v>
      </c>
      <c r="P23" s="127"/>
      <c r="Q23" s="127"/>
    </row>
    <row r="24" spans="3:17" x14ac:dyDescent="0.3">
      <c r="C24" s="127">
        <v>20</v>
      </c>
      <c r="D24" s="127" t="s">
        <v>370</v>
      </c>
      <c r="E24" s="66">
        <v>46180</v>
      </c>
      <c r="F24" s="127">
        <v>1.635</v>
      </c>
      <c r="G24" s="127"/>
      <c r="H24" s="127"/>
      <c r="L24" s="127">
        <v>70</v>
      </c>
      <c r="M24" s="127" t="s">
        <v>409</v>
      </c>
      <c r="N24" s="285">
        <v>46254</v>
      </c>
      <c r="O24" s="127">
        <v>0.45500000000000002</v>
      </c>
      <c r="P24" s="127"/>
      <c r="Q24" s="127"/>
    </row>
    <row r="25" spans="3:17" x14ac:dyDescent="0.3">
      <c r="C25" s="127">
        <v>21</v>
      </c>
      <c r="D25" s="127" t="s">
        <v>371</v>
      </c>
      <c r="E25" s="66">
        <v>46180</v>
      </c>
      <c r="F25" s="127">
        <v>1.2390000000000001</v>
      </c>
      <c r="G25" s="127"/>
      <c r="H25" s="127"/>
      <c r="L25" s="127">
        <v>71</v>
      </c>
      <c r="M25" s="127" t="s">
        <v>411</v>
      </c>
      <c r="N25" s="285">
        <v>46254</v>
      </c>
      <c r="O25" s="127">
        <v>9.9000000000000005E-2</v>
      </c>
      <c r="P25" s="127"/>
      <c r="Q25" s="127"/>
    </row>
    <row r="26" spans="3:17" x14ac:dyDescent="0.3">
      <c r="C26" s="127">
        <v>22</v>
      </c>
      <c r="D26" s="127" t="s">
        <v>372</v>
      </c>
      <c r="E26" s="66">
        <v>46180</v>
      </c>
      <c r="F26" s="127">
        <v>0.84699999999999998</v>
      </c>
      <c r="G26" s="127"/>
      <c r="H26" s="127"/>
      <c r="L26" s="127">
        <v>72</v>
      </c>
      <c r="M26" s="127" t="s">
        <v>413</v>
      </c>
      <c r="N26" s="285">
        <v>46254</v>
      </c>
      <c r="O26" s="127">
        <v>0.69599999999999995</v>
      </c>
      <c r="P26" s="127"/>
      <c r="Q26" s="127"/>
    </row>
    <row r="27" spans="3:17" x14ac:dyDescent="0.3">
      <c r="C27" s="127">
        <v>23</v>
      </c>
      <c r="D27" s="127" t="s">
        <v>366</v>
      </c>
      <c r="E27" s="66">
        <v>46176</v>
      </c>
      <c r="F27" s="127">
        <v>2.72</v>
      </c>
      <c r="G27" s="127"/>
      <c r="H27" s="127"/>
      <c r="L27" s="127">
        <v>73</v>
      </c>
      <c r="M27" s="127" t="s">
        <v>394</v>
      </c>
      <c r="N27" s="285">
        <v>46254</v>
      </c>
      <c r="O27" s="127">
        <v>0.34</v>
      </c>
      <c r="P27" s="127"/>
      <c r="Q27" s="127"/>
    </row>
    <row r="28" spans="3:17" x14ac:dyDescent="0.3">
      <c r="C28" s="127">
        <v>24</v>
      </c>
      <c r="D28" s="127" t="s">
        <v>367</v>
      </c>
      <c r="E28" s="66">
        <v>46176</v>
      </c>
      <c r="F28" s="127">
        <v>0.57599999999999996</v>
      </c>
      <c r="G28" s="127"/>
      <c r="H28" s="127"/>
      <c r="L28" s="127">
        <v>74</v>
      </c>
      <c r="M28" s="127" t="s">
        <v>414</v>
      </c>
      <c r="N28" s="285">
        <v>46254</v>
      </c>
      <c r="O28" s="127">
        <v>0.98199999999999998</v>
      </c>
      <c r="P28" s="127"/>
      <c r="Q28" s="127"/>
    </row>
    <row r="29" spans="3:17" x14ac:dyDescent="0.3">
      <c r="C29" s="127">
        <v>25</v>
      </c>
      <c r="D29" s="127" t="s">
        <v>368</v>
      </c>
      <c r="E29" s="66">
        <v>46176</v>
      </c>
      <c r="F29" s="127">
        <v>0.66300000000000003</v>
      </c>
      <c r="G29" s="127"/>
      <c r="H29" s="127"/>
      <c r="L29" s="127">
        <v>75</v>
      </c>
      <c r="M29" s="127" t="s">
        <v>416</v>
      </c>
      <c r="N29" s="285">
        <v>46254</v>
      </c>
      <c r="O29" s="127">
        <v>1.0880000000000001</v>
      </c>
      <c r="P29" s="127"/>
      <c r="Q29" s="127"/>
    </row>
    <row r="30" spans="3:17" x14ac:dyDescent="0.3">
      <c r="C30" s="127">
        <v>26</v>
      </c>
      <c r="D30" s="127" t="s">
        <v>369</v>
      </c>
      <c r="E30" s="66">
        <v>46176</v>
      </c>
      <c r="F30" s="127">
        <v>1.8220000000000001</v>
      </c>
      <c r="G30" s="127"/>
      <c r="H30" s="127"/>
      <c r="L30" s="127">
        <v>76</v>
      </c>
      <c r="M30" s="127" t="s">
        <v>399</v>
      </c>
      <c r="N30" s="285">
        <v>46255</v>
      </c>
      <c r="O30" s="127">
        <v>0.57399999999999995</v>
      </c>
      <c r="P30" s="127"/>
      <c r="Q30" s="127"/>
    </row>
    <row r="31" spans="3:17" x14ac:dyDescent="0.3">
      <c r="C31" s="127">
        <v>27</v>
      </c>
      <c r="D31" s="127" t="s">
        <v>370</v>
      </c>
      <c r="E31" s="66">
        <v>46176</v>
      </c>
      <c r="F31" s="127">
        <v>0.79700000000000004</v>
      </c>
      <c r="G31" s="127"/>
      <c r="H31" s="127"/>
      <c r="L31" s="127">
        <v>77</v>
      </c>
      <c r="M31" s="127" t="s">
        <v>401</v>
      </c>
      <c r="N31" s="285">
        <v>46255</v>
      </c>
      <c r="O31" s="127">
        <v>0.35399999999999998</v>
      </c>
      <c r="P31" s="127"/>
      <c r="Q31" s="127"/>
    </row>
    <row r="32" spans="3:17" x14ac:dyDescent="0.3">
      <c r="C32" s="127">
        <v>28</v>
      </c>
      <c r="D32" s="127" t="s">
        <v>371</v>
      </c>
      <c r="E32" s="66">
        <v>46176</v>
      </c>
      <c r="F32" s="127">
        <v>1.3919999999999999</v>
      </c>
      <c r="G32" s="127"/>
      <c r="H32" s="127"/>
      <c r="L32" s="127">
        <v>78</v>
      </c>
      <c r="M32" s="127" t="s">
        <v>403</v>
      </c>
      <c r="N32" s="285">
        <v>46255</v>
      </c>
      <c r="O32" s="127">
        <v>0.80200000000000005</v>
      </c>
      <c r="P32" s="127"/>
      <c r="Q32" s="127"/>
    </row>
    <row r="33" spans="3:17" x14ac:dyDescent="0.3">
      <c r="C33" s="127">
        <v>29</v>
      </c>
      <c r="D33" s="127" t="s">
        <v>372</v>
      </c>
      <c r="E33" s="66">
        <v>46176</v>
      </c>
      <c r="F33" s="127">
        <v>0.70699999999999996</v>
      </c>
      <c r="G33" s="127"/>
      <c r="H33" s="127"/>
      <c r="L33" s="127">
        <v>79</v>
      </c>
      <c r="M33" s="127" t="s">
        <v>405</v>
      </c>
      <c r="N33" s="285">
        <v>46255</v>
      </c>
      <c r="O33" s="127">
        <v>0.16</v>
      </c>
      <c r="P33" s="127"/>
      <c r="Q33" s="127"/>
    </row>
    <row r="34" spans="3:17" x14ac:dyDescent="0.3">
      <c r="C34" s="127">
        <v>30</v>
      </c>
      <c r="D34" s="127" t="s">
        <v>373</v>
      </c>
      <c r="E34" s="66">
        <v>46176</v>
      </c>
      <c r="F34" s="127">
        <v>1.552</v>
      </c>
      <c r="G34" s="127"/>
      <c r="H34" s="127"/>
      <c r="L34" s="127">
        <v>80</v>
      </c>
      <c r="M34" s="127" t="s">
        <v>407</v>
      </c>
      <c r="N34" s="285">
        <v>46255</v>
      </c>
      <c r="O34" s="127">
        <v>0.96199999999999997</v>
      </c>
      <c r="P34" s="127"/>
      <c r="Q34" s="127"/>
    </row>
    <row r="35" spans="3:17" x14ac:dyDescent="0.3">
      <c r="C35" s="127">
        <v>31</v>
      </c>
      <c r="D35" s="127" t="s">
        <v>374</v>
      </c>
      <c r="E35" s="66">
        <v>46176</v>
      </c>
      <c r="F35" s="127">
        <v>0.76500000000000001</v>
      </c>
      <c r="G35" s="127"/>
      <c r="H35" s="127"/>
      <c r="L35" s="127">
        <v>81</v>
      </c>
      <c r="M35" s="127" t="s">
        <v>409</v>
      </c>
      <c r="N35" s="285">
        <v>46255</v>
      </c>
      <c r="O35" s="127">
        <v>0.42199999999999999</v>
      </c>
      <c r="P35" s="127"/>
      <c r="Q35" s="127"/>
    </row>
    <row r="36" spans="3:17" x14ac:dyDescent="0.3">
      <c r="C36" s="127">
        <v>32</v>
      </c>
      <c r="D36" s="127" t="s">
        <v>375</v>
      </c>
      <c r="E36" s="66">
        <v>46176</v>
      </c>
      <c r="F36" s="127">
        <v>1.2350000000000001</v>
      </c>
      <c r="G36" s="127"/>
      <c r="H36" s="127"/>
      <c r="L36" s="127">
        <v>82</v>
      </c>
      <c r="M36" s="127" t="s">
        <v>411</v>
      </c>
      <c r="N36" s="285">
        <v>46255</v>
      </c>
      <c r="O36" s="127">
        <v>0.16700000000000001</v>
      </c>
      <c r="P36" s="127"/>
      <c r="Q36" s="127"/>
    </row>
    <row r="37" spans="3:17" x14ac:dyDescent="0.3">
      <c r="C37" s="127">
        <v>33</v>
      </c>
      <c r="D37" s="127" t="s">
        <v>384</v>
      </c>
      <c r="E37" s="77">
        <v>46251</v>
      </c>
      <c r="F37" s="127">
        <v>1.0349999999999999</v>
      </c>
      <c r="G37" s="127"/>
      <c r="H37" s="127"/>
      <c r="L37" s="127">
        <v>83</v>
      </c>
      <c r="M37" s="127" t="s">
        <v>413</v>
      </c>
      <c r="N37" s="285">
        <v>46255</v>
      </c>
      <c r="O37" s="127">
        <v>0.31</v>
      </c>
      <c r="P37" s="127"/>
      <c r="Q37" s="127"/>
    </row>
    <row r="38" spans="3:17" x14ac:dyDescent="0.3">
      <c r="C38" s="127">
        <v>34</v>
      </c>
      <c r="D38" s="127" t="s">
        <v>385</v>
      </c>
      <c r="E38" s="77">
        <v>46251</v>
      </c>
      <c r="F38" s="127">
        <v>0.52600000000000002</v>
      </c>
      <c r="G38" s="127"/>
      <c r="H38" s="127"/>
      <c r="L38" s="127">
        <v>84</v>
      </c>
      <c r="M38" s="127" t="s">
        <v>394</v>
      </c>
      <c r="N38" s="285">
        <v>46255</v>
      </c>
      <c r="O38" s="127">
        <v>0.23100000000000001</v>
      </c>
      <c r="P38" s="127"/>
      <c r="Q38" s="127"/>
    </row>
    <row r="39" spans="3:17" x14ac:dyDescent="0.3">
      <c r="C39" s="127">
        <v>35</v>
      </c>
      <c r="D39" s="127" t="s">
        <v>386</v>
      </c>
      <c r="E39" s="77">
        <v>46251</v>
      </c>
      <c r="F39" s="127">
        <v>0.81599999999999995</v>
      </c>
      <c r="G39" s="127"/>
      <c r="H39" s="127"/>
      <c r="L39" s="127">
        <v>85</v>
      </c>
      <c r="M39" s="127" t="s">
        <v>401</v>
      </c>
      <c r="N39" s="285">
        <v>46256</v>
      </c>
      <c r="O39" s="127">
        <v>2.5209999999999999</v>
      </c>
      <c r="P39" s="127"/>
      <c r="Q39" s="127"/>
    </row>
    <row r="40" spans="3:17" x14ac:dyDescent="0.3">
      <c r="C40" s="127">
        <v>36</v>
      </c>
      <c r="D40" s="127" t="s">
        <v>387</v>
      </c>
      <c r="E40" s="77">
        <v>46251</v>
      </c>
      <c r="F40" s="127">
        <v>0.34399999999999997</v>
      </c>
      <c r="G40" s="127"/>
      <c r="H40" s="127"/>
      <c r="L40" s="127">
        <v>86</v>
      </c>
      <c r="M40" s="127" t="s">
        <v>403</v>
      </c>
      <c r="N40" s="285">
        <v>46256</v>
      </c>
      <c r="O40" s="127">
        <v>0.308</v>
      </c>
      <c r="P40" s="127"/>
      <c r="Q40" s="127"/>
    </row>
    <row r="41" spans="3:17" x14ac:dyDescent="0.3">
      <c r="C41" s="127">
        <v>37</v>
      </c>
      <c r="D41" s="127" t="s">
        <v>388</v>
      </c>
      <c r="E41" s="77">
        <v>46251</v>
      </c>
      <c r="F41" s="127">
        <v>0.30399999999999999</v>
      </c>
      <c r="G41" s="127"/>
      <c r="H41" s="127"/>
      <c r="L41" s="127">
        <v>87</v>
      </c>
      <c r="M41" s="127" t="s">
        <v>405</v>
      </c>
      <c r="N41" s="285">
        <v>46256</v>
      </c>
      <c r="O41" s="127">
        <v>0.35099999999999998</v>
      </c>
      <c r="P41" s="127"/>
      <c r="Q41" s="127"/>
    </row>
    <row r="42" spans="3:17" x14ac:dyDescent="0.3">
      <c r="C42" s="127">
        <v>38</v>
      </c>
      <c r="D42" s="127" t="s">
        <v>389</v>
      </c>
      <c r="E42" s="77">
        <v>46251</v>
      </c>
      <c r="F42" s="127">
        <v>0.74399999999999999</v>
      </c>
      <c r="G42" s="127"/>
      <c r="H42" s="127"/>
      <c r="L42" s="127">
        <v>88</v>
      </c>
      <c r="M42" s="127" t="s">
        <v>407</v>
      </c>
      <c r="N42" s="285">
        <v>46256</v>
      </c>
      <c r="O42" s="127">
        <v>0.751</v>
      </c>
      <c r="P42" s="127"/>
      <c r="Q42" s="127"/>
    </row>
    <row r="43" spans="3:17" x14ac:dyDescent="0.3">
      <c r="C43" s="127">
        <v>39</v>
      </c>
      <c r="D43" s="127" t="s">
        <v>390</v>
      </c>
      <c r="E43" s="77">
        <v>46251</v>
      </c>
      <c r="F43" s="127">
        <v>0.56299999999999994</v>
      </c>
      <c r="G43" s="127"/>
      <c r="H43" s="127"/>
      <c r="L43" s="127">
        <v>89</v>
      </c>
      <c r="M43" s="127" t="s">
        <v>409</v>
      </c>
      <c r="N43" s="285">
        <v>46256</v>
      </c>
      <c r="O43" s="127">
        <v>0.60399999999999998</v>
      </c>
      <c r="P43" s="127"/>
      <c r="Q43" s="127"/>
    </row>
    <row r="44" spans="3:17" x14ac:dyDescent="0.3">
      <c r="C44" s="127">
        <v>40</v>
      </c>
      <c r="D44" s="127" t="s">
        <v>391</v>
      </c>
      <c r="E44" s="77">
        <v>46251</v>
      </c>
      <c r="F44" s="127">
        <v>0.438</v>
      </c>
      <c r="G44" s="127"/>
      <c r="H44" s="127"/>
      <c r="L44" s="127">
        <v>90</v>
      </c>
      <c r="M44" s="127" t="s">
        <v>411</v>
      </c>
      <c r="N44" s="285">
        <v>46256</v>
      </c>
      <c r="O44" s="127">
        <v>4.7E-2</v>
      </c>
      <c r="P44" s="127"/>
      <c r="Q44" s="127"/>
    </row>
    <row r="45" spans="3:17" x14ac:dyDescent="0.3">
      <c r="C45" s="127">
        <v>41</v>
      </c>
      <c r="D45" s="127" t="s">
        <v>392</v>
      </c>
      <c r="E45" s="77">
        <v>46251</v>
      </c>
      <c r="F45" s="127">
        <v>0.45800000000000002</v>
      </c>
      <c r="G45" s="127"/>
      <c r="H45" s="127"/>
      <c r="L45" s="127">
        <v>91</v>
      </c>
      <c r="M45" s="127" t="s">
        <v>413</v>
      </c>
      <c r="N45" s="285">
        <v>46256</v>
      </c>
      <c r="O45" s="127">
        <v>0.35699999999999998</v>
      </c>
      <c r="P45" s="127"/>
      <c r="Q45" s="127"/>
    </row>
    <row r="46" spans="3:17" x14ac:dyDescent="0.3">
      <c r="C46" s="127">
        <v>42</v>
      </c>
      <c r="D46" s="127" t="s">
        <v>393</v>
      </c>
      <c r="E46" s="77">
        <v>46252</v>
      </c>
      <c r="F46" s="127">
        <v>0.55800000000000005</v>
      </c>
      <c r="G46" s="127"/>
      <c r="H46" s="127"/>
      <c r="L46" s="127">
        <v>92</v>
      </c>
      <c r="M46" s="127" t="s">
        <v>394</v>
      </c>
      <c r="N46" s="285">
        <v>46256</v>
      </c>
      <c r="O46" s="127">
        <v>0.40699999999999997</v>
      </c>
      <c r="P46" s="127"/>
      <c r="Q46" s="127"/>
    </row>
    <row r="47" spans="3:17" x14ac:dyDescent="0.3">
      <c r="C47" s="127">
        <v>43</v>
      </c>
      <c r="D47" s="127" t="s">
        <v>394</v>
      </c>
      <c r="E47" s="77">
        <v>46252</v>
      </c>
      <c r="F47" s="127">
        <v>0.501</v>
      </c>
      <c r="G47" s="127"/>
      <c r="H47" s="127"/>
      <c r="L47" s="127">
        <v>93</v>
      </c>
      <c r="M47" s="127" t="s">
        <v>414</v>
      </c>
      <c r="N47" s="285">
        <v>46256</v>
      </c>
      <c r="O47" s="127">
        <v>0.318</v>
      </c>
      <c r="P47" s="127"/>
      <c r="Q47" s="127"/>
    </row>
    <row r="48" spans="3:17" x14ac:dyDescent="0.3">
      <c r="C48" s="127">
        <v>44</v>
      </c>
      <c r="D48" s="127" t="s">
        <v>395</v>
      </c>
      <c r="E48" s="77">
        <v>46252</v>
      </c>
      <c r="F48" s="127">
        <v>1.25</v>
      </c>
      <c r="G48" s="127"/>
      <c r="H48" s="127"/>
      <c r="L48" s="127">
        <v>94</v>
      </c>
      <c r="M48" s="127" t="s">
        <v>399</v>
      </c>
      <c r="N48" s="285">
        <v>46258</v>
      </c>
      <c r="O48" s="127">
        <v>0.502</v>
      </c>
      <c r="P48" s="127"/>
      <c r="Q48" s="127"/>
    </row>
    <row r="49" spans="3:17" x14ac:dyDescent="0.3">
      <c r="C49" s="127">
        <v>45</v>
      </c>
      <c r="D49" s="127" t="s">
        <v>399</v>
      </c>
      <c r="E49" s="285">
        <v>46253</v>
      </c>
      <c r="F49" s="127">
        <v>0.35099999999999998</v>
      </c>
      <c r="G49" s="127"/>
      <c r="H49" s="127"/>
      <c r="L49" s="127">
        <v>95</v>
      </c>
      <c r="M49" s="127" t="s">
        <v>401</v>
      </c>
      <c r="N49" s="285">
        <v>46258</v>
      </c>
      <c r="O49" s="127">
        <v>0.38800000000000001</v>
      </c>
      <c r="P49" s="127"/>
      <c r="Q49" s="127"/>
    </row>
    <row r="50" spans="3:17" x14ac:dyDescent="0.3">
      <c r="C50" s="127">
        <v>46</v>
      </c>
      <c r="D50" s="127" t="s">
        <v>400</v>
      </c>
      <c r="E50" s="285">
        <v>46253</v>
      </c>
      <c r="F50" s="127">
        <v>2.028</v>
      </c>
      <c r="G50" s="127"/>
      <c r="H50" s="127"/>
      <c r="L50" s="127">
        <v>96</v>
      </c>
      <c r="M50" s="127" t="s">
        <v>403</v>
      </c>
      <c r="N50" s="285">
        <v>46258</v>
      </c>
      <c r="O50" s="127">
        <v>1.0409999999999999</v>
      </c>
      <c r="P50" s="127"/>
      <c r="Q50" s="127"/>
    </row>
    <row r="51" spans="3:17" x14ac:dyDescent="0.3">
      <c r="C51" s="127">
        <v>47</v>
      </c>
      <c r="D51" s="127" t="s">
        <v>401</v>
      </c>
      <c r="E51" s="285">
        <v>46253</v>
      </c>
      <c r="F51" s="127">
        <v>1.8380000000000001</v>
      </c>
      <c r="G51" s="127"/>
      <c r="H51" s="127"/>
      <c r="L51" s="127">
        <v>97</v>
      </c>
      <c r="M51" s="127" t="s">
        <v>405</v>
      </c>
      <c r="N51" s="285">
        <v>46258</v>
      </c>
      <c r="O51" s="127">
        <v>1.47</v>
      </c>
      <c r="P51" s="127"/>
      <c r="Q51" s="127"/>
    </row>
    <row r="52" spans="3:17" x14ac:dyDescent="0.3">
      <c r="C52" s="127">
        <v>48</v>
      </c>
      <c r="D52" s="127" t="s">
        <v>402</v>
      </c>
      <c r="E52" s="285">
        <v>46253</v>
      </c>
      <c r="F52" s="127">
        <v>1.3220000000000001</v>
      </c>
      <c r="G52" s="127"/>
      <c r="H52" s="127"/>
      <c r="L52" s="127">
        <v>98</v>
      </c>
      <c r="M52" s="127" t="s">
        <v>407</v>
      </c>
      <c r="N52" s="285">
        <v>46258</v>
      </c>
      <c r="O52" s="127">
        <v>3.8769999999999998</v>
      </c>
      <c r="P52" s="127"/>
      <c r="Q52" s="127"/>
    </row>
    <row r="53" spans="3:17" x14ac:dyDescent="0.3">
      <c r="C53" s="127">
        <v>49</v>
      </c>
      <c r="D53" s="127" t="s">
        <v>403</v>
      </c>
      <c r="E53" s="285">
        <v>46253</v>
      </c>
      <c r="F53" s="127">
        <v>0.65100000000000002</v>
      </c>
      <c r="G53" s="127"/>
      <c r="H53" s="127"/>
      <c r="L53" s="127">
        <v>99</v>
      </c>
      <c r="M53" s="127" t="s">
        <v>409</v>
      </c>
      <c r="N53" s="285">
        <v>46258</v>
      </c>
      <c r="O53" s="127">
        <v>0.35099999999999998</v>
      </c>
      <c r="P53" s="127"/>
      <c r="Q53" s="127"/>
    </row>
    <row r="54" spans="3:17" x14ac:dyDescent="0.3">
      <c r="C54" s="127">
        <v>50</v>
      </c>
      <c r="D54" s="127" t="s">
        <v>404</v>
      </c>
      <c r="E54" s="285">
        <v>46253</v>
      </c>
      <c r="F54" s="127">
        <v>0.50600000000000001</v>
      </c>
      <c r="G54" s="127"/>
      <c r="H54" s="127"/>
      <c r="L54" s="127">
        <v>100</v>
      </c>
      <c r="M54" s="127" t="s">
        <v>411</v>
      </c>
      <c r="N54" s="285">
        <v>46258</v>
      </c>
      <c r="O54" s="127">
        <v>0.32600000000000001</v>
      </c>
      <c r="P54" s="127"/>
      <c r="Q54" s="127"/>
    </row>
    <row r="55" spans="3:17" x14ac:dyDescent="0.3">
      <c r="L55" s="127">
        <v>101</v>
      </c>
      <c r="M55" s="127" t="s">
        <v>413</v>
      </c>
      <c r="N55" s="285">
        <v>46258</v>
      </c>
      <c r="O55" s="127">
        <v>0.24</v>
      </c>
      <c r="P55" s="127"/>
      <c r="Q55" s="127"/>
    </row>
    <row r="56" spans="3:17" x14ac:dyDescent="0.3">
      <c r="L56" s="127">
        <v>102</v>
      </c>
      <c r="M56" s="127" t="s">
        <v>394</v>
      </c>
      <c r="N56" s="285">
        <v>46258</v>
      </c>
      <c r="O56" s="127">
        <v>1.077</v>
      </c>
      <c r="P56" s="127"/>
      <c r="Q56" s="127"/>
    </row>
    <row r="57" spans="3:17" x14ac:dyDescent="0.3">
      <c r="L57" s="220">
        <v>103</v>
      </c>
      <c r="M57" s="220" t="s">
        <v>407</v>
      </c>
      <c r="N57" s="285">
        <v>46261</v>
      </c>
      <c r="O57" s="6">
        <v>0.253</v>
      </c>
      <c r="P57" s="21"/>
      <c r="Q57" s="21"/>
    </row>
    <row r="58" spans="3:17" x14ac:dyDescent="0.3">
      <c r="L58" s="220">
        <v>104</v>
      </c>
      <c r="M58" s="220" t="s">
        <v>409</v>
      </c>
      <c r="N58" s="285">
        <v>46261</v>
      </c>
      <c r="O58" s="6">
        <v>0.73199999999999998</v>
      </c>
      <c r="P58" s="21"/>
      <c r="Q58" s="21"/>
    </row>
    <row r="59" spans="3:17" x14ac:dyDescent="0.3">
      <c r="L59" s="220">
        <v>105</v>
      </c>
      <c r="M59" s="220" t="s">
        <v>411</v>
      </c>
      <c r="N59" s="285">
        <v>46261</v>
      </c>
      <c r="O59" s="6">
        <v>0.45400000000000001</v>
      </c>
      <c r="P59" s="21"/>
      <c r="Q59" s="21"/>
    </row>
    <row r="60" spans="3:17" x14ac:dyDescent="0.3">
      <c r="L60" s="220">
        <v>106</v>
      </c>
      <c r="M60" s="220" t="s">
        <v>413</v>
      </c>
      <c r="N60" s="285">
        <v>46261</v>
      </c>
      <c r="O60" s="6">
        <v>0.61599999999999999</v>
      </c>
      <c r="P60" s="21"/>
      <c r="Q60" s="21"/>
    </row>
    <row r="61" spans="3:17" x14ac:dyDescent="0.3">
      <c r="L61" s="220">
        <v>107</v>
      </c>
      <c r="M61" s="220" t="s">
        <v>394</v>
      </c>
      <c r="N61" s="285">
        <v>46261</v>
      </c>
      <c r="O61" s="6">
        <v>0.24199999999999999</v>
      </c>
      <c r="P61" s="21"/>
      <c r="Q61" s="21"/>
    </row>
    <row r="62" spans="3:17" x14ac:dyDescent="0.3">
      <c r="L62" s="220">
        <v>108</v>
      </c>
      <c r="M62" s="220" t="s">
        <v>414</v>
      </c>
      <c r="N62" s="285">
        <v>46261</v>
      </c>
      <c r="O62" s="6">
        <v>2.0979999999999999</v>
      </c>
      <c r="P62" s="21"/>
      <c r="Q62" s="21"/>
    </row>
    <row r="63" spans="3:17" x14ac:dyDescent="0.3">
      <c r="L63" s="220">
        <v>109</v>
      </c>
      <c r="M63" s="220" t="s">
        <v>416</v>
      </c>
      <c r="N63" s="285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65" t="s">
        <v>283</v>
      </c>
      <c r="C1" s="765"/>
      <c r="D1" s="765"/>
      <c r="E1" s="765"/>
      <c r="F1" s="765"/>
      <c r="G1" s="765"/>
      <c r="H1" s="765"/>
      <c r="I1" s="765"/>
      <c r="J1" s="765"/>
      <c r="K1" s="765"/>
      <c r="L1" s="765"/>
      <c r="M1" s="765"/>
      <c r="N1" s="765"/>
      <c r="O1" s="765"/>
      <c r="P1" s="765"/>
      <c r="Q1" s="765"/>
      <c r="R1" s="765"/>
      <c r="S1" s="765"/>
      <c r="T1">
        <f>125+150</f>
        <v>275</v>
      </c>
    </row>
    <row r="2" spans="1:42" ht="18" x14ac:dyDescent="0.35">
      <c r="B2" s="765" t="s">
        <v>284</v>
      </c>
      <c r="C2" s="765"/>
      <c r="D2" s="765"/>
      <c r="E2" s="765"/>
      <c r="F2" s="765"/>
      <c r="G2" s="765"/>
      <c r="H2" s="765"/>
      <c r="I2" s="765"/>
      <c r="J2" s="765"/>
      <c r="K2" s="765"/>
      <c r="L2" s="765"/>
      <c r="M2" s="765"/>
      <c r="N2" s="765"/>
      <c r="O2" s="765"/>
      <c r="P2" s="765"/>
      <c r="Q2" s="765"/>
      <c r="R2" s="765"/>
      <c r="S2" s="765"/>
    </row>
    <row r="3" spans="1:42" ht="18" x14ac:dyDescent="0.35">
      <c r="B3" s="765" t="s">
        <v>285</v>
      </c>
      <c r="C3" s="765"/>
      <c r="D3" s="765"/>
      <c r="E3" s="765"/>
      <c r="F3" s="765"/>
      <c r="G3" s="765"/>
      <c r="H3" s="765"/>
      <c r="I3" s="765"/>
      <c r="J3" s="765"/>
      <c r="K3" s="765"/>
      <c r="L3" s="765"/>
      <c r="M3" s="765"/>
      <c r="N3" s="765"/>
      <c r="O3" s="765"/>
      <c r="P3" s="765"/>
      <c r="Q3" s="765"/>
      <c r="R3" s="765"/>
      <c r="S3" s="765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66"/>
      <c r="C5" s="767"/>
      <c r="D5" s="766" t="s">
        <v>25</v>
      </c>
      <c r="E5" s="768"/>
      <c r="F5" s="767"/>
      <c r="G5" s="766" t="s">
        <v>26</v>
      </c>
      <c r="H5" s="768"/>
      <c r="I5" s="767"/>
      <c r="J5" s="766" t="s">
        <v>325</v>
      </c>
      <c r="K5" s="767"/>
      <c r="L5" s="118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8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9" t="s">
        <v>175</v>
      </c>
      <c r="V6" s="119" t="s">
        <v>336</v>
      </c>
      <c r="X6" s="769" t="s">
        <v>163</v>
      </c>
      <c r="Y6" s="769"/>
      <c r="Z6" s="769"/>
      <c r="AA6" s="769"/>
      <c r="AB6" s="769"/>
      <c r="AC6" s="769"/>
    </row>
    <row r="7" spans="1:42" x14ac:dyDescent="0.3">
      <c r="A7" s="22">
        <v>46262</v>
      </c>
      <c r="B7" s="139" t="s">
        <v>13</v>
      </c>
      <c r="C7" s="405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9" t="s">
        <v>224</v>
      </c>
      <c r="Y7" s="129" t="s">
        <v>161</v>
      </c>
      <c r="Z7" s="129" t="s">
        <v>162</v>
      </c>
      <c r="AA7" s="129" t="s">
        <v>164</v>
      </c>
      <c r="AB7" s="129" t="s">
        <v>291</v>
      </c>
      <c r="AC7" s="129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7">
        <f>O56+U56</f>
        <v>1625</v>
      </c>
      <c r="Y8" s="127">
        <f t="shared" ref="Y8:Z8" si="1">P56</f>
        <v>3500</v>
      </c>
      <c r="Z8" s="127">
        <f t="shared" si="1"/>
        <v>2500</v>
      </c>
      <c r="AA8" s="127">
        <f>T56</f>
        <v>75</v>
      </c>
      <c r="AB8" s="128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62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44" t="s">
        <v>342</v>
      </c>
      <c r="Y10" s="744"/>
      <c r="Z10" s="744"/>
      <c r="AA10" s="744"/>
      <c r="AB10" s="744"/>
      <c r="AC10" s="218"/>
    </row>
    <row r="11" spans="1:42" x14ac:dyDescent="0.3">
      <c r="A11" s="22">
        <v>46266</v>
      </c>
      <c r="B11" s="19" t="s">
        <v>13</v>
      </c>
      <c r="C11" s="466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0">
        <f>X8/'Au Cal Leaching Tank'!K61</f>
        <v>0.90248116593623362</v>
      </c>
      <c r="Y11" s="130">
        <f>P56/'Au Cal Leaching Tank'!K61</f>
        <v>1.9438055881703493</v>
      </c>
      <c r="Z11" s="130">
        <f>Z8/'Au Cal Leaching Tank'!K61</f>
        <v>1.388432562978821</v>
      </c>
      <c r="AA11" s="130">
        <f>AA8/'Au Cal Leaching Tank'!K61</f>
        <v>4.1652976889364632E-2</v>
      </c>
      <c r="AB11" s="130">
        <f>AB8/'Au Cal Leaching Tank'!K61</f>
        <v>0</v>
      </c>
      <c r="AC11" s="130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66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0"/>
      <c r="Y12" s="130"/>
      <c r="Z12" s="130"/>
      <c r="AA12" s="130"/>
      <c r="AB12" s="130"/>
      <c r="AC12" s="130"/>
    </row>
    <row r="13" spans="1:42" x14ac:dyDescent="0.3">
      <c r="A13" s="22">
        <v>46267</v>
      </c>
      <c r="B13" s="19" t="s">
        <v>13</v>
      </c>
      <c r="C13" s="466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33" t="s">
        <v>176</v>
      </c>
      <c r="Y13" s="233" t="s">
        <v>165</v>
      </c>
      <c r="Z13" s="233" t="s">
        <v>166</v>
      </c>
      <c r="AA13" s="233" t="s">
        <v>167</v>
      </c>
      <c r="AB13" s="233" t="s">
        <v>295</v>
      </c>
      <c r="AC13" s="233" t="s">
        <v>341</v>
      </c>
    </row>
    <row r="14" spans="1:42" x14ac:dyDescent="0.3">
      <c r="A14" s="22">
        <v>46267</v>
      </c>
      <c r="B14" s="19" t="s">
        <v>14</v>
      </c>
      <c r="C14" s="466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70"/>
      <c r="Y14" s="470"/>
      <c r="Z14" s="470"/>
      <c r="AA14" s="470"/>
      <c r="AB14" s="470"/>
      <c r="AC14" s="470"/>
    </row>
    <row r="15" spans="1:42" x14ac:dyDescent="0.3">
      <c r="A15" s="22">
        <v>46268</v>
      </c>
      <c r="B15" s="19" t="s">
        <v>13</v>
      </c>
      <c r="C15" s="466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506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85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93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93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506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67"/>
    </row>
    <row r="25" spans="1:27" x14ac:dyDescent="0.3">
      <c r="A25" s="22">
        <v>46275</v>
      </c>
      <c r="B25" s="19" t="s">
        <v>14</v>
      </c>
      <c r="C25" s="507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67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67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76" activePane="bottomLeft" state="frozen"/>
      <selection pane="bottomLeft" activeCell="O88" sqref="O8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86" bestFit="1" customWidth="1"/>
    <col min="7" max="7" width="13.77734375" style="1" bestFit="1" customWidth="1"/>
    <col min="8" max="8" width="14.5546875" style="289" customWidth="1"/>
    <col min="9" max="9" width="10.44140625" style="29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5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95" t="s">
        <v>0</v>
      </c>
      <c r="C4" s="796"/>
      <c r="D4" s="796"/>
      <c r="E4" s="796"/>
      <c r="F4" s="796"/>
      <c r="G4" s="796"/>
      <c r="H4" s="796"/>
      <c r="I4" s="796"/>
      <c r="J4" s="796"/>
      <c r="K4" s="796"/>
      <c r="L4" s="796"/>
      <c r="M4" s="796"/>
      <c r="N4" s="796"/>
      <c r="O4" s="797"/>
    </row>
    <row r="5" spans="2:27" ht="57.6" customHeight="1" thickBot="1" x14ac:dyDescent="0.35">
      <c r="B5" s="792" t="s">
        <v>1</v>
      </c>
      <c r="C5" s="793"/>
      <c r="D5" s="293" t="s">
        <v>293</v>
      </c>
      <c r="E5" s="360" t="s">
        <v>2</v>
      </c>
      <c r="F5" s="294" t="s">
        <v>3</v>
      </c>
      <c r="G5" s="295" t="s">
        <v>4</v>
      </c>
      <c r="H5" s="296" t="s">
        <v>5</v>
      </c>
      <c r="I5" s="297" t="s">
        <v>6</v>
      </c>
      <c r="J5" s="359" t="s">
        <v>7</v>
      </c>
      <c r="K5" s="359" t="s">
        <v>8</v>
      </c>
      <c r="L5" s="361" t="s">
        <v>9</v>
      </c>
      <c r="M5" s="359" t="s">
        <v>10</v>
      </c>
      <c r="N5" s="359" t="s">
        <v>11</v>
      </c>
      <c r="O5" s="362" t="s">
        <v>177</v>
      </c>
      <c r="S5" s="766" t="s">
        <v>12</v>
      </c>
      <c r="T5" s="767"/>
      <c r="W5" s="742" t="s">
        <v>19</v>
      </c>
      <c r="X5" s="742"/>
      <c r="Y5" s="742"/>
      <c r="Z5" s="742"/>
      <c r="AA5" s="742"/>
    </row>
    <row r="6" spans="2:27" ht="13.95" customHeight="1" thickBot="1" x14ac:dyDescent="0.4">
      <c r="B6" s="772">
        <v>46174</v>
      </c>
      <c r="C6" s="773"/>
      <c r="D6" s="298" t="s">
        <v>13</v>
      </c>
      <c r="E6" s="299"/>
      <c r="F6" s="300"/>
      <c r="G6" s="301"/>
      <c r="H6" s="302"/>
      <c r="I6" s="303" t="str">
        <f>IFERROR((VLOOKUP(G6,S$6:T$8,2,FALSE)),"")</f>
        <v/>
      </c>
      <c r="J6" s="304"/>
      <c r="K6" s="305" t="str">
        <f>IFERROR((F6*I6*J6),"")</f>
        <v/>
      </c>
      <c r="L6" s="306" t="str">
        <f>IFERROR(((F6*I6)*J6)*(1-H6),"")</f>
        <v/>
      </c>
      <c r="M6" s="306" t="str">
        <f>IFERROR((K6/12),"")</f>
        <v/>
      </c>
      <c r="N6" s="778">
        <f>SUM(L6:L7)</f>
        <v>0</v>
      </c>
      <c r="O6" s="307"/>
      <c r="P6" s="4"/>
      <c r="S6" s="277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74"/>
      <c r="C7" s="775"/>
      <c r="D7" s="308" t="s">
        <v>14</v>
      </c>
      <c r="E7" s="309"/>
      <c r="F7" s="310"/>
      <c r="G7" s="311"/>
      <c r="H7" s="312"/>
      <c r="I7" s="303" t="str">
        <f t="shared" ref="I7" si="0">IFERROR((VLOOKUP(G7,S$6:T$8,2,FALSE)),"")</f>
        <v/>
      </c>
      <c r="J7" s="304"/>
      <c r="K7" s="305" t="str">
        <f>IFERROR((F7*I7*J7),"")</f>
        <v/>
      </c>
      <c r="L7" s="306" t="str">
        <f t="shared" ref="L7:L9" si="1">IFERROR(((F7*I7)*J7)*(1-H7),"")</f>
        <v/>
      </c>
      <c r="M7" s="306" t="str">
        <f t="shared" ref="M7:M9" si="2">IFERROR((K7/12),"")</f>
        <v/>
      </c>
      <c r="N7" s="779"/>
      <c r="O7" s="307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786">
        <v>46175</v>
      </c>
      <c r="C8" s="787"/>
      <c r="D8" s="363" t="s">
        <v>13</v>
      </c>
      <c r="E8" s="364" t="s">
        <v>170</v>
      </c>
      <c r="F8" s="365">
        <v>141</v>
      </c>
      <c r="G8" s="366" t="s">
        <v>441</v>
      </c>
      <c r="H8" s="367">
        <v>0.18</v>
      </c>
      <c r="I8" s="368">
        <f>IFERROR((VLOOKUP(G8,S$6:T$8,2,FALSE)),"")</f>
        <v>0.5</v>
      </c>
      <c r="J8" s="304">
        <v>1.35</v>
      </c>
      <c r="K8" s="369">
        <f t="shared" ref="K8:K61" si="3">IFERROR((F8*I8*J8),"")</f>
        <v>95.175000000000011</v>
      </c>
      <c r="L8" s="370">
        <f t="shared" si="1"/>
        <v>78.043500000000009</v>
      </c>
      <c r="M8" s="370">
        <f>IFERROR((K8/6),"")</f>
        <v>15.862500000000002</v>
      </c>
      <c r="N8" s="790">
        <f>SUM(L8:L9)</f>
        <v>78.043500000000009</v>
      </c>
      <c r="O8" s="371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788"/>
      <c r="C9" s="789"/>
      <c r="D9" s="372" t="s">
        <v>14</v>
      </c>
      <c r="E9" s="373"/>
      <c r="F9" s="374"/>
      <c r="G9" s="413"/>
      <c r="H9" s="375"/>
      <c r="I9" s="376" t="str">
        <f t="shared" ref="I9:I86" si="4">IFERROR((VLOOKUP(G9,S$6:T$8,2,FALSE)),"")</f>
        <v/>
      </c>
      <c r="J9" s="304"/>
      <c r="K9" s="369" t="str">
        <f t="shared" si="3"/>
        <v/>
      </c>
      <c r="L9" s="370" t="str">
        <f t="shared" si="1"/>
        <v/>
      </c>
      <c r="M9" s="370" t="str">
        <f t="shared" si="2"/>
        <v/>
      </c>
      <c r="N9" s="791"/>
      <c r="O9" s="378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772">
        <v>46176</v>
      </c>
      <c r="C10" s="773"/>
      <c r="D10" s="298" t="s">
        <v>13</v>
      </c>
      <c r="E10" s="299" t="s">
        <v>170</v>
      </c>
      <c r="F10" s="300">
        <v>32</v>
      </c>
      <c r="G10" s="417" t="s">
        <v>441</v>
      </c>
      <c r="H10" s="302">
        <v>0.18</v>
      </c>
      <c r="I10" s="303">
        <f t="shared" si="4"/>
        <v>0.5</v>
      </c>
      <c r="J10" s="304">
        <v>1.35</v>
      </c>
      <c r="K10" s="305">
        <f t="shared" si="3"/>
        <v>21.6</v>
      </c>
      <c r="L10" s="306">
        <f t="shared" ref="L10:L61" si="5">IFERROR(((F10*I10)*J10)*(1-H10),"")</f>
        <v>17.712000000000003</v>
      </c>
      <c r="M10" s="306">
        <f t="shared" ref="M10:M61" si="6">IFERROR((K10/12),"")</f>
        <v>1.8</v>
      </c>
      <c r="N10" s="784">
        <f>SUM(L10:L11)</f>
        <v>17.712000000000003</v>
      </c>
      <c r="O10" s="316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774"/>
      <c r="C11" s="775"/>
      <c r="D11" s="308" t="s">
        <v>14</v>
      </c>
      <c r="E11" s="309"/>
      <c r="F11" s="313"/>
      <c r="G11" s="416"/>
      <c r="H11" s="312"/>
      <c r="I11" s="314" t="str">
        <f t="shared" si="4"/>
        <v/>
      </c>
      <c r="J11" s="304"/>
      <c r="K11" s="305" t="str">
        <f t="shared" si="3"/>
        <v/>
      </c>
      <c r="L11" s="317" t="str">
        <f t="shared" si="5"/>
        <v/>
      </c>
      <c r="M11" s="318" t="str">
        <f t="shared" si="6"/>
        <v/>
      </c>
      <c r="N11" s="785"/>
      <c r="O11" s="319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786">
        <v>46177</v>
      </c>
      <c r="C12" s="787"/>
      <c r="D12" s="363" t="s">
        <v>13</v>
      </c>
      <c r="E12" s="364" t="s">
        <v>173</v>
      </c>
      <c r="F12" s="365">
        <v>282</v>
      </c>
      <c r="G12" s="366" t="s">
        <v>441</v>
      </c>
      <c r="H12" s="367">
        <v>0.17</v>
      </c>
      <c r="I12" s="368">
        <f t="shared" si="4"/>
        <v>0.5</v>
      </c>
      <c r="J12" s="304">
        <v>1.35</v>
      </c>
      <c r="K12" s="369">
        <f t="shared" si="3"/>
        <v>190.35000000000002</v>
      </c>
      <c r="L12" s="370">
        <f t="shared" si="5"/>
        <v>157.9905</v>
      </c>
      <c r="M12" s="370">
        <f t="shared" si="6"/>
        <v>15.862500000000002</v>
      </c>
      <c r="N12" s="790">
        <f t="shared" ref="N12" si="8">SUM(L12:L13)</f>
        <v>157.9905</v>
      </c>
      <c r="O12" s="371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788"/>
      <c r="C13" s="789"/>
      <c r="D13" s="372" t="s">
        <v>14</v>
      </c>
      <c r="E13" s="373"/>
      <c r="F13" s="374"/>
      <c r="G13" s="415"/>
      <c r="H13" s="375"/>
      <c r="I13" s="376" t="str">
        <f t="shared" si="4"/>
        <v/>
      </c>
      <c r="J13" s="304"/>
      <c r="K13" s="369" t="str">
        <f t="shared" si="3"/>
        <v/>
      </c>
      <c r="L13" s="377" t="str">
        <f t="shared" si="5"/>
        <v/>
      </c>
      <c r="M13" s="379" t="str">
        <f t="shared" si="6"/>
        <v/>
      </c>
      <c r="N13" s="791"/>
      <c r="O13" s="37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72">
        <v>46252</v>
      </c>
      <c r="C14" s="773"/>
      <c r="D14" s="298" t="s">
        <v>13</v>
      </c>
      <c r="E14" s="299" t="s">
        <v>200</v>
      </c>
      <c r="F14" s="300">
        <v>62</v>
      </c>
      <c r="G14" s="417" t="s">
        <v>441</v>
      </c>
      <c r="H14" s="302">
        <v>0.12</v>
      </c>
      <c r="I14" s="303">
        <f t="shared" si="4"/>
        <v>0.5</v>
      </c>
      <c r="J14" s="304">
        <v>1.39</v>
      </c>
      <c r="K14" s="305">
        <f>IFERROR((F14*I14*J14),"")</f>
        <v>43.089999999999996</v>
      </c>
      <c r="L14" s="306">
        <f t="shared" si="5"/>
        <v>37.919199999999996</v>
      </c>
      <c r="M14" s="306">
        <f>IFERROR((K14/12),"")</f>
        <v>3.5908333333333329</v>
      </c>
      <c r="N14" s="784">
        <f t="shared" ref="N14" si="9">SUM(L14:L15)</f>
        <v>37.919199999999996</v>
      </c>
      <c r="O14" s="307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74"/>
      <c r="C15" s="775"/>
      <c r="D15" s="308" t="s">
        <v>14</v>
      </c>
      <c r="E15" s="320"/>
      <c r="F15" s="313"/>
      <c r="G15" s="416"/>
      <c r="H15" s="312"/>
      <c r="I15" s="314" t="str">
        <f t="shared" si="4"/>
        <v/>
      </c>
      <c r="J15" s="304"/>
      <c r="K15" s="321" t="str">
        <f t="shared" si="3"/>
        <v/>
      </c>
      <c r="L15" s="317" t="str">
        <f t="shared" si="5"/>
        <v/>
      </c>
      <c r="M15" s="318" t="str">
        <f t="shared" si="6"/>
        <v/>
      </c>
      <c r="N15" s="785"/>
      <c r="O15" s="307"/>
    </row>
    <row r="16" spans="2:27" ht="18.600000000000001" thickBot="1" x14ac:dyDescent="0.4">
      <c r="B16" s="786">
        <v>46253</v>
      </c>
      <c r="C16" s="787"/>
      <c r="D16" s="363" t="s">
        <v>13</v>
      </c>
      <c r="E16" s="364" t="s">
        <v>200</v>
      </c>
      <c r="F16" s="365">
        <v>463</v>
      </c>
      <c r="G16" s="366" t="s">
        <v>441</v>
      </c>
      <c r="H16" s="367">
        <v>0.12</v>
      </c>
      <c r="I16" s="368">
        <f t="shared" si="4"/>
        <v>0.5</v>
      </c>
      <c r="J16" s="304">
        <v>1.39</v>
      </c>
      <c r="K16" s="369">
        <f t="shared" si="3"/>
        <v>321.78499999999997</v>
      </c>
      <c r="L16" s="370">
        <f>IFERROR(((F16*I16)*J16)*(1-H16),"")</f>
        <v>283.17079999999999</v>
      </c>
      <c r="M16" s="370">
        <f t="shared" si="6"/>
        <v>26.815416666666664</v>
      </c>
      <c r="N16" s="790">
        <f>SUM(L16:L17)</f>
        <v>283.17079999999999</v>
      </c>
      <c r="O16" s="371" t="s">
        <v>417</v>
      </c>
      <c r="S16" s="1">
        <f>S14/1.4</f>
        <v>45.714285714285715</v>
      </c>
    </row>
    <row r="17" spans="2:23" ht="18.600000000000001" thickBot="1" x14ac:dyDescent="0.4">
      <c r="B17" s="788"/>
      <c r="C17" s="789"/>
      <c r="D17" s="372" t="s">
        <v>14</v>
      </c>
      <c r="E17" s="380"/>
      <c r="F17" s="374"/>
      <c r="G17" s="415"/>
      <c r="H17" s="375"/>
      <c r="I17" s="376" t="str">
        <f t="shared" si="4"/>
        <v/>
      </c>
      <c r="J17" s="304"/>
      <c r="K17" s="381" t="str">
        <f t="shared" si="3"/>
        <v/>
      </c>
      <c r="L17" s="377" t="str">
        <f t="shared" si="5"/>
        <v/>
      </c>
      <c r="M17" s="379" t="str">
        <f t="shared" si="6"/>
        <v/>
      </c>
      <c r="N17" s="791"/>
      <c r="O17" s="371" t="s">
        <v>396</v>
      </c>
    </row>
    <row r="18" spans="2:23" ht="18.600000000000001" thickBot="1" x14ac:dyDescent="0.4">
      <c r="B18" s="772">
        <v>46254</v>
      </c>
      <c r="C18" s="773"/>
      <c r="D18" s="298" t="s">
        <v>13</v>
      </c>
      <c r="E18" s="299" t="s">
        <v>200</v>
      </c>
      <c r="F18" s="300">
        <v>539</v>
      </c>
      <c r="G18" s="417" t="s">
        <v>441</v>
      </c>
      <c r="H18" s="302">
        <v>0.1</v>
      </c>
      <c r="I18" s="303">
        <f>IFERROR((VLOOKUP(G18,S$6:T$8,2,FALSE)),"")</f>
        <v>0.5</v>
      </c>
      <c r="J18" s="304">
        <v>1.39</v>
      </c>
      <c r="K18" s="305">
        <f t="shared" si="3"/>
        <v>374.60499999999996</v>
      </c>
      <c r="L18" s="306">
        <f>IFERROR(((F18*I18)*J18)*(1-H18),"")</f>
        <v>337.14449999999999</v>
      </c>
      <c r="M18" s="306">
        <f>IFERROR((K18/12),"")</f>
        <v>31.217083333333331</v>
      </c>
      <c r="N18" s="784">
        <f>SUM(L18:L19)-V20</f>
        <v>337.14449999999999</v>
      </c>
      <c r="O18" s="307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774"/>
      <c r="C19" s="775"/>
      <c r="D19" s="322" t="s">
        <v>14</v>
      </c>
      <c r="E19" s="323"/>
      <c r="F19" s="324"/>
      <c r="G19" s="414"/>
      <c r="H19" s="326"/>
      <c r="I19" s="327" t="str">
        <f t="shared" si="4"/>
        <v/>
      </c>
      <c r="J19" s="304"/>
      <c r="K19" s="328" t="str">
        <f t="shared" si="3"/>
        <v/>
      </c>
      <c r="L19" s="329" t="str">
        <f t="shared" si="5"/>
        <v/>
      </c>
      <c r="M19" s="330" t="str">
        <f t="shared" si="6"/>
        <v/>
      </c>
      <c r="N19" s="794"/>
      <c r="O19" s="307" t="s">
        <v>418</v>
      </c>
      <c r="T19" s="116"/>
    </row>
    <row r="20" spans="2:23" ht="18.600000000000001" thickBot="1" x14ac:dyDescent="0.4">
      <c r="B20" s="772">
        <v>46255</v>
      </c>
      <c r="C20" s="773"/>
      <c r="D20" s="298" t="s">
        <v>13</v>
      </c>
      <c r="E20" s="299" t="s">
        <v>200</v>
      </c>
      <c r="F20" s="300">
        <v>409</v>
      </c>
      <c r="G20" s="417" t="s">
        <v>441</v>
      </c>
      <c r="H20" s="302">
        <v>0.1</v>
      </c>
      <c r="I20" s="303">
        <f>IFERROR((VLOOKUP(G20,S$6:T$8,2,FALSE)),"")</f>
        <v>0.5</v>
      </c>
      <c r="J20" s="304">
        <v>1.39</v>
      </c>
      <c r="K20" s="305">
        <f t="shared" ref="K20:K21" si="10">IFERROR((F20*I20*J20),"")</f>
        <v>284.255</v>
      </c>
      <c r="L20" s="306">
        <f>IFERROR(((F20*I20)*J20)*(1-H20),"")</f>
        <v>255.8295</v>
      </c>
      <c r="M20" s="306">
        <f>IFERROR(((K20+K21)/12),"")</f>
        <v>26.931250000000002</v>
      </c>
      <c r="N20" s="784">
        <f>SUM(L20:L21)</f>
        <v>290.85750000000002</v>
      </c>
      <c r="O20" s="307" t="str">
        <f>'Crushing Down Time Hours'!G9</f>
        <v>isitrahat jumat 11-13, 16:20-16:55 Perbaikan Cone Crusher</v>
      </c>
      <c r="S20" s="2"/>
      <c r="T20" s="116"/>
    </row>
    <row r="21" spans="2:23" ht="18.600000000000001" thickBot="1" x14ac:dyDescent="0.4">
      <c r="B21" s="774"/>
      <c r="C21" s="775"/>
      <c r="D21" s="322" t="s">
        <v>14</v>
      </c>
      <c r="E21" s="323"/>
      <c r="F21" s="324">
        <v>10</v>
      </c>
      <c r="G21" s="325" t="s">
        <v>16</v>
      </c>
      <c r="H21" s="326">
        <v>0.1</v>
      </c>
      <c r="I21" s="327">
        <f t="shared" ref="I21" si="11">IFERROR((VLOOKUP(G21,S$6:T$8,2,FALSE)),"")</f>
        <v>2.8</v>
      </c>
      <c r="J21" s="304">
        <v>1.39</v>
      </c>
      <c r="K21" s="328">
        <f t="shared" si="10"/>
        <v>38.919999999999995</v>
      </c>
      <c r="L21" s="329">
        <f t="shared" ref="L21" si="12">IFERROR(((F21*I21)*J21)*(1-H21),"")</f>
        <v>35.027999999999999</v>
      </c>
      <c r="M21" s="330"/>
      <c r="N21" s="794"/>
      <c r="O21" s="307"/>
      <c r="S21" s="2"/>
      <c r="T21" s="117"/>
    </row>
    <row r="22" spans="2:23" ht="18.600000000000001" thickBot="1" x14ac:dyDescent="0.4">
      <c r="B22" s="772">
        <v>46256</v>
      </c>
      <c r="C22" s="773"/>
      <c r="D22" s="298" t="s">
        <v>13</v>
      </c>
      <c r="E22" s="299" t="s">
        <v>200</v>
      </c>
      <c r="F22" s="300">
        <v>315</v>
      </c>
      <c r="G22" s="301" t="s">
        <v>441</v>
      </c>
      <c r="H22" s="302">
        <v>0.1</v>
      </c>
      <c r="I22" s="303">
        <f>IFERROR((VLOOKUP(G22,S$6:T$8,2,FALSE)),"")</f>
        <v>0.5</v>
      </c>
      <c r="J22" s="304">
        <v>1.39</v>
      </c>
      <c r="K22" s="305">
        <f t="shared" si="3"/>
        <v>218.92499999999998</v>
      </c>
      <c r="L22" s="306">
        <f t="shared" si="5"/>
        <v>197.0325</v>
      </c>
      <c r="M22" s="331">
        <f t="shared" si="6"/>
        <v>18.243749999999999</v>
      </c>
      <c r="N22" s="784">
        <f>SUM(L22:L23)-V24</f>
        <v>197.0325</v>
      </c>
      <c r="O22" s="315" t="str">
        <f>'Crushing Down Time Hours'!G10</f>
        <v xml:space="preserve">Material Habis hanya running 9 Jam </v>
      </c>
      <c r="Q22" s="4"/>
      <c r="S22" s="3"/>
      <c r="T22" s="116"/>
    </row>
    <row r="23" spans="2:23" ht="18.600000000000001" thickBot="1" x14ac:dyDescent="0.4">
      <c r="B23" s="774"/>
      <c r="C23" s="775"/>
      <c r="D23" s="308" t="s">
        <v>14</v>
      </c>
      <c r="E23" s="320"/>
      <c r="F23" s="313"/>
      <c r="G23" s="311"/>
      <c r="H23" s="312"/>
      <c r="I23" s="314" t="str">
        <f t="shared" si="4"/>
        <v/>
      </c>
      <c r="J23" s="304"/>
      <c r="K23" s="321" t="str">
        <f t="shared" si="3"/>
        <v/>
      </c>
      <c r="L23" s="317" t="str">
        <f t="shared" si="5"/>
        <v/>
      </c>
      <c r="M23" s="332" t="str">
        <f t="shared" si="6"/>
        <v/>
      </c>
      <c r="N23" s="785"/>
      <c r="O23" s="307"/>
      <c r="P23" s="11"/>
      <c r="T23" s="116"/>
    </row>
    <row r="24" spans="2:23" ht="18.600000000000001" thickBot="1" x14ac:dyDescent="0.4">
      <c r="B24" s="772">
        <v>46257</v>
      </c>
      <c r="C24" s="773"/>
      <c r="D24" s="298" t="s">
        <v>13</v>
      </c>
      <c r="E24" s="299"/>
      <c r="F24" s="300"/>
      <c r="G24" s="301"/>
      <c r="H24" s="302"/>
      <c r="I24" s="303" t="str">
        <f t="shared" si="4"/>
        <v/>
      </c>
      <c r="J24" s="304"/>
      <c r="K24" s="305" t="str">
        <f t="shared" si="3"/>
        <v/>
      </c>
      <c r="L24" s="306" t="str">
        <f t="shared" si="5"/>
        <v/>
      </c>
      <c r="M24" s="306" t="str">
        <f t="shared" si="6"/>
        <v/>
      </c>
      <c r="N24" s="784">
        <f>SUM(L24:L25)-V26</f>
        <v>0</v>
      </c>
      <c r="O24" s="307"/>
    </row>
    <row r="25" spans="2:23" ht="18.600000000000001" thickBot="1" x14ac:dyDescent="0.4">
      <c r="B25" s="774"/>
      <c r="C25" s="775"/>
      <c r="D25" s="308" t="s">
        <v>14</v>
      </c>
      <c r="E25" s="320"/>
      <c r="F25" s="313"/>
      <c r="G25" s="311"/>
      <c r="H25" s="302"/>
      <c r="I25" s="314" t="str">
        <f t="shared" si="4"/>
        <v/>
      </c>
      <c r="J25" s="304"/>
      <c r="K25" s="321" t="str">
        <f t="shared" si="3"/>
        <v/>
      </c>
      <c r="L25" s="317" t="str">
        <f t="shared" si="5"/>
        <v/>
      </c>
      <c r="M25" s="318" t="str">
        <f t="shared" si="6"/>
        <v/>
      </c>
      <c r="N25" s="785"/>
      <c r="O25" s="307"/>
      <c r="T25" s="3"/>
    </row>
    <row r="26" spans="2:23" ht="18.600000000000001" thickBot="1" x14ac:dyDescent="0.4">
      <c r="B26" s="772">
        <v>46258</v>
      </c>
      <c r="C26" s="773"/>
      <c r="D26" s="298" t="s">
        <v>13</v>
      </c>
      <c r="E26" s="299" t="s">
        <v>200</v>
      </c>
      <c r="F26" s="300">
        <v>234</v>
      </c>
      <c r="G26" s="301" t="s">
        <v>441</v>
      </c>
      <c r="H26" s="302">
        <v>0.1</v>
      </c>
      <c r="I26" s="303">
        <f t="shared" si="4"/>
        <v>0.5</v>
      </c>
      <c r="J26" s="304">
        <v>1.39</v>
      </c>
      <c r="K26" s="305">
        <f t="shared" si="3"/>
        <v>162.63</v>
      </c>
      <c r="L26" s="306">
        <f t="shared" si="5"/>
        <v>146.36699999999999</v>
      </c>
      <c r="M26" s="306">
        <f t="shared" si="6"/>
        <v>13.5525</v>
      </c>
      <c r="N26" s="784">
        <f>SUM(L26:L27)-V28</f>
        <v>163.881</v>
      </c>
      <c r="O26" s="307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74"/>
      <c r="C27" s="775"/>
      <c r="D27" s="308" t="s">
        <v>14</v>
      </c>
      <c r="E27" s="320" t="s">
        <v>170</v>
      </c>
      <c r="F27" s="313">
        <v>5</v>
      </c>
      <c r="G27" s="311" t="s">
        <v>16</v>
      </c>
      <c r="H27" s="312">
        <v>0.1</v>
      </c>
      <c r="I27" s="314">
        <f t="shared" si="4"/>
        <v>2.8</v>
      </c>
      <c r="J27" s="304">
        <v>1.39</v>
      </c>
      <c r="K27" s="333">
        <f t="shared" si="3"/>
        <v>19.459999999999997</v>
      </c>
      <c r="L27" s="317">
        <f t="shared" si="5"/>
        <v>17.513999999999999</v>
      </c>
      <c r="M27" s="318">
        <f t="shared" si="6"/>
        <v>1.6216666666666664</v>
      </c>
      <c r="N27" s="785"/>
      <c r="O27" s="307"/>
    </row>
    <row r="28" spans="2:23" ht="18.600000000000001" thickBot="1" x14ac:dyDescent="0.4">
      <c r="B28" s="772">
        <v>46259</v>
      </c>
      <c r="C28" s="773"/>
      <c r="D28" s="298" t="s">
        <v>13</v>
      </c>
      <c r="E28" s="299"/>
      <c r="F28" s="300"/>
      <c r="G28" s="301"/>
      <c r="H28" s="302"/>
      <c r="I28" s="303" t="str">
        <f t="shared" si="4"/>
        <v/>
      </c>
      <c r="J28" s="304"/>
      <c r="K28" s="305" t="str">
        <f t="shared" si="3"/>
        <v/>
      </c>
      <c r="L28" s="306" t="str">
        <f>IFERROR(((F28*I28)*J28)*(1-H28),"")</f>
        <v/>
      </c>
      <c r="M28" s="306" t="str">
        <f t="shared" si="6"/>
        <v/>
      </c>
      <c r="N28" s="778">
        <f>SUM(L28:L29)</f>
        <v>0</v>
      </c>
      <c r="O28" s="307"/>
    </row>
    <row r="29" spans="2:23" ht="18.600000000000001" thickBot="1" x14ac:dyDescent="0.4">
      <c r="B29" s="774"/>
      <c r="C29" s="775"/>
      <c r="D29" s="308" t="s">
        <v>14</v>
      </c>
      <c r="E29" s="320"/>
      <c r="F29" s="313"/>
      <c r="G29" s="311"/>
      <c r="H29" s="312"/>
      <c r="I29" s="303" t="str">
        <f t="shared" si="4"/>
        <v/>
      </c>
      <c r="J29" s="304"/>
      <c r="K29" s="305" t="str">
        <f t="shared" si="3"/>
        <v/>
      </c>
      <c r="L29" s="317" t="str">
        <f t="shared" si="5"/>
        <v/>
      </c>
      <c r="M29" s="318" t="str">
        <f t="shared" si="6"/>
        <v/>
      </c>
      <c r="N29" s="779"/>
      <c r="O29" s="307"/>
      <c r="P29" s="11"/>
    </row>
    <row r="30" spans="2:23" ht="18.600000000000001" thickBot="1" x14ac:dyDescent="0.4">
      <c r="B30" s="772">
        <v>46260</v>
      </c>
      <c r="C30" s="773"/>
      <c r="D30" s="298" t="s">
        <v>13</v>
      </c>
      <c r="E30" s="299"/>
      <c r="F30" s="300"/>
      <c r="G30" s="301"/>
      <c r="H30" s="302"/>
      <c r="I30" s="303" t="str">
        <f t="shared" si="4"/>
        <v/>
      </c>
      <c r="J30" s="304"/>
      <c r="K30" s="305" t="str">
        <f t="shared" si="3"/>
        <v/>
      </c>
      <c r="L30" s="306" t="str">
        <f t="shared" si="5"/>
        <v/>
      </c>
      <c r="M30" s="306" t="str">
        <f t="shared" si="6"/>
        <v/>
      </c>
      <c r="N30" s="778">
        <f t="shared" ref="N30" si="13">SUM(L30:L31)</f>
        <v>0</v>
      </c>
      <c r="O30" s="307"/>
    </row>
    <row r="31" spans="2:23" ht="18.600000000000001" thickBot="1" x14ac:dyDescent="0.4">
      <c r="B31" s="774"/>
      <c r="C31" s="775"/>
      <c r="D31" s="308" t="s">
        <v>14</v>
      </c>
      <c r="E31" s="320"/>
      <c r="F31" s="313"/>
      <c r="G31" s="311"/>
      <c r="H31" s="312"/>
      <c r="I31" s="303" t="str">
        <f t="shared" si="4"/>
        <v/>
      </c>
      <c r="J31" s="304"/>
      <c r="K31" s="305" t="str">
        <f t="shared" si="3"/>
        <v/>
      </c>
      <c r="L31" s="317" t="str">
        <f t="shared" si="5"/>
        <v/>
      </c>
      <c r="M31" s="318" t="str">
        <f t="shared" si="6"/>
        <v/>
      </c>
      <c r="N31" s="779"/>
      <c r="O31" s="307"/>
    </row>
    <row r="32" spans="2:23" ht="54.6" thickBot="1" x14ac:dyDescent="0.4">
      <c r="B32" s="772">
        <v>46261</v>
      </c>
      <c r="C32" s="773"/>
      <c r="D32" s="298" t="s">
        <v>13</v>
      </c>
      <c r="E32" s="299" t="s">
        <v>429</v>
      </c>
      <c r="F32" s="300">
        <v>202</v>
      </c>
      <c r="G32" s="301" t="s">
        <v>441</v>
      </c>
      <c r="H32" s="302">
        <v>0.11</v>
      </c>
      <c r="I32" s="303">
        <f t="shared" si="4"/>
        <v>0.5</v>
      </c>
      <c r="J32" s="304">
        <v>1.39</v>
      </c>
      <c r="K32" s="305">
        <f t="shared" si="3"/>
        <v>140.38999999999999</v>
      </c>
      <c r="L32" s="306">
        <f t="shared" si="5"/>
        <v>124.94709999999999</v>
      </c>
      <c r="M32" s="306">
        <f t="shared" si="6"/>
        <v>11.699166666666665</v>
      </c>
      <c r="N32" s="778">
        <f>SUM(L32:L33)</f>
        <v>124.94709999999999</v>
      </c>
      <c r="O32" s="409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74"/>
      <c r="C33" s="775"/>
      <c r="D33" s="308" t="s">
        <v>14</v>
      </c>
      <c r="E33" s="320"/>
      <c r="F33" s="313"/>
      <c r="G33" s="311"/>
      <c r="H33" s="312"/>
      <c r="I33" s="303" t="str">
        <f t="shared" si="4"/>
        <v/>
      </c>
      <c r="J33" s="304"/>
      <c r="K33" s="305" t="str">
        <f t="shared" si="3"/>
        <v/>
      </c>
      <c r="L33" s="317" t="str">
        <f t="shared" si="5"/>
        <v/>
      </c>
      <c r="M33" s="318" t="str">
        <f t="shared" si="6"/>
        <v/>
      </c>
      <c r="N33" s="779"/>
      <c r="O33" s="307"/>
    </row>
    <row r="34" spans="2:24" ht="18.600000000000001" thickBot="1" x14ac:dyDescent="0.4">
      <c r="B34" s="772">
        <v>46262</v>
      </c>
      <c r="C34" s="773"/>
      <c r="D34" s="298" t="s">
        <v>13</v>
      </c>
      <c r="E34" s="299" t="s">
        <v>170</v>
      </c>
      <c r="F34" s="300">
        <v>290</v>
      </c>
      <c r="G34" s="301" t="s">
        <v>441</v>
      </c>
      <c r="H34" s="302">
        <v>0.11</v>
      </c>
      <c r="I34" s="303">
        <f t="shared" si="4"/>
        <v>0.5</v>
      </c>
      <c r="J34" s="304">
        <v>1.3</v>
      </c>
      <c r="K34" s="305">
        <f t="shared" si="3"/>
        <v>188.5</v>
      </c>
      <c r="L34" s="306">
        <f t="shared" si="5"/>
        <v>167.76500000000001</v>
      </c>
      <c r="M34" s="306">
        <f t="shared" si="6"/>
        <v>15.708333333333334</v>
      </c>
      <c r="N34" s="778">
        <f>SUM(L34:L35)</f>
        <v>167.76500000000001</v>
      </c>
      <c r="O34" s="307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74"/>
      <c r="C35" s="775"/>
      <c r="D35" s="308" t="s">
        <v>14</v>
      </c>
      <c r="E35" s="320"/>
      <c r="F35" s="313"/>
      <c r="G35" s="311"/>
      <c r="H35" s="312"/>
      <c r="I35" s="303" t="str">
        <f t="shared" si="4"/>
        <v/>
      </c>
      <c r="J35" s="304"/>
      <c r="K35" s="305" t="str">
        <f t="shared" si="3"/>
        <v/>
      </c>
      <c r="L35" s="317" t="str">
        <f>IFERROR(((F35*I35)*J35)*(1-H35),"")</f>
        <v/>
      </c>
      <c r="M35" s="318" t="str">
        <f t="shared" si="6"/>
        <v/>
      </c>
      <c r="N35" s="779"/>
      <c r="O35" s="307"/>
    </row>
    <row r="36" spans="2:24" ht="18.600000000000001" thickBot="1" x14ac:dyDescent="0.35">
      <c r="B36" s="772">
        <v>46263</v>
      </c>
      <c r="C36" s="773"/>
      <c r="D36" s="298" t="s">
        <v>13</v>
      </c>
      <c r="E36" s="299" t="s">
        <v>170</v>
      </c>
      <c r="F36" s="300">
        <v>411</v>
      </c>
      <c r="G36" s="301" t="s">
        <v>441</v>
      </c>
      <c r="H36" s="302">
        <v>0.1</v>
      </c>
      <c r="I36" s="303">
        <f t="shared" si="4"/>
        <v>0.5</v>
      </c>
      <c r="J36" s="304">
        <v>1.3</v>
      </c>
      <c r="K36" s="305">
        <f t="shared" si="3"/>
        <v>267.15000000000003</v>
      </c>
      <c r="L36" s="306">
        <f t="shared" si="5"/>
        <v>240.43500000000003</v>
      </c>
      <c r="M36" s="306">
        <f t="shared" ref="M36:M37" si="14">IFERROR((K36/12),"")</f>
        <v>22.262500000000003</v>
      </c>
      <c r="N36" s="778">
        <f>SUM(L36:L37)</f>
        <v>240.43500000000003</v>
      </c>
      <c r="O36" s="770" t="str">
        <f>'Crushing Down Time Hours'!G17</f>
        <v>istirahat jam 12-13, 14:00-15:00 ada loading material dari mining</v>
      </c>
    </row>
    <row r="37" spans="2:24" ht="18.600000000000001" thickBot="1" x14ac:dyDescent="0.35">
      <c r="B37" s="774"/>
      <c r="C37" s="775"/>
      <c r="D37" s="308" t="s">
        <v>14</v>
      </c>
      <c r="E37" s="320"/>
      <c r="F37" s="313"/>
      <c r="G37" s="311"/>
      <c r="H37" s="312"/>
      <c r="I37" s="303" t="str">
        <f t="shared" si="4"/>
        <v/>
      </c>
      <c r="J37" s="304"/>
      <c r="K37" s="305" t="str">
        <f t="shared" si="3"/>
        <v/>
      </c>
      <c r="L37" s="317" t="str">
        <f t="shared" si="5"/>
        <v/>
      </c>
      <c r="M37" s="318" t="str">
        <f t="shared" si="14"/>
        <v/>
      </c>
      <c r="N37" s="779"/>
      <c r="O37" s="771"/>
    </row>
    <row r="38" spans="2:24" ht="18.600000000000001" thickBot="1" x14ac:dyDescent="0.4">
      <c r="B38" s="772">
        <v>46264</v>
      </c>
      <c r="C38" s="773"/>
      <c r="D38" s="298" t="s">
        <v>13</v>
      </c>
      <c r="E38" s="299" t="s">
        <v>170</v>
      </c>
      <c r="F38" s="300">
        <v>92</v>
      </c>
      <c r="G38" s="301" t="s">
        <v>441</v>
      </c>
      <c r="H38" s="302">
        <v>0.1</v>
      </c>
      <c r="I38" s="303">
        <f t="shared" si="4"/>
        <v>0.5</v>
      </c>
      <c r="J38" s="304">
        <v>1.3</v>
      </c>
      <c r="K38" s="305">
        <f t="shared" si="3"/>
        <v>59.800000000000004</v>
      </c>
      <c r="L38" s="306">
        <f t="shared" si="5"/>
        <v>53.820000000000007</v>
      </c>
      <c r="M38" s="306">
        <f t="shared" si="6"/>
        <v>4.9833333333333334</v>
      </c>
      <c r="N38" s="778">
        <f t="shared" ref="N38" si="15">SUM(L38:L39)</f>
        <v>53.820000000000007</v>
      </c>
      <c r="O38" s="307"/>
      <c r="Q38" s="4"/>
    </row>
    <row r="39" spans="2:24" ht="18.600000000000001" thickBot="1" x14ac:dyDescent="0.4">
      <c r="B39" s="774"/>
      <c r="C39" s="775"/>
      <c r="D39" s="308" t="s">
        <v>14</v>
      </c>
      <c r="E39" s="320"/>
      <c r="F39" s="313"/>
      <c r="G39" s="311"/>
      <c r="H39" s="312"/>
      <c r="I39" s="303" t="str">
        <f t="shared" si="4"/>
        <v/>
      </c>
      <c r="J39" s="304"/>
      <c r="K39" s="305" t="str">
        <f t="shared" si="3"/>
        <v/>
      </c>
      <c r="L39" s="317" t="str">
        <f t="shared" si="5"/>
        <v/>
      </c>
      <c r="M39" s="318" t="str">
        <f t="shared" si="6"/>
        <v/>
      </c>
      <c r="N39" s="779"/>
      <c r="O39" s="307"/>
    </row>
    <row r="40" spans="2:24" ht="18.600000000000001" thickBot="1" x14ac:dyDescent="0.4">
      <c r="B40" s="772">
        <v>46265</v>
      </c>
      <c r="C40" s="773"/>
      <c r="D40" s="298" t="s">
        <v>13</v>
      </c>
      <c r="E40" s="299"/>
      <c r="F40" s="300"/>
      <c r="G40" s="301"/>
      <c r="H40" s="302"/>
      <c r="I40" s="303" t="str">
        <f t="shared" si="4"/>
        <v/>
      </c>
      <c r="J40" s="304"/>
      <c r="K40" s="305" t="str">
        <f t="shared" si="3"/>
        <v/>
      </c>
      <c r="L40" s="306" t="str">
        <f>IFERROR(((F40*I40)*J40)*(1-H40),"")</f>
        <v/>
      </c>
      <c r="M40" s="306" t="str">
        <f t="shared" si="6"/>
        <v/>
      </c>
      <c r="N40" s="778">
        <f>SUM(L40:L41)</f>
        <v>0</v>
      </c>
      <c r="O40" s="307"/>
    </row>
    <row r="41" spans="2:24" ht="18.600000000000001" thickBot="1" x14ac:dyDescent="0.4">
      <c r="B41" s="774"/>
      <c r="C41" s="775"/>
      <c r="D41" s="308" t="s">
        <v>14</v>
      </c>
      <c r="E41" s="320"/>
      <c r="F41" s="313"/>
      <c r="G41" s="311"/>
      <c r="H41" s="312"/>
      <c r="I41" s="303" t="str">
        <f t="shared" si="4"/>
        <v/>
      </c>
      <c r="J41" s="304"/>
      <c r="K41" s="305" t="str">
        <f t="shared" si="3"/>
        <v/>
      </c>
      <c r="L41" s="317" t="str">
        <f t="shared" si="5"/>
        <v/>
      </c>
      <c r="M41" s="318" t="str">
        <f t="shared" si="6"/>
        <v/>
      </c>
      <c r="N41" s="779"/>
      <c r="O41" s="307"/>
    </row>
    <row r="42" spans="2:24" ht="18.600000000000001" thickBot="1" x14ac:dyDescent="0.4">
      <c r="B42" s="772">
        <v>46266</v>
      </c>
      <c r="C42" s="773"/>
      <c r="D42" s="298" t="s">
        <v>13</v>
      </c>
      <c r="E42" s="334"/>
      <c r="F42" s="335"/>
      <c r="G42" s="336"/>
      <c r="H42" s="337"/>
      <c r="I42" s="303" t="str">
        <f t="shared" si="4"/>
        <v/>
      </c>
      <c r="J42" s="304"/>
      <c r="K42" s="305" t="str">
        <f t="shared" si="3"/>
        <v/>
      </c>
      <c r="L42" s="306" t="str">
        <f t="shared" si="5"/>
        <v/>
      </c>
      <c r="M42" s="306" t="str">
        <f t="shared" si="6"/>
        <v/>
      </c>
      <c r="N42" s="778">
        <f t="shared" ref="N42" si="16">SUM(L42:L43)</f>
        <v>0</v>
      </c>
      <c r="O42" s="307"/>
    </row>
    <row r="43" spans="2:24" ht="18.600000000000001" thickBot="1" x14ac:dyDescent="0.4">
      <c r="B43" s="774"/>
      <c r="C43" s="775"/>
      <c r="D43" s="308" t="s">
        <v>14</v>
      </c>
      <c r="E43" s="320"/>
      <c r="F43" s="313"/>
      <c r="G43" s="311"/>
      <c r="H43" s="312"/>
      <c r="I43" s="303" t="str">
        <f t="shared" si="4"/>
        <v/>
      </c>
      <c r="J43" s="304"/>
      <c r="K43" s="305" t="str">
        <f t="shared" si="3"/>
        <v/>
      </c>
      <c r="L43" s="317" t="str">
        <f t="shared" si="5"/>
        <v/>
      </c>
      <c r="M43" s="318" t="str">
        <f t="shared" si="6"/>
        <v/>
      </c>
      <c r="N43" s="779"/>
      <c r="O43" s="307"/>
    </row>
    <row r="44" spans="2:24" ht="18.600000000000001" thickBot="1" x14ac:dyDescent="0.4">
      <c r="B44" s="772">
        <v>46267</v>
      </c>
      <c r="C44" s="773"/>
      <c r="D44" s="298" t="s">
        <v>13</v>
      </c>
      <c r="E44" s="334"/>
      <c r="F44" s="335"/>
      <c r="G44" s="336"/>
      <c r="H44" s="337"/>
      <c r="I44" s="303" t="str">
        <f t="shared" si="4"/>
        <v/>
      </c>
      <c r="J44" s="304"/>
      <c r="K44" s="305" t="str">
        <f t="shared" si="3"/>
        <v/>
      </c>
      <c r="L44" s="306" t="str">
        <f t="shared" si="5"/>
        <v/>
      </c>
      <c r="M44" s="306" t="str">
        <f t="shared" si="6"/>
        <v/>
      </c>
      <c r="N44" s="778">
        <f t="shared" ref="N44" si="17">SUM(L44:L45)</f>
        <v>0</v>
      </c>
      <c r="O44" s="307"/>
    </row>
    <row r="45" spans="2:24" ht="18.600000000000001" thickBot="1" x14ac:dyDescent="0.4">
      <c r="B45" s="774"/>
      <c r="C45" s="775"/>
      <c r="D45" s="308" t="s">
        <v>14</v>
      </c>
      <c r="E45" s="320"/>
      <c r="F45" s="313"/>
      <c r="G45" s="311"/>
      <c r="H45" s="312"/>
      <c r="I45" s="303" t="str">
        <f t="shared" si="4"/>
        <v/>
      </c>
      <c r="J45" s="304"/>
      <c r="K45" s="305" t="str">
        <f t="shared" si="3"/>
        <v/>
      </c>
      <c r="L45" s="338" t="str">
        <f t="shared" si="5"/>
        <v/>
      </c>
      <c r="M45" s="339" t="str">
        <f>IFERROR((K45/12),"")</f>
        <v/>
      </c>
      <c r="N45" s="779"/>
      <c r="O45" s="307"/>
    </row>
    <row r="46" spans="2:24" ht="18.600000000000001" thickBot="1" x14ac:dyDescent="0.4">
      <c r="B46" s="772">
        <v>46268</v>
      </c>
      <c r="C46" s="773"/>
      <c r="D46" s="298" t="s">
        <v>13</v>
      </c>
      <c r="E46" s="334"/>
      <c r="F46" s="335"/>
      <c r="G46" s="336"/>
      <c r="H46" s="337"/>
      <c r="I46" s="303" t="str">
        <f t="shared" si="4"/>
        <v/>
      </c>
      <c r="J46" s="304"/>
      <c r="K46" s="305" t="str">
        <f t="shared" si="3"/>
        <v/>
      </c>
      <c r="L46" s="306" t="str">
        <f t="shared" si="5"/>
        <v/>
      </c>
      <c r="M46" s="306" t="str">
        <f t="shared" si="6"/>
        <v/>
      </c>
      <c r="N46" s="778">
        <f t="shared" ref="N46:N58" si="18">SUM(L46:L47)</f>
        <v>0</v>
      </c>
      <c r="O46" s="307"/>
    </row>
    <row r="47" spans="2:24" ht="18.600000000000001" thickBot="1" x14ac:dyDescent="0.4">
      <c r="B47" s="774"/>
      <c r="C47" s="775"/>
      <c r="D47" s="308" t="s">
        <v>14</v>
      </c>
      <c r="E47" s="320"/>
      <c r="F47" s="313"/>
      <c r="G47" s="311"/>
      <c r="H47" s="312"/>
      <c r="I47" s="303" t="str">
        <f t="shared" si="4"/>
        <v/>
      </c>
      <c r="J47" s="304"/>
      <c r="K47" s="305" t="str">
        <f t="shared" si="3"/>
        <v/>
      </c>
      <c r="L47" s="317" t="str">
        <f t="shared" si="5"/>
        <v/>
      </c>
      <c r="M47" s="318" t="str">
        <f t="shared" si="6"/>
        <v/>
      </c>
      <c r="N47" s="779"/>
      <c r="O47" s="307"/>
    </row>
    <row r="48" spans="2:24" ht="18.600000000000001" thickBot="1" x14ac:dyDescent="0.4">
      <c r="B48" s="772">
        <v>46269</v>
      </c>
      <c r="C48" s="773"/>
      <c r="D48" s="298" t="s">
        <v>13</v>
      </c>
      <c r="E48" s="334"/>
      <c r="F48" s="335"/>
      <c r="G48" s="336"/>
      <c r="H48" s="337"/>
      <c r="I48" s="303" t="str">
        <f t="shared" si="4"/>
        <v/>
      </c>
      <c r="J48" s="304"/>
      <c r="K48" s="305" t="str">
        <f t="shared" si="3"/>
        <v/>
      </c>
      <c r="L48" s="306" t="str">
        <f t="shared" si="5"/>
        <v/>
      </c>
      <c r="M48" s="306" t="str">
        <f>IFERROR((K48/12),"")</f>
        <v/>
      </c>
      <c r="N48" s="778">
        <f t="shared" si="18"/>
        <v>0</v>
      </c>
      <c r="O48" s="307"/>
    </row>
    <row r="49" spans="2:22" ht="18.600000000000001" thickBot="1" x14ac:dyDescent="0.4">
      <c r="B49" s="774"/>
      <c r="C49" s="775"/>
      <c r="D49" s="308" t="s">
        <v>14</v>
      </c>
      <c r="E49" s="320"/>
      <c r="F49" s="313"/>
      <c r="G49" s="311"/>
      <c r="H49" s="312"/>
      <c r="I49" s="303" t="str">
        <f t="shared" si="4"/>
        <v/>
      </c>
      <c r="J49" s="304"/>
      <c r="K49" s="305" t="str">
        <f t="shared" si="3"/>
        <v/>
      </c>
      <c r="L49" s="317" t="str">
        <f t="shared" si="5"/>
        <v/>
      </c>
      <c r="M49" s="318" t="str">
        <f>IFERROR((K49/12),"")</f>
        <v/>
      </c>
      <c r="N49" s="779"/>
      <c r="O49" s="307"/>
    </row>
    <row r="50" spans="2:22" ht="18.600000000000001" thickBot="1" x14ac:dyDescent="0.4">
      <c r="B50" s="772">
        <v>46270</v>
      </c>
      <c r="C50" s="773"/>
      <c r="D50" s="298" t="s">
        <v>13</v>
      </c>
      <c r="E50" s="334"/>
      <c r="F50" s="335"/>
      <c r="G50" s="336"/>
      <c r="H50" s="340"/>
      <c r="I50" s="303" t="str">
        <f t="shared" si="4"/>
        <v/>
      </c>
      <c r="J50" s="304"/>
      <c r="K50" s="305" t="str">
        <f t="shared" si="3"/>
        <v/>
      </c>
      <c r="L50" s="306" t="str">
        <f t="shared" si="5"/>
        <v/>
      </c>
      <c r="M50" s="306" t="str">
        <f t="shared" si="6"/>
        <v/>
      </c>
      <c r="N50" s="778">
        <f t="shared" si="18"/>
        <v>0</v>
      </c>
      <c r="O50" s="307"/>
      <c r="R50" s="1">
        <f>180/12</f>
        <v>15</v>
      </c>
    </row>
    <row r="51" spans="2:22" ht="18.600000000000001" thickBot="1" x14ac:dyDescent="0.4">
      <c r="B51" s="774"/>
      <c r="C51" s="775"/>
      <c r="D51" s="308" t="s">
        <v>14</v>
      </c>
      <c r="E51" s="320"/>
      <c r="F51" s="313"/>
      <c r="G51" s="311"/>
      <c r="H51" s="312"/>
      <c r="I51" s="303" t="str">
        <f t="shared" si="4"/>
        <v/>
      </c>
      <c r="J51" s="304"/>
      <c r="K51" s="305" t="str">
        <f t="shared" si="3"/>
        <v/>
      </c>
      <c r="L51" s="317" t="str">
        <f t="shared" si="5"/>
        <v/>
      </c>
      <c r="M51" s="318" t="str">
        <f t="shared" si="6"/>
        <v/>
      </c>
      <c r="N51" s="779"/>
      <c r="O51" s="307"/>
      <c r="P51" s="4"/>
    </row>
    <row r="52" spans="2:22" ht="18.600000000000001" thickBot="1" x14ac:dyDescent="0.4">
      <c r="B52" s="772">
        <v>46271</v>
      </c>
      <c r="C52" s="773"/>
      <c r="D52" s="298" t="s">
        <v>13</v>
      </c>
      <c r="E52" s="334"/>
      <c r="F52" s="335"/>
      <c r="G52" s="336"/>
      <c r="H52" s="337"/>
      <c r="I52" s="303" t="str">
        <f t="shared" si="4"/>
        <v/>
      </c>
      <c r="J52" s="304"/>
      <c r="K52" s="305" t="str">
        <f t="shared" si="3"/>
        <v/>
      </c>
      <c r="L52" s="306" t="str">
        <f t="shared" si="5"/>
        <v/>
      </c>
      <c r="M52" s="306" t="str">
        <f t="shared" si="6"/>
        <v/>
      </c>
      <c r="N52" s="778">
        <f t="shared" si="18"/>
        <v>0</v>
      </c>
      <c r="O52" s="307"/>
    </row>
    <row r="53" spans="2:22" ht="18.600000000000001" thickBot="1" x14ac:dyDescent="0.4">
      <c r="B53" s="774"/>
      <c r="C53" s="775"/>
      <c r="D53" s="308" t="s">
        <v>14</v>
      </c>
      <c r="E53" s="320"/>
      <c r="F53" s="313"/>
      <c r="G53" s="311"/>
      <c r="H53" s="312"/>
      <c r="I53" s="303" t="str">
        <f>IFERROR((VLOOKUP(G53,S$6:T$8,2,FALSE)),"")</f>
        <v/>
      </c>
      <c r="J53" s="304"/>
      <c r="K53" s="305" t="str">
        <f>IFERROR((F53*I53*J53),"")</f>
        <v/>
      </c>
      <c r="L53" s="317" t="str">
        <f t="shared" si="5"/>
        <v/>
      </c>
      <c r="M53" s="318" t="str">
        <f t="shared" si="6"/>
        <v/>
      </c>
      <c r="N53" s="779"/>
      <c r="O53" s="307"/>
      <c r="R53" s="1">
        <f>R50*4</f>
        <v>60</v>
      </c>
    </row>
    <row r="54" spans="2:22" ht="18.600000000000001" thickBot="1" x14ac:dyDescent="0.4">
      <c r="B54" s="772">
        <v>46272</v>
      </c>
      <c r="C54" s="773"/>
      <c r="D54" s="298" t="s">
        <v>13</v>
      </c>
      <c r="E54" s="320"/>
      <c r="F54" s="313"/>
      <c r="G54" s="336"/>
      <c r="H54" s="337"/>
      <c r="I54" s="303" t="str">
        <f t="shared" si="4"/>
        <v/>
      </c>
      <c r="J54" s="304"/>
      <c r="K54" s="305" t="str">
        <f t="shared" si="3"/>
        <v/>
      </c>
      <c r="L54" s="306" t="str">
        <f t="shared" si="5"/>
        <v/>
      </c>
      <c r="M54" s="306" t="str">
        <f t="shared" si="6"/>
        <v/>
      </c>
      <c r="N54" s="778">
        <f t="shared" si="18"/>
        <v>0</v>
      </c>
      <c r="O54" s="307"/>
    </row>
    <row r="55" spans="2:22" ht="18.600000000000001" thickBot="1" x14ac:dyDescent="0.4">
      <c r="B55" s="774"/>
      <c r="C55" s="775"/>
      <c r="D55" s="308" t="s">
        <v>14</v>
      </c>
      <c r="E55" s="320"/>
      <c r="F55" s="313"/>
      <c r="G55" s="311"/>
      <c r="H55" s="312"/>
      <c r="I55" s="303" t="str">
        <f t="shared" si="4"/>
        <v/>
      </c>
      <c r="J55" s="304"/>
      <c r="K55" s="305" t="str">
        <f t="shared" si="3"/>
        <v/>
      </c>
      <c r="L55" s="317" t="str">
        <f t="shared" si="5"/>
        <v/>
      </c>
      <c r="M55" s="318" t="str">
        <f t="shared" si="6"/>
        <v/>
      </c>
      <c r="N55" s="779"/>
      <c r="O55" s="307"/>
      <c r="R55" s="1">
        <f>R53*1.7</f>
        <v>102</v>
      </c>
      <c r="S55" s="1">
        <v>9570</v>
      </c>
    </row>
    <row r="56" spans="2:22" ht="18.600000000000001" thickBot="1" x14ac:dyDescent="0.4">
      <c r="B56" s="772">
        <v>46273</v>
      </c>
      <c r="C56" s="773"/>
      <c r="D56" s="298" t="s">
        <v>13</v>
      </c>
      <c r="E56" s="334"/>
      <c r="F56" s="335"/>
      <c r="G56" s="336"/>
      <c r="H56" s="337"/>
      <c r="I56" s="303" t="str">
        <f t="shared" si="4"/>
        <v/>
      </c>
      <c r="J56" s="304"/>
      <c r="K56" s="305" t="str">
        <f t="shared" si="3"/>
        <v/>
      </c>
      <c r="L56" s="306" t="str">
        <f t="shared" si="5"/>
        <v/>
      </c>
      <c r="M56" s="306" t="str">
        <f t="shared" si="6"/>
        <v/>
      </c>
      <c r="N56" s="778">
        <f t="shared" si="18"/>
        <v>0</v>
      </c>
      <c r="O56" s="307"/>
      <c r="R56" s="4"/>
      <c r="S56" s="1">
        <v>9795</v>
      </c>
      <c r="U56" s="2"/>
      <c r="V56" s="2"/>
    </row>
    <row r="57" spans="2:22" ht="18.600000000000001" thickBot="1" x14ac:dyDescent="0.4">
      <c r="B57" s="774"/>
      <c r="C57" s="775"/>
      <c r="D57" s="308" t="s">
        <v>14</v>
      </c>
      <c r="E57" s="320"/>
      <c r="F57" s="313"/>
      <c r="G57" s="311"/>
      <c r="H57" s="312"/>
      <c r="I57" s="303" t="str">
        <f t="shared" si="4"/>
        <v/>
      </c>
      <c r="J57" s="304"/>
      <c r="K57" s="305" t="str">
        <f t="shared" si="3"/>
        <v/>
      </c>
      <c r="L57" s="317" t="str">
        <f t="shared" si="5"/>
        <v/>
      </c>
      <c r="M57" s="318" t="str">
        <f t="shared" si="6"/>
        <v/>
      </c>
      <c r="N57" s="779"/>
      <c r="O57" s="307"/>
      <c r="Q57" s="4"/>
      <c r="R57" s="4"/>
      <c r="S57" s="1">
        <v>1190</v>
      </c>
    </row>
    <row r="58" spans="2:22" ht="18.600000000000001" thickBot="1" x14ac:dyDescent="0.4">
      <c r="B58" s="772">
        <v>46274</v>
      </c>
      <c r="C58" s="773"/>
      <c r="D58" s="298" t="s">
        <v>13</v>
      </c>
      <c r="E58" s="334"/>
      <c r="F58" s="335"/>
      <c r="G58" s="336"/>
      <c r="H58" s="337"/>
      <c r="I58" s="303" t="str">
        <f t="shared" si="4"/>
        <v/>
      </c>
      <c r="J58" s="304"/>
      <c r="K58" s="305" t="str">
        <f t="shared" si="3"/>
        <v/>
      </c>
      <c r="L58" s="306" t="str">
        <f t="shared" si="5"/>
        <v/>
      </c>
      <c r="M58" s="306" t="str">
        <f t="shared" si="6"/>
        <v/>
      </c>
      <c r="N58" s="778">
        <f t="shared" si="18"/>
        <v>0</v>
      </c>
      <c r="O58" s="307"/>
      <c r="P58" s="11"/>
      <c r="S58" s="1">
        <f>S56-S57</f>
        <v>8605</v>
      </c>
    </row>
    <row r="59" spans="2:22" ht="18.600000000000001" thickBot="1" x14ac:dyDescent="0.4">
      <c r="B59" s="774"/>
      <c r="C59" s="775"/>
      <c r="D59" s="308" t="s">
        <v>14</v>
      </c>
      <c r="E59" s="320"/>
      <c r="F59" s="313"/>
      <c r="G59" s="311"/>
      <c r="H59" s="337"/>
      <c r="I59" s="303" t="str">
        <f t="shared" si="4"/>
        <v/>
      </c>
      <c r="J59" s="304"/>
      <c r="K59" s="321" t="str">
        <f t="shared" si="3"/>
        <v/>
      </c>
      <c r="L59" s="317" t="str">
        <f t="shared" si="5"/>
        <v/>
      </c>
      <c r="M59" s="318" t="str">
        <f t="shared" si="6"/>
        <v/>
      </c>
      <c r="N59" s="779"/>
      <c r="O59" s="307"/>
      <c r="P59" s="4"/>
      <c r="S59" s="2">
        <f>(S55-S58)/S55</f>
        <v>0.10083594566353186</v>
      </c>
    </row>
    <row r="60" spans="2:22" ht="18.600000000000001" thickBot="1" x14ac:dyDescent="0.4">
      <c r="B60" s="772">
        <v>46275</v>
      </c>
      <c r="C60" s="773"/>
      <c r="D60" s="298" t="s">
        <v>13</v>
      </c>
      <c r="E60" s="334" t="s">
        <v>170</v>
      </c>
      <c r="F60" s="335">
        <v>113</v>
      </c>
      <c r="G60" s="336" t="s">
        <v>441</v>
      </c>
      <c r="H60" s="337">
        <v>0.1</v>
      </c>
      <c r="I60" s="303">
        <f t="shared" si="4"/>
        <v>0.5</v>
      </c>
      <c r="J60" s="304">
        <v>1.32</v>
      </c>
      <c r="K60" s="305">
        <f t="shared" si="3"/>
        <v>74.58</v>
      </c>
      <c r="L60" s="306">
        <f t="shared" si="5"/>
        <v>67.122</v>
      </c>
      <c r="M60" s="331">
        <f>IFERROR((K60/12),"")</f>
        <v>6.2149999999999999</v>
      </c>
      <c r="N60" s="776">
        <f>SUM(L60:L61)</f>
        <v>73.774799999999999</v>
      </c>
      <c r="O60" s="307"/>
      <c r="P60" s="11"/>
    </row>
    <row r="61" spans="2:22" ht="18.600000000000001" thickBot="1" x14ac:dyDescent="0.4">
      <c r="B61" s="774"/>
      <c r="C61" s="775"/>
      <c r="D61" s="308" t="s">
        <v>14</v>
      </c>
      <c r="E61" s="320" t="s">
        <v>170</v>
      </c>
      <c r="F61" s="313">
        <v>2</v>
      </c>
      <c r="G61" s="311" t="s">
        <v>16</v>
      </c>
      <c r="H61" s="312">
        <v>0.1</v>
      </c>
      <c r="I61" s="303">
        <f t="shared" si="4"/>
        <v>2.8</v>
      </c>
      <c r="J61" s="304">
        <v>1.32</v>
      </c>
      <c r="K61" s="321">
        <f t="shared" si="3"/>
        <v>7.3919999999999995</v>
      </c>
      <c r="L61" s="317">
        <f t="shared" si="5"/>
        <v>6.6528</v>
      </c>
      <c r="M61" s="332">
        <f t="shared" si="6"/>
        <v>0.61599999999999999</v>
      </c>
      <c r="N61" s="777"/>
      <c r="O61" s="307"/>
      <c r="P61" s="11"/>
    </row>
    <row r="62" spans="2:22" ht="18.600000000000001" thickBot="1" x14ac:dyDescent="0.4">
      <c r="B62" s="772">
        <v>46276</v>
      </c>
      <c r="C62" s="773"/>
      <c r="D62" s="298" t="s">
        <v>13</v>
      </c>
      <c r="E62" s="334"/>
      <c r="F62" s="335"/>
      <c r="G62" s="336"/>
      <c r="H62" s="337"/>
      <c r="I62" s="303" t="str">
        <f t="shared" si="4"/>
        <v/>
      </c>
      <c r="J62" s="304"/>
      <c r="K62" s="305" t="str">
        <f t="shared" ref="K62:K63" si="19">IFERROR((F62*I62*J62),"")</f>
        <v/>
      </c>
      <c r="L62" s="306" t="str">
        <f t="shared" ref="L62:L63" si="20">IFERROR(((F62*I62)*J62)*(1-H62),"")</f>
        <v/>
      </c>
      <c r="M62" s="331" t="str">
        <f t="shared" ref="M62:M63" si="21">IFERROR((K62/12),"")</f>
        <v/>
      </c>
      <c r="N62" s="776">
        <f>SUM(L62:L63)</f>
        <v>0</v>
      </c>
      <c r="O62" s="307"/>
      <c r="P62" s="11"/>
    </row>
    <row r="63" spans="2:22" ht="18.600000000000001" thickBot="1" x14ac:dyDescent="0.4">
      <c r="B63" s="774"/>
      <c r="C63" s="775"/>
      <c r="D63" s="308" t="s">
        <v>14</v>
      </c>
      <c r="E63" s="320"/>
      <c r="F63" s="313"/>
      <c r="G63" s="311"/>
      <c r="H63" s="312"/>
      <c r="I63" s="303" t="str">
        <f t="shared" si="4"/>
        <v/>
      </c>
      <c r="J63" s="304"/>
      <c r="K63" s="321" t="str">
        <f t="shared" si="19"/>
        <v/>
      </c>
      <c r="L63" s="317" t="str">
        <f t="shared" si="20"/>
        <v/>
      </c>
      <c r="M63" s="332" t="str">
        <f t="shared" si="21"/>
        <v/>
      </c>
      <c r="N63" s="777"/>
      <c r="O63" s="307"/>
      <c r="P63" s="11"/>
    </row>
    <row r="64" spans="2:22" ht="18.600000000000001" thickBot="1" x14ac:dyDescent="0.4">
      <c r="B64" s="772">
        <v>46277</v>
      </c>
      <c r="C64" s="773"/>
      <c r="D64" s="298" t="s">
        <v>13</v>
      </c>
      <c r="E64" s="334" t="s">
        <v>170</v>
      </c>
      <c r="F64" s="335">
        <v>329</v>
      </c>
      <c r="G64" s="336" t="s">
        <v>441</v>
      </c>
      <c r="H64" s="337">
        <v>0.1</v>
      </c>
      <c r="I64" s="303">
        <f t="shared" si="4"/>
        <v>0.5</v>
      </c>
      <c r="J64" s="304">
        <v>1.32</v>
      </c>
      <c r="K64" s="305">
        <f t="shared" ref="K64:K65" si="22">IFERROR((F64*I64*J64),"")</f>
        <v>217.14000000000001</v>
      </c>
      <c r="L64" s="306">
        <f t="shared" ref="L64:L65" si="23">IFERROR(((F64*I64)*J64)*(1-H64),"")</f>
        <v>195.42600000000002</v>
      </c>
      <c r="M64" s="331">
        <f t="shared" ref="M64:M65" si="24">IFERROR((K64/12),"")</f>
        <v>18.095000000000002</v>
      </c>
      <c r="N64" s="776">
        <f>SUM(L64:L65)</f>
        <v>333.82800000000003</v>
      </c>
      <c r="O64" s="307"/>
      <c r="P64" s="11"/>
    </row>
    <row r="65" spans="2:16" ht="18.600000000000001" thickBot="1" x14ac:dyDescent="0.4">
      <c r="B65" s="774"/>
      <c r="C65" s="775"/>
      <c r="D65" s="308" t="s">
        <v>14</v>
      </c>
      <c r="E65" s="320" t="s">
        <v>589</v>
      </c>
      <c r="F65" s="313">
        <v>233</v>
      </c>
      <c r="G65" s="311" t="s">
        <v>441</v>
      </c>
      <c r="H65" s="312">
        <v>0.1</v>
      </c>
      <c r="I65" s="303">
        <f t="shared" si="4"/>
        <v>0.5</v>
      </c>
      <c r="J65" s="304">
        <v>1.32</v>
      </c>
      <c r="K65" s="333">
        <f t="shared" si="22"/>
        <v>153.78</v>
      </c>
      <c r="L65" s="317">
        <f t="shared" si="23"/>
        <v>138.40200000000002</v>
      </c>
      <c r="M65" s="332">
        <f t="shared" si="24"/>
        <v>12.815</v>
      </c>
      <c r="N65" s="777"/>
      <c r="O65" s="307"/>
      <c r="P65" s="11"/>
    </row>
    <row r="66" spans="2:16" ht="18.600000000000001" thickBot="1" x14ac:dyDescent="0.4">
      <c r="B66" s="772">
        <v>46278</v>
      </c>
      <c r="C66" s="773"/>
      <c r="D66" s="298" t="s">
        <v>13</v>
      </c>
      <c r="E66" s="334"/>
      <c r="F66" s="335"/>
      <c r="G66" s="336"/>
      <c r="H66" s="337"/>
      <c r="I66" s="303" t="str">
        <f t="shared" si="4"/>
        <v/>
      </c>
      <c r="J66" s="304"/>
      <c r="K66" s="305" t="str">
        <f t="shared" ref="K66:K67" si="25">IFERROR((F66*I66*J66),"")</f>
        <v/>
      </c>
      <c r="L66" s="306" t="str">
        <f t="shared" ref="L66:L67" si="26">IFERROR(((F66*I66)*J66)*(1-H66),"")</f>
        <v/>
      </c>
      <c r="M66" s="331" t="str">
        <f t="shared" ref="M66:M67" si="27">IFERROR((K66/12),"")</f>
        <v/>
      </c>
      <c r="N66" s="776">
        <f>SUM(L66:L67)</f>
        <v>148.83750000000001</v>
      </c>
      <c r="O66" s="307"/>
      <c r="P66" s="11"/>
    </row>
    <row r="67" spans="2:16" ht="18.600000000000001" thickBot="1" x14ac:dyDescent="0.4">
      <c r="B67" s="774"/>
      <c r="C67" s="775"/>
      <c r="D67" s="308" t="s">
        <v>14</v>
      </c>
      <c r="E67" s="320" t="s">
        <v>170</v>
      </c>
      <c r="F67" s="313">
        <v>245</v>
      </c>
      <c r="G67" s="311" t="s">
        <v>441</v>
      </c>
      <c r="H67" s="312">
        <v>0.1</v>
      </c>
      <c r="I67" s="303">
        <f t="shared" si="4"/>
        <v>0.5</v>
      </c>
      <c r="J67" s="304">
        <v>1.35</v>
      </c>
      <c r="K67" s="333">
        <f t="shared" si="25"/>
        <v>165.375</v>
      </c>
      <c r="L67" s="317">
        <f t="shared" si="26"/>
        <v>148.83750000000001</v>
      </c>
      <c r="M67" s="332">
        <f t="shared" si="27"/>
        <v>13.78125</v>
      </c>
      <c r="N67" s="777"/>
      <c r="O67" s="307"/>
      <c r="P67" s="11"/>
    </row>
    <row r="68" spans="2:16" ht="18.600000000000001" thickBot="1" x14ac:dyDescent="0.4">
      <c r="B68" s="772">
        <v>46279</v>
      </c>
      <c r="C68" s="773"/>
      <c r="D68" s="298" t="s">
        <v>13</v>
      </c>
      <c r="E68" s="334"/>
      <c r="F68" s="335"/>
      <c r="G68" s="336"/>
      <c r="H68" s="337"/>
      <c r="I68" s="303" t="str">
        <f t="shared" si="4"/>
        <v/>
      </c>
      <c r="J68" s="304"/>
      <c r="K68" s="305" t="str">
        <f t="shared" ref="K68:K75" si="28">IFERROR((F68*I68*J68),"")</f>
        <v/>
      </c>
      <c r="L68" s="306" t="str">
        <f t="shared" ref="L68:L75" si="29">IFERROR(((F68*I68)*J68)*(1-H68),"")</f>
        <v/>
      </c>
      <c r="M68" s="331" t="str">
        <f t="shared" ref="M68:M75" si="30">IFERROR((K68/12),"")</f>
        <v/>
      </c>
      <c r="N68" s="776">
        <f t="shared" ref="N68" si="31">SUM(L68:L69)</f>
        <v>0</v>
      </c>
      <c r="O68" s="307"/>
      <c r="P68" s="11"/>
    </row>
    <row r="69" spans="2:16" ht="18.600000000000001" thickBot="1" x14ac:dyDescent="0.4">
      <c r="B69" s="774"/>
      <c r="C69" s="775"/>
      <c r="D69" s="308" t="s">
        <v>14</v>
      </c>
      <c r="E69" s="320"/>
      <c r="F69" s="313"/>
      <c r="G69" s="311"/>
      <c r="H69" s="312"/>
      <c r="I69" s="303" t="str">
        <f t="shared" si="4"/>
        <v/>
      </c>
      <c r="J69" s="304"/>
      <c r="K69" s="333" t="str">
        <f t="shared" si="28"/>
        <v/>
      </c>
      <c r="L69" s="317" t="str">
        <f t="shared" si="29"/>
        <v/>
      </c>
      <c r="M69" s="332" t="str">
        <f t="shared" si="30"/>
        <v/>
      </c>
      <c r="N69" s="777"/>
      <c r="O69" s="307"/>
      <c r="P69" s="11"/>
    </row>
    <row r="70" spans="2:16" ht="18.600000000000001" thickBot="1" x14ac:dyDescent="0.4">
      <c r="B70" s="772">
        <v>46280</v>
      </c>
      <c r="C70" s="773"/>
      <c r="D70" s="298" t="s">
        <v>13</v>
      </c>
      <c r="E70" s="334"/>
      <c r="F70" s="335"/>
      <c r="G70" s="336"/>
      <c r="H70" s="337"/>
      <c r="I70" s="303" t="str">
        <f t="shared" si="4"/>
        <v/>
      </c>
      <c r="J70" s="304"/>
      <c r="K70" s="305" t="str">
        <f t="shared" si="28"/>
        <v/>
      </c>
      <c r="L70" s="306" t="str">
        <f t="shared" si="29"/>
        <v/>
      </c>
      <c r="M70" s="331" t="str">
        <f t="shared" si="30"/>
        <v/>
      </c>
      <c r="N70" s="776">
        <f t="shared" ref="N70" si="32">SUM(L70:L71)</f>
        <v>0</v>
      </c>
      <c r="O70" s="307"/>
      <c r="P70" s="11"/>
    </row>
    <row r="71" spans="2:16" ht="18.600000000000001" thickBot="1" x14ac:dyDescent="0.4">
      <c r="B71" s="774"/>
      <c r="C71" s="775"/>
      <c r="D71" s="308" t="s">
        <v>14</v>
      </c>
      <c r="E71" s="320"/>
      <c r="F71" s="313"/>
      <c r="G71" s="311"/>
      <c r="H71" s="312"/>
      <c r="I71" s="303" t="str">
        <f t="shared" si="4"/>
        <v/>
      </c>
      <c r="J71" s="304"/>
      <c r="K71" s="333" t="str">
        <f t="shared" si="28"/>
        <v/>
      </c>
      <c r="L71" s="317" t="str">
        <f t="shared" si="29"/>
        <v/>
      </c>
      <c r="M71" s="332" t="str">
        <f t="shared" si="30"/>
        <v/>
      </c>
      <c r="N71" s="777"/>
      <c r="O71" s="307"/>
      <c r="P71" s="11"/>
    </row>
    <row r="72" spans="2:16" ht="18.600000000000001" thickBot="1" x14ac:dyDescent="0.4">
      <c r="B72" s="772">
        <v>46281</v>
      </c>
      <c r="C72" s="773"/>
      <c r="D72" s="298" t="s">
        <v>13</v>
      </c>
      <c r="E72" s="334"/>
      <c r="F72" s="335"/>
      <c r="G72" s="336"/>
      <c r="H72" s="337"/>
      <c r="I72" s="303" t="str">
        <f t="shared" si="4"/>
        <v/>
      </c>
      <c r="J72" s="304"/>
      <c r="K72" s="305" t="str">
        <f t="shared" si="28"/>
        <v/>
      </c>
      <c r="L72" s="306" t="str">
        <f t="shared" si="29"/>
        <v/>
      </c>
      <c r="M72" s="331" t="str">
        <f t="shared" si="30"/>
        <v/>
      </c>
      <c r="N72" s="776">
        <f t="shared" ref="N72" si="33">SUM(L72:L73)</f>
        <v>0</v>
      </c>
      <c r="O72" s="307"/>
      <c r="P72" s="11"/>
    </row>
    <row r="73" spans="2:16" ht="18.600000000000001" thickBot="1" x14ac:dyDescent="0.4">
      <c r="B73" s="774"/>
      <c r="C73" s="775"/>
      <c r="D73" s="308" t="s">
        <v>14</v>
      </c>
      <c r="E73" s="320"/>
      <c r="F73" s="313"/>
      <c r="G73" s="311"/>
      <c r="H73" s="312"/>
      <c r="I73" s="303" t="str">
        <f t="shared" si="4"/>
        <v/>
      </c>
      <c r="J73" s="304"/>
      <c r="K73" s="333" t="str">
        <f t="shared" si="28"/>
        <v/>
      </c>
      <c r="L73" s="317" t="str">
        <f t="shared" si="29"/>
        <v/>
      </c>
      <c r="M73" s="332" t="str">
        <f t="shared" si="30"/>
        <v/>
      </c>
      <c r="N73" s="777"/>
      <c r="O73" s="307"/>
      <c r="P73" s="11"/>
    </row>
    <row r="74" spans="2:16" ht="18.600000000000001" thickBot="1" x14ac:dyDescent="0.4">
      <c r="B74" s="772">
        <v>46282</v>
      </c>
      <c r="C74" s="773"/>
      <c r="D74" s="298" t="s">
        <v>13</v>
      </c>
      <c r="E74" s="334"/>
      <c r="F74" s="335"/>
      <c r="G74" s="336"/>
      <c r="H74" s="337"/>
      <c r="I74" s="303" t="str">
        <f t="shared" si="4"/>
        <v/>
      </c>
      <c r="J74" s="304"/>
      <c r="K74" s="305" t="str">
        <f t="shared" si="28"/>
        <v/>
      </c>
      <c r="L74" s="306" t="str">
        <f t="shared" si="29"/>
        <v/>
      </c>
      <c r="M74" s="331" t="str">
        <f t="shared" si="30"/>
        <v/>
      </c>
      <c r="N74" s="776">
        <f t="shared" ref="N74" si="34">SUM(L74:L75)</f>
        <v>0</v>
      </c>
      <c r="O74" s="307"/>
      <c r="P74" s="11"/>
    </row>
    <row r="75" spans="2:16" ht="18.600000000000001" thickBot="1" x14ac:dyDescent="0.4">
      <c r="B75" s="774"/>
      <c r="C75" s="775"/>
      <c r="D75" s="308" t="s">
        <v>14</v>
      </c>
      <c r="E75" s="320"/>
      <c r="F75" s="313"/>
      <c r="G75" s="311"/>
      <c r="H75" s="312"/>
      <c r="I75" s="303" t="str">
        <f t="shared" si="4"/>
        <v/>
      </c>
      <c r="J75" s="304"/>
      <c r="K75" s="333" t="str">
        <f t="shared" si="28"/>
        <v/>
      </c>
      <c r="L75" s="317" t="str">
        <f t="shared" si="29"/>
        <v/>
      </c>
      <c r="M75" s="332" t="str">
        <f t="shared" si="30"/>
        <v/>
      </c>
      <c r="N75" s="777"/>
      <c r="O75" s="307"/>
      <c r="P75" s="11"/>
    </row>
    <row r="76" spans="2:16" ht="18.600000000000001" thickBot="1" x14ac:dyDescent="0.4">
      <c r="B76" s="772">
        <v>46283</v>
      </c>
      <c r="C76" s="773"/>
      <c r="D76" s="298" t="s">
        <v>13</v>
      </c>
      <c r="E76" s="334"/>
      <c r="F76" s="335"/>
      <c r="G76" s="336"/>
      <c r="H76" s="337"/>
      <c r="I76" s="303" t="str">
        <f t="shared" si="4"/>
        <v/>
      </c>
      <c r="J76" s="304"/>
      <c r="K76" s="305" t="str">
        <f t="shared" ref="K76:K79" si="35">IFERROR((F76*I76*J76),"")</f>
        <v/>
      </c>
      <c r="L76" s="306" t="str">
        <f>IFERROR(((F76*I76)*J76)*(1-H76),"")</f>
        <v/>
      </c>
      <c r="M76" s="331" t="str">
        <f t="shared" ref="M76:M79" si="36">IFERROR((K76/12),"")</f>
        <v/>
      </c>
      <c r="N76" s="776">
        <f>SUM(L76:L77)</f>
        <v>0</v>
      </c>
      <c r="O76" s="307"/>
      <c r="P76" s="11"/>
    </row>
    <row r="77" spans="2:16" ht="18.600000000000001" thickBot="1" x14ac:dyDescent="0.4">
      <c r="B77" s="774"/>
      <c r="C77" s="775"/>
      <c r="D77" s="308" t="s">
        <v>14</v>
      </c>
      <c r="E77" s="320"/>
      <c r="F77" s="313"/>
      <c r="G77" s="311"/>
      <c r="H77" s="312"/>
      <c r="I77" s="303" t="str">
        <f t="shared" si="4"/>
        <v/>
      </c>
      <c r="J77" s="304"/>
      <c r="K77" s="333" t="str">
        <f t="shared" si="35"/>
        <v/>
      </c>
      <c r="L77" s="317" t="str">
        <f t="shared" ref="L77:L79" si="37">IFERROR(((F77*I77)*J77)*(1-H77),"")</f>
        <v/>
      </c>
      <c r="M77" s="332" t="str">
        <f t="shared" si="36"/>
        <v/>
      </c>
      <c r="N77" s="777"/>
      <c r="O77" s="307"/>
      <c r="P77" s="11"/>
    </row>
    <row r="78" spans="2:16" ht="18.600000000000001" thickBot="1" x14ac:dyDescent="0.4">
      <c r="B78" s="772">
        <v>46284</v>
      </c>
      <c r="C78" s="773"/>
      <c r="D78" s="298" t="s">
        <v>13</v>
      </c>
      <c r="E78" s="334"/>
      <c r="F78" s="335"/>
      <c r="G78" s="336"/>
      <c r="H78" s="337"/>
      <c r="I78" s="303" t="str">
        <f t="shared" si="4"/>
        <v/>
      </c>
      <c r="J78" s="304"/>
      <c r="K78" s="305" t="str">
        <f t="shared" si="35"/>
        <v/>
      </c>
      <c r="L78" s="306" t="str">
        <f t="shared" si="37"/>
        <v/>
      </c>
      <c r="M78" s="331" t="str">
        <f t="shared" si="36"/>
        <v/>
      </c>
      <c r="N78" s="776">
        <f t="shared" ref="N78" si="38">SUM(L78:L79)</f>
        <v>0</v>
      </c>
      <c r="O78" s="307"/>
      <c r="P78" s="11"/>
    </row>
    <row r="79" spans="2:16" ht="18.600000000000001" thickBot="1" x14ac:dyDescent="0.4">
      <c r="B79" s="774"/>
      <c r="C79" s="775"/>
      <c r="D79" s="308" t="s">
        <v>14</v>
      </c>
      <c r="E79" s="320"/>
      <c r="F79" s="313"/>
      <c r="G79" s="311"/>
      <c r="H79" s="312"/>
      <c r="I79" s="303" t="str">
        <f t="shared" si="4"/>
        <v/>
      </c>
      <c r="J79" s="304"/>
      <c r="K79" s="333" t="str">
        <f t="shared" si="35"/>
        <v/>
      </c>
      <c r="L79" s="317" t="str">
        <f t="shared" si="37"/>
        <v/>
      </c>
      <c r="M79" s="332" t="str">
        <f t="shared" si="36"/>
        <v/>
      </c>
      <c r="N79" s="777"/>
      <c r="O79" s="307"/>
      <c r="P79" s="11"/>
    </row>
    <row r="80" spans="2:16" ht="18.600000000000001" thickBot="1" x14ac:dyDescent="0.4">
      <c r="B80" s="772">
        <v>46285</v>
      </c>
      <c r="C80" s="773"/>
      <c r="D80" s="298" t="s">
        <v>13</v>
      </c>
      <c r="E80" s="334"/>
      <c r="F80" s="335"/>
      <c r="G80" s="336"/>
      <c r="H80" s="337"/>
      <c r="I80" s="303" t="str">
        <f t="shared" si="4"/>
        <v/>
      </c>
      <c r="J80" s="304"/>
      <c r="K80" s="305" t="str">
        <f t="shared" ref="K80:K83" si="39">IFERROR((F80*I80*J80),"")</f>
        <v/>
      </c>
      <c r="L80" s="306" t="str">
        <f t="shared" ref="L80:L83" si="40">IFERROR(((F80*I80)*J80)*(1-H80),"")</f>
        <v/>
      </c>
      <c r="M80" s="331" t="str">
        <f t="shared" ref="M80:M83" si="41">IFERROR((K80/12),"")</f>
        <v/>
      </c>
      <c r="N80" s="776">
        <f t="shared" ref="N80" si="42">SUM(L80:L81)</f>
        <v>0</v>
      </c>
      <c r="O80" s="307"/>
      <c r="P80" s="11"/>
    </row>
    <row r="81" spans="2:19" ht="18.600000000000001" thickBot="1" x14ac:dyDescent="0.4">
      <c r="B81" s="774"/>
      <c r="C81" s="775"/>
      <c r="D81" s="308" t="s">
        <v>14</v>
      </c>
      <c r="E81" s="320"/>
      <c r="F81" s="313"/>
      <c r="G81" s="311"/>
      <c r="H81" s="312"/>
      <c r="I81" s="303" t="str">
        <f t="shared" si="4"/>
        <v/>
      </c>
      <c r="J81" s="304"/>
      <c r="K81" s="333" t="str">
        <f t="shared" si="39"/>
        <v/>
      </c>
      <c r="L81" s="317" t="str">
        <f t="shared" si="40"/>
        <v/>
      </c>
      <c r="M81" s="332" t="str">
        <f t="shared" si="41"/>
        <v/>
      </c>
      <c r="N81" s="777"/>
      <c r="O81" s="307"/>
      <c r="P81" s="11"/>
    </row>
    <row r="82" spans="2:19" ht="18.600000000000001" thickBot="1" x14ac:dyDescent="0.4">
      <c r="B82" s="772">
        <v>46286</v>
      </c>
      <c r="C82" s="773"/>
      <c r="D82" s="298" t="s">
        <v>13</v>
      </c>
      <c r="E82" s="334"/>
      <c r="F82" s="335"/>
      <c r="G82" s="336"/>
      <c r="H82" s="337"/>
      <c r="I82" s="303" t="str">
        <f t="shared" si="4"/>
        <v/>
      </c>
      <c r="J82" s="304"/>
      <c r="K82" s="305" t="str">
        <f t="shared" si="39"/>
        <v/>
      </c>
      <c r="L82" s="306" t="str">
        <f t="shared" si="40"/>
        <v/>
      </c>
      <c r="M82" s="331" t="str">
        <f t="shared" si="41"/>
        <v/>
      </c>
      <c r="N82" s="776">
        <f t="shared" ref="N82" si="43">SUM(L82:L83)</f>
        <v>0</v>
      </c>
      <c r="O82" s="307"/>
      <c r="P82" s="11"/>
    </row>
    <row r="83" spans="2:19" ht="18.600000000000001" thickBot="1" x14ac:dyDescent="0.4">
      <c r="B83" s="774"/>
      <c r="C83" s="775"/>
      <c r="D83" s="308" t="s">
        <v>14</v>
      </c>
      <c r="E83" s="320"/>
      <c r="F83" s="313"/>
      <c r="G83" s="311"/>
      <c r="H83" s="312"/>
      <c r="I83" s="303" t="str">
        <f t="shared" si="4"/>
        <v/>
      </c>
      <c r="J83" s="304"/>
      <c r="K83" s="333" t="str">
        <f t="shared" si="39"/>
        <v/>
      </c>
      <c r="L83" s="317" t="str">
        <f t="shared" si="40"/>
        <v/>
      </c>
      <c r="M83" s="332" t="str">
        <f t="shared" si="41"/>
        <v/>
      </c>
      <c r="N83" s="777"/>
      <c r="O83" s="307"/>
      <c r="P83" s="11"/>
    </row>
    <row r="84" spans="2:19" ht="18.600000000000001" thickBot="1" x14ac:dyDescent="0.4">
      <c r="B84" s="772">
        <v>46287</v>
      </c>
      <c r="C84" s="773"/>
      <c r="D84" s="298" t="s">
        <v>13</v>
      </c>
      <c r="E84" s="334"/>
      <c r="F84" s="335"/>
      <c r="G84" s="336"/>
      <c r="H84" s="337"/>
      <c r="I84" s="303" t="str">
        <f t="shared" si="4"/>
        <v/>
      </c>
      <c r="J84" s="304"/>
      <c r="K84" s="305" t="str">
        <f t="shared" ref="K84:K85" si="44">IFERROR((F84*I84*J84),"")</f>
        <v/>
      </c>
      <c r="L84" s="306" t="str">
        <f t="shared" ref="L84:L85" si="45">IFERROR(((F84*I84)*J84)*(1-H84),"")</f>
        <v/>
      </c>
      <c r="M84" s="331" t="str">
        <f t="shared" ref="M84:M85" si="46">IFERROR((K84/12),"")</f>
        <v/>
      </c>
      <c r="N84" s="776">
        <f t="shared" ref="N84" si="47">SUM(L84:L85)</f>
        <v>0</v>
      </c>
      <c r="O84" s="307"/>
      <c r="P84" s="11"/>
    </row>
    <row r="85" spans="2:19" ht="18.600000000000001" thickBot="1" x14ac:dyDescent="0.4">
      <c r="B85" s="774"/>
      <c r="C85" s="775"/>
      <c r="D85" s="308" t="s">
        <v>14</v>
      </c>
      <c r="E85" s="320"/>
      <c r="F85" s="313"/>
      <c r="G85" s="311"/>
      <c r="H85" s="312"/>
      <c r="I85" s="303" t="str">
        <f t="shared" si="4"/>
        <v/>
      </c>
      <c r="J85" s="304"/>
      <c r="K85" s="333" t="str">
        <f t="shared" si="44"/>
        <v/>
      </c>
      <c r="L85" s="317" t="str">
        <f t="shared" si="45"/>
        <v/>
      </c>
      <c r="M85" s="332" t="str">
        <f t="shared" si="46"/>
        <v/>
      </c>
      <c r="N85" s="777"/>
      <c r="O85" s="307"/>
      <c r="P85" s="11"/>
    </row>
    <row r="86" spans="2:19" ht="18" x14ac:dyDescent="0.35">
      <c r="B86" s="780" t="s">
        <v>17</v>
      </c>
      <c r="C86" s="781"/>
      <c r="D86" s="341"/>
      <c r="E86" s="342"/>
      <c r="F86" s="343">
        <f>AVERAGE(F6:F85)</f>
        <v>220.45</v>
      </c>
      <c r="G86" s="344"/>
      <c r="H86" s="345">
        <f>AVERAGE(H6:H83)</f>
        <v>0.11450000000000005</v>
      </c>
      <c r="I86" s="346" t="str">
        <f t="shared" si="4"/>
        <v/>
      </c>
      <c r="J86" s="347"/>
      <c r="K86" s="348">
        <f>AVERAGE(K6:K67)</f>
        <v>152.24510000000001</v>
      </c>
      <c r="L86" s="349">
        <f>AVERAGE(L6:L79)</f>
        <v>135.357945</v>
      </c>
      <c r="M86" s="350">
        <f>AVERAGE(M6:M16)</f>
        <v>12.786250000000001</v>
      </c>
      <c r="N86" s="357">
        <f>AVERAGE(N6:N83)</f>
        <v>69.414330769230787</v>
      </c>
      <c r="O86" s="307"/>
      <c r="S86" s="4"/>
    </row>
    <row r="87" spans="2:19" ht="18.600000000000001" thickBot="1" x14ac:dyDescent="0.4">
      <c r="B87" s="782" t="s">
        <v>18</v>
      </c>
      <c r="C87" s="783"/>
      <c r="D87" s="351"/>
      <c r="E87" s="351"/>
      <c r="F87" s="352">
        <f>SUM(F6:F83)</f>
        <v>4409</v>
      </c>
      <c r="G87" s="351"/>
      <c r="H87" s="353"/>
      <c r="I87" s="353"/>
      <c r="J87" s="351"/>
      <c r="K87" s="354"/>
      <c r="L87" s="355"/>
      <c r="M87" s="351"/>
      <c r="N87" s="358">
        <f>SUM(N6:N85)</f>
        <v>2707.1589000000008</v>
      </c>
      <c r="O87" s="307"/>
      <c r="Q87" s="4"/>
      <c r="R87" s="4"/>
      <c r="S87" s="2"/>
    </row>
    <row r="88" spans="2:19" ht="15" thickBot="1" x14ac:dyDescent="0.35">
      <c r="D88" s="7"/>
      <c r="F88" s="287"/>
      <c r="H88" s="290"/>
      <c r="I88" s="292"/>
    </row>
    <row r="89" spans="2:19" x14ac:dyDescent="0.3">
      <c r="K89" s="13"/>
    </row>
    <row r="90" spans="2:19" x14ac:dyDescent="0.3">
      <c r="F90" s="288"/>
      <c r="I90" s="288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8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43" zoomScale="79" workbookViewId="0">
      <selection activeCell="N73" sqref="N7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7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42" t="s">
        <v>471</v>
      </c>
      <c r="C2" s="742"/>
      <c r="D2" s="742"/>
      <c r="E2" s="742"/>
      <c r="F2" s="742"/>
      <c r="G2" s="742"/>
      <c r="H2" s="742"/>
      <c r="T2" s="798" t="s">
        <v>512</v>
      </c>
      <c r="U2" s="798"/>
      <c r="V2" s="798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72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72" t="s">
        <v>468</v>
      </c>
      <c r="Q3" s="17" t="s">
        <v>469</v>
      </c>
      <c r="R3" s="17" t="s">
        <v>470</v>
      </c>
      <c r="S3" s="17" t="s">
        <v>350</v>
      </c>
      <c r="T3" s="275" t="s">
        <v>254</v>
      </c>
      <c r="U3" s="275" t="s">
        <v>255</v>
      </c>
      <c r="V3" s="275" t="s">
        <v>256</v>
      </c>
    </row>
    <row r="4" spans="2:28" x14ac:dyDescent="0.3">
      <c r="B4" s="643">
        <v>1</v>
      </c>
      <c r="C4" s="543">
        <v>1</v>
      </c>
      <c r="D4" s="683" t="s">
        <v>473</v>
      </c>
      <c r="E4" s="684">
        <v>46265</v>
      </c>
      <c r="F4" s="683">
        <v>1.0229999999999999</v>
      </c>
      <c r="G4" s="683">
        <v>0.31</v>
      </c>
      <c r="H4" s="683">
        <v>6.1559999999999997</v>
      </c>
      <c r="M4" s="252">
        <v>1</v>
      </c>
      <c r="N4" s="16">
        <v>1</v>
      </c>
      <c r="O4" s="6" t="s">
        <v>502</v>
      </c>
      <c r="P4" s="47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43">
        <v>2</v>
      </c>
      <c r="C5" s="543">
        <v>1</v>
      </c>
      <c r="D5" s="683" t="s">
        <v>474</v>
      </c>
      <c r="E5" s="684">
        <v>46265</v>
      </c>
      <c r="F5" s="683">
        <v>0.94899999999999995</v>
      </c>
      <c r="G5" s="683">
        <v>0.51300000000000001</v>
      </c>
      <c r="H5" s="683">
        <v>5.9560000000000004</v>
      </c>
      <c r="M5" s="252">
        <v>2</v>
      </c>
      <c r="N5" s="16">
        <v>1</v>
      </c>
      <c r="O5" s="6" t="s">
        <v>503</v>
      </c>
      <c r="P5" s="47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43">
        <v>3</v>
      </c>
      <c r="C6" s="543">
        <v>1</v>
      </c>
      <c r="D6" s="683" t="s">
        <v>475</v>
      </c>
      <c r="E6" s="684">
        <v>46265</v>
      </c>
      <c r="F6" s="683">
        <v>0.92900000000000005</v>
      </c>
      <c r="G6" s="683">
        <v>0.40699999999999997</v>
      </c>
      <c r="H6" s="683">
        <v>6.2169999999999996</v>
      </c>
      <c r="I6" s="238">
        <f>AVERAGE(F4:F6)</f>
        <v>0.96699999999999997</v>
      </c>
      <c r="J6" s="238">
        <f t="shared" ref="J6:K6" si="0">AVERAGE(G4:G6)</f>
        <v>0.41</v>
      </c>
      <c r="K6" s="238">
        <f t="shared" si="0"/>
        <v>6.1096666666666666</v>
      </c>
      <c r="M6" s="252">
        <v>3</v>
      </c>
      <c r="N6" s="16">
        <v>1</v>
      </c>
      <c r="O6" s="6" t="s">
        <v>504</v>
      </c>
      <c r="P6" s="47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43">
        <v>4</v>
      </c>
      <c r="C7" s="543">
        <v>1</v>
      </c>
      <c r="D7" s="683" t="s">
        <v>476</v>
      </c>
      <c r="E7" s="684">
        <v>46265</v>
      </c>
      <c r="F7" s="683">
        <v>0.64100000000000001</v>
      </c>
      <c r="G7" s="683">
        <v>0.55700000000000005</v>
      </c>
      <c r="H7" s="683">
        <v>7.72</v>
      </c>
      <c r="M7" s="252">
        <v>4</v>
      </c>
      <c r="N7" s="16">
        <v>1</v>
      </c>
      <c r="O7" s="6" t="s">
        <v>505</v>
      </c>
      <c r="P7" s="47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43">
        <v>5</v>
      </c>
      <c r="C8" s="543">
        <v>1</v>
      </c>
      <c r="D8" s="683" t="s">
        <v>477</v>
      </c>
      <c r="E8" s="684">
        <v>46265</v>
      </c>
      <c r="F8" s="683">
        <v>0.63700000000000001</v>
      </c>
      <c r="G8" s="683">
        <v>0.502</v>
      </c>
      <c r="H8" s="683">
        <v>7.51</v>
      </c>
      <c r="M8" s="500">
        <v>5</v>
      </c>
      <c r="N8" s="501">
        <v>1</v>
      </c>
      <c r="O8" s="502" t="s">
        <v>506</v>
      </c>
      <c r="P8" s="503">
        <v>46265</v>
      </c>
      <c r="Q8" s="502">
        <v>1.123</v>
      </c>
      <c r="R8" s="502">
        <v>0.28899999999999998</v>
      </c>
      <c r="S8" s="502">
        <v>7.577</v>
      </c>
      <c r="T8" s="143">
        <f>AVERAGE(Q4:Q8)</f>
        <v>0.89359999999999995</v>
      </c>
      <c r="U8" s="143">
        <f t="shared" ref="U8:V8" si="1">AVERAGE(R4:R8)</f>
        <v>0.43600000000000005</v>
      </c>
      <c r="V8" s="143">
        <f t="shared" si="1"/>
        <v>6.306</v>
      </c>
      <c r="W8" s="124">
        <f>T8-I6</f>
        <v>-7.3400000000000021E-2</v>
      </c>
      <c r="X8" s="124">
        <f>U8-J6</f>
        <v>2.6000000000000079E-2</v>
      </c>
      <c r="Y8" s="124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43">
        <v>6</v>
      </c>
      <c r="C9" s="543">
        <v>1</v>
      </c>
      <c r="D9" s="683" t="s">
        <v>478</v>
      </c>
      <c r="E9" s="684">
        <v>46265</v>
      </c>
      <c r="F9" s="683">
        <v>0.54900000000000004</v>
      </c>
      <c r="G9" s="683">
        <v>0.52600000000000002</v>
      </c>
      <c r="H9" s="683">
        <v>7.64</v>
      </c>
      <c r="M9" s="252">
        <v>6</v>
      </c>
      <c r="N9" s="16">
        <v>1</v>
      </c>
      <c r="O9" s="6" t="s">
        <v>507</v>
      </c>
      <c r="P9" s="47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43">
        <v>7</v>
      </c>
      <c r="C10" s="543">
        <v>1</v>
      </c>
      <c r="D10" s="683" t="s">
        <v>473</v>
      </c>
      <c r="E10" s="684">
        <v>46266</v>
      </c>
      <c r="F10" s="683">
        <v>0.64600000000000002</v>
      </c>
      <c r="G10" s="683">
        <v>0.68100000000000005</v>
      </c>
      <c r="H10" s="683">
        <v>7.62</v>
      </c>
      <c r="M10" s="252">
        <v>7</v>
      </c>
      <c r="N10" s="16">
        <v>1</v>
      </c>
      <c r="O10" s="6" t="s">
        <v>502</v>
      </c>
      <c r="P10" s="47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43">
        <v>8</v>
      </c>
      <c r="C11" s="543">
        <v>1</v>
      </c>
      <c r="D11" s="683" t="s">
        <v>474</v>
      </c>
      <c r="E11" s="684">
        <v>46266</v>
      </c>
      <c r="F11" s="683">
        <v>0.64500000000000002</v>
      </c>
      <c r="G11" s="683">
        <v>0.68700000000000006</v>
      </c>
      <c r="H11" s="683">
        <v>7.55</v>
      </c>
      <c r="I11" s="238">
        <f>AVERAGE(F10:F12)</f>
        <v>0.64699999999999991</v>
      </c>
      <c r="J11" s="238">
        <f t="shared" ref="J11:K11" si="4">AVERAGE(G10:G12)</f>
        <v>0.67433333333333334</v>
      </c>
      <c r="K11" s="238">
        <f t="shared" si="4"/>
        <v>7.5333333333333341</v>
      </c>
      <c r="M11" s="252">
        <v>8</v>
      </c>
      <c r="N11" s="16">
        <v>1</v>
      </c>
      <c r="O11" s="6" t="s">
        <v>503</v>
      </c>
      <c r="P11" s="47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43">
        <v>9</v>
      </c>
      <c r="C12" s="543">
        <v>1</v>
      </c>
      <c r="D12" s="683" t="s">
        <v>475</v>
      </c>
      <c r="E12" s="684">
        <v>46266</v>
      </c>
      <c r="F12" s="683">
        <v>0.65</v>
      </c>
      <c r="G12" s="683">
        <v>0.65500000000000003</v>
      </c>
      <c r="H12" s="683">
        <v>7.43</v>
      </c>
      <c r="M12" s="252">
        <v>9</v>
      </c>
      <c r="N12" s="16">
        <v>1</v>
      </c>
      <c r="O12" s="6" t="s">
        <v>504</v>
      </c>
      <c r="P12" s="47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43">
        <v>10</v>
      </c>
      <c r="C13" s="543">
        <v>1</v>
      </c>
      <c r="D13" s="683" t="s">
        <v>476</v>
      </c>
      <c r="E13" s="684">
        <v>46266</v>
      </c>
      <c r="F13" s="683">
        <v>0.64100000000000001</v>
      </c>
      <c r="G13" s="683">
        <v>0.55700000000000005</v>
      </c>
      <c r="H13" s="683">
        <v>7.72</v>
      </c>
      <c r="M13" s="500">
        <v>10</v>
      </c>
      <c r="N13" s="501">
        <v>1</v>
      </c>
      <c r="O13" s="502" t="s">
        <v>506</v>
      </c>
      <c r="P13" s="503">
        <v>46266</v>
      </c>
      <c r="Q13" s="502">
        <v>0.73699999999999999</v>
      </c>
      <c r="R13" s="502">
        <v>0.81499999999999995</v>
      </c>
      <c r="S13" s="502">
        <v>7.21</v>
      </c>
      <c r="T13" s="143">
        <f>AVERAGE(Q9:Q13)</f>
        <v>1.0676000000000001</v>
      </c>
      <c r="U13" s="143">
        <f t="shared" ref="U13:V13" si="5">AVERAGE(R9:R13)</f>
        <v>0.98219999999999996</v>
      </c>
      <c r="V13" s="143">
        <f t="shared" si="5"/>
        <v>8.6260000000000012</v>
      </c>
      <c r="W13" s="124">
        <f>I11-T13</f>
        <v>-0.4206000000000002</v>
      </c>
      <c r="X13" s="124">
        <f t="shared" ref="X13:Y13" si="6">J11-U13</f>
        <v>-0.30786666666666662</v>
      </c>
      <c r="Y13" s="124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43">
        <v>11</v>
      </c>
      <c r="C14" s="543">
        <v>1</v>
      </c>
      <c r="D14" s="683" t="s">
        <v>477</v>
      </c>
      <c r="E14" s="684">
        <v>46266</v>
      </c>
      <c r="F14" s="683">
        <v>0.63700000000000001</v>
      </c>
      <c r="G14" s="683">
        <v>0.502</v>
      </c>
      <c r="H14" s="683">
        <v>7.51</v>
      </c>
      <c r="M14" s="252">
        <v>11</v>
      </c>
      <c r="N14" s="16">
        <v>1</v>
      </c>
      <c r="O14" s="6" t="s">
        <v>508</v>
      </c>
      <c r="P14" s="47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43">
        <v>12</v>
      </c>
      <c r="C15" s="543">
        <v>1</v>
      </c>
      <c r="D15" s="683" t="s">
        <v>478</v>
      </c>
      <c r="E15" s="684">
        <v>46266</v>
      </c>
      <c r="F15" s="683">
        <v>0.54900000000000004</v>
      </c>
      <c r="G15" s="683">
        <v>0.52600000000000002</v>
      </c>
      <c r="H15" s="683">
        <v>7.64</v>
      </c>
      <c r="M15" s="252">
        <v>12</v>
      </c>
      <c r="N15" s="16">
        <v>1</v>
      </c>
      <c r="O15" s="6" t="s">
        <v>509</v>
      </c>
      <c r="P15" s="47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85">
        <v>13</v>
      </c>
      <c r="C16" s="548">
        <v>2</v>
      </c>
      <c r="D16" s="686" t="s">
        <v>473</v>
      </c>
      <c r="E16" s="687">
        <v>46267</v>
      </c>
      <c r="F16" s="686">
        <v>0.66</v>
      </c>
      <c r="G16" s="686">
        <v>0.32</v>
      </c>
      <c r="H16" s="686">
        <v>9.6300000000000008</v>
      </c>
      <c r="M16" s="252">
        <v>13</v>
      </c>
      <c r="N16" s="16">
        <v>2</v>
      </c>
      <c r="O16" s="6" t="s">
        <v>510</v>
      </c>
      <c r="P16" s="47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85">
        <v>14</v>
      </c>
      <c r="C17" s="548">
        <v>2</v>
      </c>
      <c r="D17" s="686" t="s">
        <v>474</v>
      </c>
      <c r="E17" s="687">
        <v>46267</v>
      </c>
      <c r="F17" s="686">
        <v>0.82399999999999995</v>
      </c>
      <c r="G17" s="686">
        <v>0.67</v>
      </c>
      <c r="H17" s="686">
        <v>9.7899999999999991</v>
      </c>
      <c r="M17" s="252">
        <v>14</v>
      </c>
      <c r="N17" s="16">
        <v>2</v>
      </c>
      <c r="O17" s="6" t="s">
        <v>511</v>
      </c>
      <c r="P17" s="47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85">
        <v>15</v>
      </c>
      <c r="C18" s="548">
        <v>2</v>
      </c>
      <c r="D18" s="686" t="s">
        <v>475</v>
      </c>
      <c r="E18" s="687">
        <v>46267</v>
      </c>
      <c r="F18" s="686">
        <v>0.75</v>
      </c>
      <c r="G18" s="686">
        <v>0.78</v>
      </c>
      <c r="H18" s="686">
        <v>10.1</v>
      </c>
      <c r="I18" s="238">
        <f>AVERAGE(F16:F18)</f>
        <v>0.7446666666666667</v>
      </c>
      <c r="J18" s="238">
        <f t="shared" ref="J18:K18" si="8">AVERAGE(G16:G18)</f>
        <v>0.59</v>
      </c>
      <c r="K18" s="238">
        <f t="shared" si="8"/>
        <v>9.8400000000000016</v>
      </c>
      <c r="M18" s="500">
        <v>15</v>
      </c>
      <c r="N18" s="501">
        <v>2</v>
      </c>
      <c r="O18" s="502" t="s">
        <v>506</v>
      </c>
      <c r="P18" s="503">
        <v>46267</v>
      </c>
      <c r="Q18" s="502">
        <v>0.95899999999999996</v>
      </c>
      <c r="R18" s="502">
        <v>0.62</v>
      </c>
      <c r="S18" s="50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85">
        <v>16</v>
      </c>
      <c r="C19" s="548">
        <v>2</v>
      </c>
      <c r="D19" s="686" t="s">
        <v>476</v>
      </c>
      <c r="E19" s="687">
        <v>46267</v>
      </c>
      <c r="F19" s="688">
        <v>0.63200000000000001</v>
      </c>
      <c r="G19" s="686">
        <v>1.103</v>
      </c>
      <c r="H19" s="686">
        <v>9.26</v>
      </c>
      <c r="M19" s="252">
        <v>16</v>
      </c>
      <c r="N19" s="16">
        <v>2</v>
      </c>
      <c r="O19" s="6" t="s">
        <v>503</v>
      </c>
      <c r="P19" s="47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85">
        <v>17</v>
      </c>
      <c r="C20" s="548">
        <v>2</v>
      </c>
      <c r="D20" s="686" t="s">
        <v>477</v>
      </c>
      <c r="E20" s="687">
        <v>46267</v>
      </c>
      <c r="F20" s="686">
        <v>0.63100000000000001</v>
      </c>
      <c r="G20" s="686">
        <v>1.008</v>
      </c>
      <c r="H20" s="686">
        <v>9.24</v>
      </c>
      <c r="M20" s="252">
        <v>17</v>
      </c>
      <c r="N20" s="16">
        <v>2</v>
      </c>
      <c r="O20" s="6" t="s">
        <v>504</v>
      </c>
      <c r="P20" s="47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85">
        <v>18</v>
      </c>
      <c r="C21" s="548">
        <v>2</v>
      </c>
      <c r="D21" s="686" t="s">
        <v>478</v>
      </c>
      <c r="E21" s="687">
        <v>46267</v>
      </c>
      <c r="F21" s="686">
        <v>0.67500000000000004</v>
      </c>
      <c r="G21" s="686">
        <v>1.089</v>
      </c>
      <c r="H21" s="686">
        <v>9.27</v>
      </c>
      <c r="M21" s="500">
        <v>18</v>
      </c>
      <c r="N21" s="501">
        <v>2</v>
      </c>
      <c r="O21" s="502" t="s">
        <v>506</v>
      </c>
      <c r="P21" s="503">
        <v>46268</v>
      </c>
      <c r="Q21" s="502">
        <v>0.76400000000000001</v>
      </c>
      <c r="R21" s="502">
        <v>0.67</v>
      </c>
      <c r="S21" s="502">
        <v>7.17</v>
      </c>
      <c r="T21" s="260">
        <f>AVERAGE(Q19:Q21)</f>
        <v>0.79766666666666663</v>
      </c>
      <c r="U21" s="260">
        <f t="shared" ref="U21:V21" si="12">AVERAGE(R19:R21)</f>
        <v>0.66</v>
      </c>
      <c r="V21" s="260">
        <f t="shared" si="12"/>
        <v>6.78</v>
      </c>
      <c r="W21" s="124">
        <f>T21-I24</f>
        <v>0.13633333333333331</v>
      </c>
      <c r="X21" s="124">
        <f t="shared" ref="X21:Y21" si="13">U21-J24</f>
        <v>-6.3333333333333242E-2</v>
      </c>
      <c r="Y21" s="124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85">
        <v>19</v>
      </c>
      <c r="C22" s="548">
        <v>2</v>
      </c>
      <c r="D22" s="686" t="s">
        <v>473</v>
      </c>
      <c r="E22" s="687">
        <v>46268</v>
      </c>
      <c r="F22" s="686">
        <v>0.66800000000000004</v>
      </c>
      <c r="G22" s="686">
        <v>0.61</v>
      </c>
      <c r="H22" s="686">
        <v>8.17</v>
      </c>
      <c r="M22" s="252">
        <v>19</v>
      </c>
      <c r="N22" s="16">
        <v>3</v>
      </c>
      <c r="O22" s="6" t="s">
        <v>507</v>
      </c>
      <c r="P22" s="47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85">
        <v>20</v>
      </c>
      <c r="C23" s="548">
        <v>2</v>
      </c>
      <c r="D23" s="686" t="s">
        <v>474</v>
      </c>
      <c r="E23" s="687">
        <v>46268</v>
      </c>
      <c r="F23" s="686">
        <v>0.59399999999999997</v>
      </c>
      <c r="G23" s="686">
        <v>0.71</v>
      </c>
      <c r="H23" s="686">
        <v>7.54</v>
      </c>
      <c r="M23" s="252">
        <v>20</v>
      </c>
      <c r="N23" s="16">
        <v>3</v>
      </c>
      <c r="O23" s="6" t="s">
        <v>502</v>
      </c>
      <c r="P23" s="47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85">
        <v>21</v>
      </c>
      <c r="C24" s="548">
        <v>2</v>
      </c>
      <c r="D24" s="686" t="s">
        <v>475</v>
      </c>
      <c r="E24" s="687">
        <v>46268</v>
      </c>
      <c r="F24" s="686">
        <v>0.72199999999999998</v>
      </c>
      <c r="G24" s="686">
        <v>0.85</v>
      </c>
      <c r="H24" s="686">
        <v>8.4600000000000009</v>
      </c>
      <c r="I24" s="238">
        <f>AVERAGE(F22:F24)</f>
        <v>0.66133333333333333</v>
      </c>
      <c r="J24" s="238">
        <f t="shared" ref="J24:K24" si="15">AVERAGE(G22:G24)</f>
        <v>0.72333333333333327</v>
      </c>
      <c r="K24" s="238">
        <f t="shared" si="15"/>
        <v>8.0566666666666666</v>
      </c>
      <c r="M24" s="252">
        <v>21</v>
      </c>
      <c r="N24" s="16">
        <v>3</v>
      </c>
      <c r="O24" s="6" t="s">
        <v>503</v>
      </c>
      <c r="P24" s="47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43">
        <v>22</v>
      </c>
      <c r="C25" s="543">
        <v>3</v>
      </c>
      <c r="D25" s="683" t="s">
        <v>476</v>
      </c>
      <c r="E25" s="684">
        <v>46270</v>
      </c>
      <c r="F25" s="683">
        <v>1.0980000000000001</v>
      </c>
      <c r="G25" s="683">
        <v>0.82</v>
      </c>
      <c r="H25" s="683">
        <v>8.17</v>
      </c>
      <c r="M25" s="252">
        <v>21</v>
      </c>
      <c r="N25" s="16">
        <v>3</v>
      </c>
      <c r="O25" s="6" t="s">
        <v>505</v>
      </c>
      <c r="P25" s="47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43">
        <v>23</v>
      </c>
      <c r="C26" s="543">
        <v>3</v>
      </c>
      <c r="D26" s="683" t="s">
        <v>477</v>
      </c>
      <c r="E26" s="684">
        <v>46270</v>
      </c>
      <c r="F26" s="683">
        <v>1.0880000000000001</v>
      </c>
      <c r="G26" s="683">
        <v>0.75</v>
      </c>
      <c r="H26" s="683">
        <v>8.1</v>
      </c>
      <c r="M26" s="500">
        <v>21</v>
      </c>
      <c r="N26" s="501">
        <v>3</v>
      </c>
      <c r="O26" s="502" t="s">
        <v>506</v>
      </c>
      <c r="P26" s="503">
        <v>46271</v>
      </c>
      <c r="Q26" s="502">
        <v>1.1679999999999999</v>
      </c>
      <c r="R26" s="502">
        <v>0.83</v>
      </c>
      <c r="S26" s="502">
        <v>9.84</v>
      </c>
    </row>
    <row r="27" spans="2:28" x14ac:dyDescent="0.3">
      <c r="B27" s="643">
        <v>24</v>
      </c>
      <c r="C27" s="543">
        <v>3</v>
      </c>
      <c r="D27" s="683" t="s">
        <v>478</v>
      </c>
      <c r="E27" s="684">
        <v>46270</v>
      </c>
      <c r="F27" s="683">
        <v>1.075</v>
      </c>
      <c r="G27" s="683">
        <v>0.75</v>
      </c>
      <c r="H27" s="683">
        <v>8.08</v>
      </c>
      <c r="M27" s="6"/>
      <c r="N27" s="6"/>
      <c r="O27" s="6"/>
      <c r="P27" s="252"/>
      <c r="Q27" s="6"/>
      <c r="R27" s="6"/>
      <c r="S27" s="6"/>
    </row>
    <row r="28" spans="2:28" x14ac:dyDescent="0.3">
      <c r="B28" s="643">
        <v>25</v>
      </c>
      <c r="C28" s="543">
        <v>3</v>
      </c>
      <c r="D28" s="683" t="s">
        <v>473</v>
      </c>
      <c r="E28" s="684">
        <v>46271</v>
      </c>
      <c r="F28" s="683">
        <v>0.92</v>
      </c>
      <c r="G28" s="683">
        <v>0.56999999999999995</v>
      </c>
      <c r="H28" s="683">
        <v>9.66</v>
      </c>
      <c r="M28" s="6"/>
      <c r="N28" s="6"/>
      <c r="O28" s="6"/>
      <c r="P28" s="252"/>
      <c r="Q28" s="6"/>
      <c r="R28" s="6"/>
      <c r="S28" s="6"/>
    </row>
    <row r="29" spans="2:28" x14ac:dyDescent="0.3">
      <c r="B29" s="643">
        <v>26</v>
      </c>
      <c r="C29" s="543">
        <v>3</v>
      </c>
      <c r="D29" s="683" t="s">
        <v>474</v>
      </c>
      <c r="E29" s="684">
        <v>46271</v>
      </c>
      <c r="F29" s="683">
        <v>0.86</v>
      </c>
      <c r="G29" s="683">
        <v>0.54</v>
      </c>
      <c r="H29" s="683">
        <v>9.56</v>
      </c>
      <c r="M29" s="6"/>
      <c r="N29" s="6"/>
      <c r="O29" s="6"/>
      <c r="P29" s="252"/>
      <c r="Q29" s="6"/>
      <c r="R29" s="6"/>
      <c r="S29" s="6"/>
    </row>
    <row r="30" spans="2:28" x14ac:dyDescent="0.3">
      <c r="B30" s="643">
        <v>27</v>
      </c>
      <c r="C30" s="543">
        <v>3</v>
      </c>
      <c r="D30" s="683" t="s">
        <v>475</v>
      </c>
      <c r="E30" s="684">
        <v>46271</v>
      </c>
      <c r="F30" s="683">
        <v>0.92700000000000005</v>
      </c>
      <c r="G30" s="683">
        <v>0.6</v>
      </c>
      <c r="H30" s="683">
        <v>9.74</v>
      </c>
      <c r="M30" s="6"/>
      <c r="N30" s="6"/>
      <c r="O30" s="6"/>
      <c r="P30" s="252"/>
      <c r="Q30" s="6"/>
      <c r="R30" s="6"/>
      <c r="S30" s="6"/>
    </row>
    <row r="31" spans="2:28" x14ac:dyDescent="0.3">
      <c r="B31" s="643">
        <v>28</v>
      </c>
      <c r="C31" s="543">
        <v>3</v>
      </c>
      <c r="D31" s="683" t="s">
        <v>476</v>
      </c>
      <c r="E31" s="684">
        <v>46271</v>
      </c>
      <c r="F31" s="683">
        <v>0.78800000000000003</v>
      </c>
      <c r="G31" s="683">
        <v>0.62</v>
      </c>
      <c r="H31" s="683">
        <v>9.4600000000000009</v>
      </c>
      <c r="M31" s="6"/>
      <c r="N31" s="6"/>
      <c r="O31" s="6"/>
      <c r="P31" s="252"/>
      <c r="Q31" s="6"/>
      <c r="R31" s="6"/>
      <c r="S31" s="6"/>
    </row>
    <row r="32" spans="2:28" x14ac:dyDescent="0.3">
      <c r="B32" s="643">
        <v>29</v>
      </c>
      <c r="C32" s="543">
        <v>3</v>
      </c>
      <c r="D32" s="683" t="s">
        <v>477</v>
      </c>
      <c r="E32" s="684">
        <v>46271</v>
      </c>
      <c r="F32" s="683">
        <v>0.74199999999999999</v>
      </c>
      <c r="G32" s="683">
        <v>0.6</v>
      </c>
      <c r="H32" s="683">
        <v>9.43</v>
      </c>
      <c r="M32" s="6"/>
      <c r="N32" s="6"/>
      <c r="O32" s="6"/>
      <c r="P32" s="252"/>
      <c r="Q32" s="6"/>
      <c r="R32" s="6"/>
      <c r="S32" s="6"/>
    </row>
    <row r="33" spans="2:8" x14ac:dyDescent="0.3">
      <c r="B33" s="643">
        <v>30</v>
      </c>
      <c r="C33" s="543">
        <v>3</v>
      </c>
      <c r="D33" s="683" t="s">
        <v>478</v>
      </c>
      <c r="E33" s="684">
        <v>46271</v>
      </c>
      <c r="F33" s="683">
        <v>0.91300000000000003</v>
      </c>
      <c r="G33" s="683">
        <v>0.68</v>
      </c>
      <c r="H33" s="683">
        <v>9.42</v>
      </c>
    </row>
    <row r="34" spans="2:8" x14ac:dyDescent="0.3">
      <c r="B34" s="643">
        <v>31</v>
      </c>
      <c r="C34" s="683"/>
      <c r="D34" s="683" t="s">
        <v>473</v>
      </c>
      <c r="E34" s="684">
        <v>46272</v>
      </c>
      <c r="F34" s="683">
        <v>0.91100000000000003</v>
      </c>
      <c r="G34" s="683">
        <v>0.95</v>
      </c>
      <c r="H34" s="683">
        <v>9.3800000000000008</v>
      </c>
    </row>
    <row r="35" spans="2:8" x14ac:dyDescent="0.3">
      <c r="B35" s="643">
        <v>32</v>
      </c>
      <c r="C35" s="683"/>
      <c r="D35" s="683" t="s">
        <v>474</v>
      </c>
      <c r="E35" s="684">
        <v>46272</v>
      </c>
      <c r="F35" s="683">
        <v>0.95199999999999996</v>
      </c>
      <c r="G35" s="683">
        <v>0.98</v>
      </c>
      <c r="H35" s="683">
        <v>9.4</v>
      </c>
    </row>
    <row r="36" spans="2:8" x14ac:dyDescent="0.3">
      <c r="B36" s="643">
        <v>33</v>
      </c>
      <c r="C36" s="683"/>
      <c r="D36" s="683" t="s">
        <v>475</v>
      </c>
      <c r="E36" s="684">
        <v>46272</v>
      </c>
      <c r="F36" s="683">
        <v>0.873</v>
      </c>
      <c r="G36" s="683">
        <v>0.93</v>
      </c>
      <c r="H36" s="683">
        <v>9.41</v>
      </c>
    </row>
    <row r="37" spans="2:8" x14ac:dyDescent="0.3">
      <c r="B37" s="685">
        <v>34</v>
      </c>
      <c r="C37" s="802">
        <v>4</v>
      </c>
      <c r="D37" s="686" t="s">
        <v>476</v>
      </c>
      <c r="E37" s="687">
        <v>46272</v>
      </c>
      <c r="F37" s="686">
        <v>0.53100000000000003</v>
      </c>
      <c r="G37" s="686">
        <v>1.07</v>
      </c>
      <c r="H37" s="686">
        <v>8.8699999999999992</v>
      </c>
    </row>
    <row r="38" spans="2:8" x14ac:dyDescent="0.3">
      <c r="B38" s="685">
        <v>35</v>
      </c>
      <c r="C38" s="803"/>
      <c r="D38" s="686" t="s">
        <v>477</v>
      </c>
      <c r="E38" s="687">
        <v>46272</v>
      </c>
      <c r="F38" s="686">
        <v>0.501</v>
      </c>
      <c r="G38" s="686">
        <v>1.1200000000000001</v>
      </c>
      <c r="H38" s="686">
        <v>8.99</v>
      </c>
    </row>
    <row r="39" spans="2:8" x14ac:dyDescent="0.3">
      <c r="B39" s="685">
        <v>36</v>
      </c>
      <c r="C39" s="803"/>
      <c r="D39" s="686" t="s">
        <v>478</v>
      </c>
      <c r="E39" s="687">
        <v>46272</v>
      </c>
      <c r="F39" s="686">
        <v>0.55900000000000005</v>
      </c>
      <c r="G39" s="686">
        <v>1.02</v>
      </c>
      <c r="H39" s="686">
        <v>8.92</v>
      </c>
    </row>
    <row r="40" spans="2:8" x14ac:dyDescent="0.3">
      <c r="B40" s="685">
        <v>37</v>
      </c>
      <c r="C40" s="803"/>
      <c r="D40" s="686" t="s">
        <v>473</v>
      </c>
      <c r="E40" s="687">
        <v>46273</v>
      </c>
      <c r="F40" s="686">
        <v>0.66400000000000003</v>
      </c>
      <c r="G40" s="686">
        <v>0.98</v>
      </c>
      <c r="H40" s="686">
        <v>9.0500000000000007</v>
      </c>
    </row>
    <row r="41" spans="2:8" x14ac:dyDescent="0.3">
      <c r="B41" s="685">
        <v>38</v>
      </c>
      <c r="C41" s="803"/>
      <c r="D41" s="686" t="s">
        <v>474</v>
      </c>
      <c r="E41" s="687">
        <v>46273</v>
      </c>
      <c r="F41" s="686">
        <v>0.64500000000000002</v>
      </c>
      <c r="G41" s="686">
        <v>0.94</v>
      </c>
      <c r="H41" s="686">
        <v>9.0299999999999994</v>
      </c>
    </row>
    <row r="42" spans="2:8" x14ac:dyDescent="0.3">
      <c r="B42" s="685">
        <v>39</v>
      </c>
      <c r="C42" s="803"/>
      <c r="D42" s="686" t="s">
        <v>475</v>
      </c>
      <c r="E42" s="687">
        <v>46273</v>
      </c>
      <c r="F42" s="686">
        <v>0.63100000000000001</v>
      </c>
      <c r="G42" s="686">
        <v>0.97</v>
      </c>
      <c r="H42" s="686">
        <v>9.23</v>
      </c>
    </row>
    <row r="43" spans="2:8" x14ac:dyDescent="0.3">
      <c r="B43" s="685">
        <v>40</v>
      </c>
      <c r="C43" s="803"/>
      <c r="D43" s="686" t="s">
        <v>476</v>
      </c>
      <c r="E43" s="687">
        <v>46273</v>
      </c>
      <c r="F43" s="686">
        <v>0.61</v>
      </c>
      <c r="G43" s="686">
        <v>1.01</v>
      </c>
      <c r="H43" s="686">
        <v>7.79</v>
      </c>
    </row>
    <row r="44" spans="2:8" x14ac:dyDescent="0.3">
      <c r="B44" s="685">
        <v>41</v>
      </c>
      <c r="C44" s="803"/>
      <c r="D44" s="686" t="s">
        <v>477</v>
      </c>
      <c r="E44" s="687">
        <v>46273</v>
      </c>
      <c r="F44" s="686">
        <v>0.63300000000000001</v>
      </c>
      <c r="G44" s="686">
        <v>1.05</v>
      </c>
      <c r="H44" s="686">
        <v>7.71</v>
      </c>
    </row>
    <row r="45" spans="2:8" x14ac:dyDescent="0.3">
      <c r="B45" s="685">
        <v>42</v>
      </c>
      <c r="C45" s="803"/>
      <c r="D45" s="686" t="s">
        <v>478</v>
      </c>
      <c r="E45" s="687">
        <v>46273</v>
      </c>
      <c r="F45" s="686">
        <v>0.66200000000000003</v>
      </c>
      <c r="G45" s="686">
        <v>1.04</v>
      </c>
      <c r="H45" s="686">
        <v>7.93</v>
      </c>
    </row>
    <row r="46" spans="2:8" x14ac:dyDescent="0.3">
      <c r="B46" s="685">
        <v>43</v>
      </c>
      <c r="C46" s="803"/>
      <c r="D46" s="686" t="s">
        <v>473</v>
      </c>
      <c r="E46" s="687">
        <v>46274</v>
      </c>
      <c r="F46" s="689">
        <v>0.59599999999999997</v>
      </c>
      <c r="G46" s="686">
        <v>0.64</v>
      </c>
      <c r="H46" s="686">
        <v>7.27</v>
      </c>
    </row>
    <row r="47" spans="2:8" x14ac:dyDescent="0.3">
      <c r="B47" s="685">
        <v>44</v>
      </c>
      <c r="C47" s="803"/>
      <c r="D47" s="686" t="s">
        <v>474</v>
      </c>
      <c r="E47" s="687">
        <v>46274</v>
      </c>
      <c r="F47" s="686">
        <v>0.59399999999999997</v>
      </c>
      <c r="G47" s="686">
        <v>0.68</v>
      </c>
      <c r="H47" s="686">
        <v>7.24</v>
      </c>
    </row>
    <row r="48" spans="2:8" x14ac:dyDescent="0.3">
      <c r="B48" s="685">
        <v>45</v>
      </c>
      <c r="C48" s="804"/>
      <c r="D48" s="686" t="s">
        <v>475</v>
      </c>
      <c r="E48" s="687">
        <v>46274</v>
      </c>
      <c r="F48" s="686">
        <v>0.58699999999999997</v>
      </c>
      <c r="G48" s="686">
        <v>0.68</v>
      </c>
      <c r="H48" s="686">
        <v>7.21</v>
      </c>
    </row>
    <row r="49" spans="2:8" x14ac:dyDescent="0.3">
      <c r="B49" s="252">
        <v>46</v>
      </c>
      <c r="C49" s="6"/>
      <c r="D49" s="6" t="s">
        <v>476</v>
      </c>
      <c r="E49" s="473">
        <v>46274</v>
      </c>
      <c r="F49" s="6" t="s">
        <v>552</v>
      </c>
      <c r="G49" s="6"/>
      <c r="H49" s="6"/>
    </row>
    <row r="50" spans="2:8" x14ac:dyDescent="0.3">
      <c r="B50" s="252">
        <v>47</v>
      </c>
      <c r="C50" s="6"/>
      <c r="D50" s="6" t="s">
        <v>477</v>
      </c>
      <c r="E50" s="473">
        <v>46274</v>
      </c>
      <c r="F50" s="6" t="s">
        <v>553</v>
      </c>
      <c r="G50" s="6"/>
      <c r="H50" s="6"/>
    </row>
    <row r="51" spans="2:8" x14ac:dyDescent="0.3">
      <c r="B51" s="252">
        <v>48</v>
      </c>
      <c r="C51" s="6"/>
      <c r="D51" s="6" t="s">
        <v>478</v>
      </c>
      <c r="E51" s="473">
        <v>46274</v>
      </c>
      <c r="F51" s="6"/>
      <c r="G51" s="6"/>
      <c r="H51" s="6"/>
    </row>
    <row r="52" spans="2:8" x14ac:dyDescent="0.3">
      <c r="B52" s="685">
        <v>49</v>
      </c>
      <c r="C52" s="799">
        <v>5</v>
      </c>
      <c r="D52" s="686" t="s">
        <v>473</v>
      </c>
      <c r="E52" s="687">
        <v>46275</v>
      </c>
      <c r="F52" s="686">
        <v>0.79600000000000004</v>
      </c>
      <c r="G52" s="686">
        <v>0.64</v>
      </c>
      <c r="H52" s="686">
        <v>9.08</v>
      </c>
    </row>
    <row r="53" spans="2:8" x14ac:dyDescent="0.3">
      <c r="B53" s="685">
        <v>50</v>
      </c>
      <c r="C53" s="800"/>
      <c r="D53" s="686" t="s">
        <v>474</v>
      </c>
      <c r="E53" s="687">
        <v>46275</v>
      </c>
      <c r="F53" s="686">
        <v>0.82599999999999996</v>
      </c>
      <c r="G53" s="686">
        <v>0.72</v>
      </c>
      <c r="H53" s="686">
        <v>8.82</v>
      </c>
    </row>
    <row r="54" spans="2:8" x14ac:dyDescent="0.3">
      <c r="B54" s="685">
        <v>51</v>
      </c>
      <c r="C54" s="800"/>
      <c r="D54" s="686" t="s">
        <v>475</v>
      </c>
      <c r="E54" s="687">
        <v>46275</v>
      </c>
      <c r="F54" s="686">
        <v>0.73</v>
      </c>
      <c r="G54" s="686">
        <v>0.63</v>
      </c>
      <c r="H54" s="686">
        <v>8.57</v>
      </c>
    </row>
    <row r="55" spans="2:8" x14ac:dyDescent="0.3">
      <c r="B55" s="685">
        <v>52</v>
      </c>
      <c r="C55" s="800"/>
      <c r="D55" s="686" t="s">
        <v>476</v>
      </c>
      <c r="E55" s="687">
        <v>46275</v>
      </c>
      <c r="F55" s="686">
        <v>0.49299999999999999</v>
      </c>
      <c r="G55" s="686">
        <v>0.45</v>
      </c>
      <c r="H55" s="686">
        <v>9.11</v>
      </c>
    </row>
    <row r="56" spans="2:8" x14ac:dyDescent="0.3">
      <c r="B56" s="685">
        <v>53</v>
      </c>
      <c r="C56" s="800"/>
      <c r="D56" s="686" t="s">
        <v>477</v>
      </c>
      <c r="E56" s="687">
        <v>46275</v>
      </c>
      <c r="F56" s="686">
        <v>0.497</v>
      </c>
      <c r="G56" s="686">
        <v>0.52</v>
      </c>
      <c r="H56" s="686">
        <v>9.36</v>
      </c>
    </row>
    <row r="57" spans="2:8" x14ac:dyDescent="0.3">
      <c r="B57" s="685">
        <v>54</v>
      </c>
      <c r="C57" s="800"/>
      <c r="D57" s="686" t="s">
        <v>478</v>
      </c>
      <c r="E57" s="687">
        <v>46275</v>
      </c>
      <c r="F57" s="686">
        <v>0.55800000000000005</v>
      </c>
      <c r="G57" s="686">
        <v>0.32</v>
      </c>
      <c r="H57" s="686">
        <v>9.36</v>
      </c>
    </row>
    <row r="58" spans="2:8" x14ac:dyDescent="0.3">
      <c r="B58" s="685">
        <v>55</v>
      </c>
      <c r="C58" s="800"/>
      <c r="D58" s="686" t="s">
        <v>473</v>
      </c>
      <c r="E58" s="687">
        <v>46276</v>
      </c>
      <c r="F58" s="686">
        <v>1.3759999999999999</v>
      </c>
      <c r="G58" s="686">
        <v>0.99</v>
      </c>
      <c r="H58" s="686">
        <v>9.2100000000000009</v>
      </c>
    </row>
    <row r="59" spans="2:8" x14ac:dyDescent="0.3">
      <c r="B59" s="685">
        <v>56</v>
      </c>
      <c r="C59" s="800"/>
      <c r="D59" s="686" t="s">
        <v>474</v>
      </c>
      <c r="E59" s="687">
        <v>46276</v>
      </c>
      <c r="F59" s="686">
        <v>1.468</v>
      </c>
      <c r="G59" s="686">
        <v>0.93</v>
      </c>
      <c r="H59" s="686">
        <v>8.94</v>
      </c>
    </row>
    <row r="60" spans="2:8" x14ac:dyDescent="0.3">
      <c r="B60" s="685">
        <v>57</v>
      </c>
      <c r="C60" s="801"/>
      <c r="D60" s="686" t="s">
        <v>475</v>
      </c>
      <c r="E60" s="687">
        <v>46276</v>
      </c>
      <c r="F60" s="686">
        <v>1.4419999999999999</v>
      </c>
      <c r="G60" s="686">
        <v>1.06</v>
      </c>
      <c r="H60" s="686">
        <v>9.25</v>
      </c>
    </row>
    <row r="61" spans="2:8" x14ac:dyDescent="0.3">
      <c r="B61" s="252">
        <v>58</v>
      </c>
      <c r="C61" s="6"/>
      <c r="D61" s="6" t="s">
        <v>476</v>
      </c>
      <c r="E61" s="473">
        <v>46276</v>
      </c>
      <c r="F61" s="6"/>
      <c r="G61" s="6"/>
      <c r="H61" s="6"/>
    </row>
    <row r="62" spans="2:8" x14ac:dyDescent="0.3">
      <c r="B62" s="252">
        <v>59</v>
      </c>
      <c r="C62" s="6"/>
      <c r="D62" s="6" t="s">
        <v>477</v>
      </c>
      <c r="E62" s="473">
        <v>46276</v>
      </c>
      <c r="F62" s="6"/>
      <c r="G62" s="6"/>
      <c r="H62" s="6"/>
    </row>
    <row r="63" spans="2:8" x14ac:dyDescent="0.3">
      <c r="B63" s="252">
        <v>60</v>
      </c>
      <c r="C63" s="6"/>
      <c r="D63" s="6" t="s">
        <v>478</v>
      </c>
      <c r="E63" s="473">
        <v>46276</v>
      </c>
      <c r="F63" s="6"/>
      <c r="G63" s="6"/>
      <c r="H63" s="6"/>
    </row>
    <row r="64" spans="2:8" x14ac:dyDescent="0.3">
      <c r="B64" s="252">
        <v>61</v>
      </c>
      <c r="C64" s="6"/>
      <c r="D64" s="6"/>
      <c r="E64" s="252"/>
      <c r="F64" s="6"/>
      <c r="G64" s="6"/>
      <c r="H64" s="6"/>
    </row>
    <row r="65" spans="2:8" x14ac:dyDescent="0.3">
      <c r="B65" s="252">
        <v>62</v>
      </c>
      <c r="C65" s="6"/>
      <c r="D65" s="6"/>
      <c r="E65" s="252"/>
      <c r="F65" s="6"/>
      <c r="G65" s="6"/>
      <c r="H65" s="6"/>
    </row>
    <row r="66" spans="2:8" x14ac:dyDescent="0.3">
      <c r="B66" s="252">
        <v>63</v>
      </c>
      <c r="C66" s="6"/>
      <c r="D66" s="6"/>
      <c r="E66" s="252"/>
      <c r="F66" s="6"/>
      <c r="G66" s="6"/>
      <c r="H66" s="6"/>
    </row>
    <row r="67" spans="2:8" x14ac:dyDescent="0.3">
      <c r="B67" s="252">
        <v>64</v>
      </c>
      <c r="C67" s="6"/>
      <c r="D67" s="6"/>
      <c r="E67" s="252"/>
      <c r="F67" s="6"/>
      <c r="G67" s="6"/>
      <c r="H67" s="6"/>
    </row>
    <row r="68" spans="2:8" x14ac:dyDescent="0.3">
      <c r="B68" s="252">
        <v>65</v>
      </c>
      <c r="C68" s="6"/>
      <c r="D68" s="6"/>
      <c r="E68" s="252"/>
      <c r="F68" s="6"/>
      <c r="G68" s="6"/>
      <c r="H68" s="6"/>
    </row>
    <row r="69" spans="2:8" x14ac:dyDescent="0.3">
      <c r="B69" s="252">
        <v>66</v>
      </c>
      <c r="C69" s="6"/>
      <c r="D69" s="6"/>
      <c r="E69" s="252"/>
      <c r="F69" s="6"/>
      <c r="G69" s="6"/>
      <c r="H69" s="6"/>
    </row>
    <row r="70" spans="2:8" x14ac:dyDescent="0.3">
      <c r="B70" s="252">
        <v>67</v>
      </c>
      <c r="C70" s="6"/>
      <c r="D70" s="6"/>
      <c r="E70" s="252"/>
      <c r="F70" s="6"/>
      <c r="G70" s="6"/>
      <c r="H70" s="6"/>
    </row>
    <row r="71" spans="2:8" x14ac:dyDescent="0.3">
      <c r="B71" s="252">
        <v>68</v>
      </c>
      <c r="C71" s="6"/>
      <c r="D71" s="6"/>
      <c r="E71" s="252"/>
      <c r="F71" s="6"/>
      <c r="G71" s="6"/>
      <c r="H71" s="6"/>
    </row>
    <row r="72" spans="2:8" x14ac:dyDescent="0.3">
      <c r="B72" s="252">
        <v>69</v>
      </c>
      <c r="C72" s="6"/>
      <c r="D72" s="6"/>
      <c r="E72" s="252"/>
      <c r="F72" s="6"/>
      <c r="G72" s="6"/>
      <c r="H72" s="6"/>
    </row>
    <row r="73" spans="2:8" x14ac:dyDescent="0.3">
      <c r="B73" s="252">
        <v>70</v>
      </c>
      <c r="C73" s="6"/>
      <c r="D73" s="6"/>
      <c r="E73" s="252"/>
      <c r="F73" s="6"/>
      <c r="G73" s="6"/>
      <c r="H73" s="6"/>
    </row>
    <row r="74" spans="2:8" x14ac:dyDescent="0.3">
      <c r="B74" s="252">
        <v>71</v>
      </c>
      <c r="C74" s="6"/>
      <c r="D74" s="6"/>
      <c r="E74" s="252"/>
      <c r="F74" s="6"/>
      <c r="G74" s="6"/>
      <c r="H74" s="6"/>
    </row>
    <row r="75" spans="2:8" x14ac:dyDescent="0.3">
      <c r="B75" s="252">
        <v>72</v>
      </c>
      <c r="C75" s="6"/>
      <c r="D75" s="6"/>
      <c r="E75" s="252"/>
      <c r="F75" s="6"/>
      <c r="G75" s="6"/>
      <c r="H75" s="6"/>
    </row>
    <row r="76" spans="2:8" x14ac:dyDescent="0.3">
      <c r="B76" s="252">
        <v>73</v>
      </c>
      <c r="C76" s="6"/>
      <c r="D76" s="6"/>
      <c r="E76" s="252"/>
      <c r="F76" s="6"/>
      <c r="G76" s="6"/>
      <c r="H76" s="6"/>
    </row>
    <row r="77" spans="2:8" x14ac:dyDescent="0.3">
      <c r="B77" s="252">
        <v>74</v>
      </c>
      <c r="C77" s="6"/>
      <c r="D77" s="6"/>
      <c r="E77" s="252"/>
      <c r="F77" s="6"/>
      <c r="G77" s="6"/>
      <c r="H77" s="6"/>
    </row>
    <row r="78" spans="2:8" x14ac:dyDescent="0.3">
      <c r="B78" s="252">
        <v>75</v>
      </c>
      <c r="C78" s="6"/>
      <c r="D78" s="6"/>
      <c r="E78" s="252"/>
      <c r="F78" s="6"/>
      <c r="G78" s="6"/>
      <c r="H78" s="6"/>
    </row>
    <row r="79" spans="2:8" x14ac:dyDescent="0.3">
      <c r="B79" s="252">
        <v>76</v>
      </c>
      <c r="C79" s="6"/>
      <c r="D79" s="6"/>
      <c r="E79" s="252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A32" zoomScale="78" zoomScaleNormal="55" workbookViewId="0">
      <selection activeCell="J41" sqref="J4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83" customWidth="1"/>
    <col min="9" max="9" width="9.5546875" style="383" customWidth="1"/>
    <col min="10" max="10" width="11.21875" style="383" customWidth="1"/>
    <col min="11" max="11" width="12" style="383" customWidth="1"/>
    <col min="12" max="12" width="11.77734375" style="383" customWidth="1"/>
    <col min="13" max="13" width="14.44140625" style="38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805" t="s">
        <v>420</v>
      </c>
      <c r="C2" s="806"/>
      <c r="D2" s="806"/>
      <c r="E2" s="806"/>
      <c r="F2" s="806"/>
      <c r="G2" s="806"/>
      <c r="H2" s="806"/>
      <c r="I2" s="806"/>
      <c r="J2" s="806"/>
      <c r="K2" s="806"/>
      <c r="L2" s="806"/>
      <c r="M2" s="807"/>
      <c r="AD2" s="16">
        <v>2</v>
      </c>
      <c r="AE2" s="16">
        <v>9.9000000000000005E-2</v>
      </c>
    </row>
    <row r="3" spans="2:31" ht="15" thickBot="1" x14ac:dyDescent="0.35">
      <c r="B3" s="805" t="s">
        <v>198</v>
      </c>
      <c r="C3" s="806"/>
      <c r="D3" s="806"/>
      <c r="E3" s="806"/>
      <c r="F3" s="806"/>
      <c r="G3" s="806"/>
      <c r="H3" s="806"/>
      <c r="I3" s="806"/>
      <c r="J3" s="806"/>
      <c r="K3" s="806"/>
      <c r="L3" s="806"/>
      <c r="M3" s="807"/>
      <c r="AD3" s="16">
        <v>3</v>
      </c>
      <c r="AE3" s="16">
        <v>0.16</v>
      </c>
    </row>
    <row r="4" spans="2:31" x14ac:dyDescent="0.3">
      <c r="B4" s="147"/>
      <c r="C4" s="147"/>
      <c r="D4" s="147"/>
      <c r="E4" s="147"/>
      <c r="F4" s="147"/>
      <c r="G4" s="147"/>
      <c r="H4" s="384"/>
      <c r="I4" s="384"/>
      <c r="J4" s="384"/>
      <c r="K4" s="384"/>
      <c r="L4" s="384"/>
      <c r="M4" s="384"/>
      <c r="AD4" s="16">
        <v>4</v>
      </c>
      <c r="AE4" s="16">
        <v>0.16700000000000001</v>
      </c>
    </row>
    <row r="5" spans="2:31" x14ac:dyDescent="0.3">
      <c r="B5" s="147"/>
      <c r="C5" s="147"/>
      <c r="D5" s="147"/>
      <c r="E5" s="147"/>
      <c r="F5" s="147"/>
      <c r="G5" s="147"/>
      <c r="H5" s="384"/>
      <c r="I5" s="384"/>
      <c r="J5" s="384"/>
      <c r="K5" s="384"/>
      <c r="L5" s="384"/>
      <c r="M5" s="384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82" t="s">
        <v>179</v>
      </c>
      <c r="E7" s="382" t="s">
        <v>180</v>
      </c>
      <c r="F7" s="382" t="s">
        <v>181</v>
      </c>
      <c r="G7" s="382" t="s">
        <v>182</v>
      </c>
      <c r="H7" s="382" t="s">
        <v>183</v>
      </c>
      <c r="I7" s="382" t="s">
        <v>184</v>
      </c>
      <c r="J7" s="382" t="s">
        <v>380</v>
      </c>
      <c r="K7" s="382" t="s">
        <v>381</v>
      </c>
      <c r="L7" s="382" t="s">
        <v>186</v>
      </c>
      <c r="M7" s="382" t="s">
        <v>196</v>
      </c>
      <c r="Q7" s="742" t="s">
        <v>346</v>
      </c>
      <c r="R7" s="742"/>
      <c r="S7" s="742"/>
      <c r="T7" s="742"/>
      <c r="U7" s="742"/>
      <c r="V7" s="742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85">
        <v>41</v>
      </c>
      <c r="I8" s="385">
        <v>1.35</v>
      </c>
      <c r="J8" s="390">
        <f>H8*I8</f>
        <v>55.35</v>
      </c>
      <c r="K8" s="390">
        <f>I8*G8</f>
        <v>0</v>
      </c>
      <c r="L8" s="385">
        <v>1.0269999999999999</v>
      </c>
      <c r="M8" s="390">
        <f>L8*J8</f>
        <v>56.844449999999995</v>
      </c>
      <c r="N8" s="1" t="s">
        <v>206</v>
      </c>
      <c r="O8" s="1">
        <f>MEDIAN(L8:L39)</f>
        <v>1.1160000000000001</v>
      </c>
      <c r="Q8" s="274" t="s">
        <v>71</v>
      </c>
      <c r="R8" s="274" t="s">
        <v>347</v>
      </c>
      <c r="S8" s="274" t="s">
        <v>1</v>
      </c>
      <c r="T8" s="274" t="s">
        <v>348</v>
      </c>
      <c r="U8" s="274" t="s">
        <v>349</v>
      </c>
      <c r="V8" s="274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85">
        <v>16</v>
      </c>
      <c r="I9" s="385">
        <v>1.35</v>
      </c>
      <c r="J9" s="390">
        <f t="shared" ref="J9:J12" si="0">H9*I9</f>
        <v>21.6</v>
      </c>
      <c r="K9" s="390">
        <f t="shared" ref="K9:K12" si="1">I9*G9</f>
        <v>0</v>
      </c>
      <c r="L9" s="385">
        <v>1.228</v>
      </c>
      <c r="M9" s="390">
        <f t="shared" ref="M9:M39" si="2">L9*J9</f>
        <v>26.524800000000003</v>
      </c>
      <c r="N9" s="32" t="s">
        <v>421</v>
      </c>
      <c r="O9" s="124">
        <f>AVERAGE(L8:L39)</f>
        <v>1.7073333333333334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75" t="s">
        <v>269</v>
      </c>
      <c r="Z9" s="143">
        <f>AVERAGE(T9:T261)</f>
        <v>0.89901503759398493</v>
      </c>
      <c r="AA9" s="124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85">
        <v>93</v>
      </c>
      <c r="I10" s="385">
        <v>1.35</v>
      </c>
      <c r="J10" s="390">
        <f t="shared" si="0"/>
        <v>125.55000000000001</v>
      </c>
      <c r="K10" s="390">
        <f t="shared" si="1"/>
        <v>0</v>
      </c>
      <c r="L10" s="393">
        <v>0.6</v>
      </c>
      <c r="M10" s="390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75" t="s">
        <v>206</v>
      </c>
      <c r="Z10" s="143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85">
        <v>40</v>
      </c>
      <c r="I11" s="385">
        <v>1.35</v>
      </c>
      <c r="J11" s="390">
        <f t="shared" si="0"/>
        <v>54</v>
      </c>
      <c r="K11" s="390">
        <f t="shared" si="1"/>
        <v>0</v>
      </c>
      <c r="L11" s="385">
        <v>1.0269999999999999</v>
      </c>
      <c r="M11" s="390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75" t="s">
        <v>204</v>
      </c>
      <c r="Z11" s="143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85">
        <v>13</v>
      </c>
      <c r="I12" s="385">
        <v>1.35</v>
      </c>
      <c r="J12" s="390">
        <f t="shared" si="0"/>
        <v>17.55</v>
      </c>
      <c r="K12" s="390">
        <f t="shared" si="1"/>
        <v>0</v>
      </c>
      <c r="L12" s="385">
        <v>1.228</v>
      </c>
      <c r="M12" s="390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75" t="s">
        <v>203</v>
      </c>
      <c r="Z12" s="143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85">
        <v>310</v>
      </c>
      <c r="I13" s="385">
        <v>1.39</v>
      </c>
      <c r="J13" s="390">
        <f>H13*I13</f>
        <v>430.9</v>
      </c>
      <c r="K13" s="390">
        <f t="shared" ref="K13:K22" si="3">I13*G13</f>
        <v>278</v>
      </c>
      <c r="L13" s="385">
        <v>1.1220000000000001</v>
      </c>
      <c r="M13" s="390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76" t="s">
        <v>376</v>
      </c>
      <c r="Z13" s="42">
        <f>((Z9-Z10)/(Z9+Z10)/2)</f>
        <v>7.5916961683886008E-2</v>
      </c>
      <c r="AA13" s="124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85">
        <v>190</v>
      </c>
      <c r="I14" s="385">
        <v>1.39</v>
      </c>
      <c r="J14" s="390">
        <f>H14*I14</f>
        <v>264.09999999999997</v>
      </c>
      <c r="K14" s="390">
        <f t="shared" si="3"/>
        <v>305.79999999999995</v>
      </c>
      <c r="L14" s="385">
        <v>1.1220000000000001</v>
      </c>
      <c r="M14" s="390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76" t="s">
        <v>270</v>
      </c>
      <c r="Z14" s="143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85">
        <v>34</v>
      </c>
      <c r="I15" s="385">
        <v>1.39</v>
      </c>
      <c r="J15" s="390">
        <f>H15*I15</f>
        <v>47.26</v>
      </c>
      <c r="K15" s="390">
        <f t="shared" si="3"/>
        <v>291.89999999999998</v>
      </c>
      <c r="L15" s="385">
        <v>1.02</v>
      </c>
      <c r="M15" s="390">
        <f t="shared" si="2"/>
        <v>48.205199999999998</v>
      </c>
      <c r="N15" s="124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85"/>
      <c r="E16" s="16"/>
      <c r="F16" s="16" t="s">
        <v>343</v>
      </c>
      <c r="G16" s="16">
        <v>30</v>
      </c>
      <c r="H16" s="385">
        <v>64</v>
      </c>
      <c r="I16" s="385">
        <v>1.39</v>
      </c>
      <c r="J16" s="390">
        <f>H16*I16</f>
        <v>88.96</v>
      </c>
      <c r="K16" s="390">
        <f t="shared" si="3"/>
        <v>41.699999999999996</v>
      </c>
      <c r="L16" s="424">
        <v>1.02</v>
      </c>
      <c r="M16" s="390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85">
        <v>62</v>
      </c>
      <c r="I17" s="385">
        <v>1.39</v>
      </c>
      <c r="J17" s="390">
        <f t="shared" ref="J17:J39" si="4">H17*I17</f>
        <v>86.179999999999993</v>
      </c>
      <c r="K17" s="390">
        <f t="shared" si="3"/>
        <v>83.399999999999991</v>
      </c>
      <c r="L17" s="385">
        <v>0.93500000000000005</v>
      </c>
      <c r="M17" s="390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4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85">
        <v>108</v>
      </c>
      <c r="I18" s="385">
        <v>1.39</v>
      </c>
      <c r="J18" s="390">
        <f t="shared" si="4"/>
        <v>150.11999999999998</v>
      </c>
      <c r="K18" s="390">
        <f t="shared" si="3"/>
        <v>83.399999999999991</v>
      </c>
      <c r="L18" s="385">
        <v>1.1100000000000001</v>
      </c>
      <c r="M18" s="390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85">
        <v>130</v>
      </c>
      <c r="I19" s="385">
        <v>1.39</v>
      </c>
      <c r="J19" s="390">
        <f>H19*I19</f>
        <v>180.7</v>
      </c>
      <c r="K19" s="390">
        <f t="shared" si="3"/>
        <v>208.49999999999997</v>
      </c>
      <c r="L19" s="385">
        <v>12.308999999999999</v>
      </c>
      <c r="M19" s="390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85">
        <v>94</v>
      </c>
      <c r="I20" s="385">
        <v>1.39</v>
      </c>
      <c r="J20" s="390">
        <f t="shared" si="4"/>
        <v>130.66</v>
      </c>
      <c r="K20" s="390">
        <f t="shared" si="3"/>
        <v>152.89999999999998</v>
      </c>
      <c r="L20" s="385">
        <v>0.86</v>
      </c>
      <c r="M20" s="390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85">
        <v>310</v>
      </c>
      <c r="I21" s="411">
        <v>1.3</v>
      </c>
      <c r="J21" s="390">
        <f t="shared" si="4"/>
        <v>403</v>
      </c>
      <c r="K21" s="390">
        <f t="shared" si="3"/>
        <v>130</v>
      </c>
      <c r="L21" s="385">
        <v>1.2969999999999999</v>
      </c>
      <c r="M21" s="390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85">
        <v>56</v>
      </c>
      <c r="I22" s="411">
        <v>1.3</v>
      </c>
      <c r="J22" s="390">
        <f t="shared" si="4"/>
        <v>72.8</v>
      </c>
      <c r="K22" s="390">
        <f t="shared" si="3"/>
        <v>364</v>
      </c>
      <c r="L22" s="385">
        <v>1.4970000000000001</v>
      </c>
      <c r="M22" s="390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27">
        <v>46263</v>
      </c>
      <c r="D23" s="426"/>
      <c r="E23" s="426"/>
      <c r="F23" s="426"/>
      <c r="G23" s="269"/>
      <c r="H23" s="269"/>
      <c r="I23" s="269"/>
      <c r="J23" s="269"/>
      <c r="K23" s="269"/>
      <c r="L23" s="386"/>
      <c r="M23" s="390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27">
        <v>46264</v>
      </c>
      <c r="D24" s="6"/>
      <c r="E24" s="6"/>
      <c r="F24" s="6"/>
      <c r="G24" s="6"/>
      <c r="H24" s="386"/>
      <c r="I24" s="385">
        <v>1.35</v>
      </c>
      <c r="J24" s="390">
        <f t="shared" si="4"/>
        <v>0</v>
      </c>
      <c r="K24" s="390"/>
      <c r="L24" s="386"/>
      <c r="M24" s="390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27">
        <v>46265</v>
      </c>
      <c r="D25" s="6"/>
      <c r="E25" s="6"/>
      <c r="F25" s="16" t="s">
        <v>343</v>
      </c>
      <c r="G25" s="6"/>
      <c r="H25" s="386">
        <v>23</v>
      </c>
      <c r="I25" s="385">
        <v>1.3</v>
      </c>
      <c r="J25" s="390">
        <f t="shared" si="4"/>
        <v>29.900000000000002</v>
      </c>
      <c r="K25" s="390"/>
      <c r="L25" s="386">
        <v>1.23</v>
      </c>
      <c r="M25" s="390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427">
        <v>46266</v>
      </c>
      <c r="D26" s="6"/>
      <c r="E26" s="6"/>
      <c r="F26" s="16"/>
      <c r="G26" s="6"/>
      <c r="H26" s="386"/>
      <c r="I26" s="385">
        <v>1.35</v>
      </c>
      <c r="J26" s="390">
        <f t="shared" si="4"/>
        <v>0</v>
      </c>
      <c r="K26" s="390"/>
      <c r="L26" s="386"/>
      <c r="M26" s="390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427">
        <v>46267</v>
      </c>
      <c r="D27" s="6"/>
      <c r="E27" s="6"/>
      <c r="F27" s="16"/>
      <c r="G27" s="6"/>
      <c r="H27" s="386"/>
      <c r="I27" s="385">
        <v>1.35</v>
      </c>
      <c r="J27" s="390">
        <f t="shared" si="4"/>
        <v>0</v>
      </c>
      <c r="K27" s="390"/>
      <c r="L27" s="386"/>
      <c r="M27" s="390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427">
        <v>46268</v>
      </c>
      <c r="D28" s="6"/>
      <c r="E28" s="6"/>
      <c r="F28" s="16"/>
      <c r="G28" s="6"/>
      <c r="H28" s="386"/>
      <c r="I28" s="385">
        <v>1.35</v>
      </c>
      <c r="J28" s="390">
        <f t="shared" si="4"/>
        <v>0</v>
      </c>
      <c r="K28" s="390"/>
      <c r="L28" s="386"/>
      <c r="M28" s="390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427">
        <v>46269</v>
      </c>
      <c r="D29" s="6"/>
      <c r="E29" s="6"/>
      <c r="F29" s="16" t="s">
        <v>343</v>
      </c>
      <c r="G29" s="6"/>
      <c r="H29" s="386">
        <v>90</v>
      </c>
      <c r="I29" s="385">
        <v>1.35</v>
      </c>
      <c r="J29" s="390">
        <f t="shared" si="4"/>
        <v>121.50000000000001</v>
      </c>
      <c r="K29" s="390"/>
      <c r="L29" s="386">
        <v>0.8</v>
      </c>
      <c r="M29" s="390">
        <f t="shared" si="2"/>
        <v>97.200000000000017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427">
        <v>46270</v>
      </c>
      <c r="D30" s="6"/>
      <c r="E30" s="6"/>
      <c r="F30" s="16"/>
      <c r="G30" s="6"/>
      <c r="H30" s="386"/>
      <c r="I30" s="385">
        <v>1.35</v>
      </c>
      <c r="J30" s="390">
        <f t="shared" si="4"/>
        <v>0</v>
      </c>
      <c r="K30" s="390"/>
      <c r="L30" s="386"/>
      <c r="M30" s="390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427">
        <v>46271</v>
      </c>
      <c r="D31" s="6"/>
      <c r="E31" s="6"/>
      <c r="F31" s="16"/>
      <c r="G31" s="6"/>
      <c r="H31" s="386"/>
      <c r="I31" s="385">
        <v>1.35</v>
      </c>
      <c r="J31" s="390">
        <f t="shared" si="4"/>
        <v>0</v>
      </c>
      <c r="K31" s="390"/>
      <c r="L31" s="386"/>
      <c r="M31" s="390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427">
        <v>46272</v>
      </c>
      <c r="D32" s="6"/>
      <c r="E32" s="6"/>
      <c r="F32" s="16"/>
      <c r="G32" s="6"/>
      <c r="H32" s="386"/>
      <c r="I32" s="385">
        <v>1.35</v>
      </c>
      <c r="J32" s="390">
        <f t="shared" si="4"/>
        <v>0</v>
      </c>
      <c r="K32" s="390"/>
      <c r="L32" s="386"/>
      <c r="M32" s="390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427">
        <v>46273</v>
      </c>
      <c r="D33" s="6"/>
      <c r="E33" s="6"/>
      <c r="F33" s="16"/>
      <c r="G33" s="6"/>
      <c r="H33" s="386"/>
      <c r="I33" s="385">
        <v>1.35</v>
      </c>
      <c r="J33" s="390">
        <f t="shared" si="4"/>
        <v>0</v>
      </c>
      <c r="K33" s="390"/>
      <c r="L33" s="386"/>
      <c r="M33" s="390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427">
        <v>46274</v>
      </c>
      <c r="D34" s="6"/>
      <c r="E34" s="6"/>
      <c r="F34" s="16"/>
      <c r="G34" s="6"/>
      <c r="H34" s="386"/>
      <c r="I34" s="385">
        <v>1.35</v>
      </c>
      <c r="J34" s="390">
        <f t="shared" si="4"/>
        <v>0</v>
      </c>
      <c r="K34" s="390"/>
      <c r="L34" s="386"/>
      <c r="M34" s="390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427">
        <v>46275</v>
      </c>
      <c r="D35" s="6"/>
      <c r="E35" s="6"/>
      <c r="F35" s="16" t="s">
        <v>343</v>
      </c>
      <c r="G35" s="6"/>
      <c r="H35" s="386">
        <v>312</v>
      </c>
      <c r="I35" s="385">
        <v>1.35</v>
      </c>
      <c r="J35" s="390">
        <f t="shared" si="4"/>
        <v>421.20000000000005</v>
      </c>
      <c r="K35" s="390"/>
      <c r="L35" s="386">
        <v>1.3</v>
      </c>
      <c r="M35" s="390">
        <f t="shared" si="2"/>
        <v>547.56000000000006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427">
        <v>46276</v>
      </c>
      <c r="D36" s="6"/>
      <c r="E36" s="6"/>
      <c r="F36" s="6"/>
      <c r="G36" s="6"/>
      <c r="H36" s="386"/>
      <c r="I36" s="385">
        <v>1.35</v>
      </c>
      <c r="J36" s="390">
        <f t="shared" si="4"/>
        <v>0</v>
      </c>
      <c r="K36" s="390"/>
      <c r="L36" s="386"/>
      <c r="M36" s="390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427">
        <v>46277</v>
      </c>
      <c r="D37" s="6"/>
      <c r="E37" s="6"/>
      <c r="F37" s="6"/>
      <c r="G37" s="6"/>
      <c r="H37" s="386"/>
      <c r="I37" s="385">
        <v>1.35</v>
      </c>
      <c r="J37" s="390">
        <f t="shared" si="4"/>
        <v>0</v>
      </c>
      <c r="K37" s="390"/>
      <c r="L37" s="386"/>
      <c r="M37" s="390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427">
        <v>46278</v>
      </c>
      <c r="D38" s="6"/>
      <c r="E38" s="6"/>
      <c r="F38" s="6"/>
      <c r="G38" s="6"/>
      <c r="H38" s="386"/>
      <c r="I38" s="385">
        <v>1.35</v>
      </c>
      <c r="J38" s="390">
        <f t="shared" si="4"/>
        <v>0</v>
      </c>
      <c r="K38" s="390"/>
      <c r="L38" s="386"/>
      <c r="M38" s="390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427">
        <v>46279</v>
      </c>
      <c r="D39" s="6"/>
      <c r="E39" s="6"/>
      <c r="F39" s="6"/>
      <c r="G39" s="6"/>
      <c r="H39" s="386"/>
      <c r="I39" s="385">
        <v>1.35</v>
      </c>
      <c r="J39" s="390">
        <f t="shared" si="4"/>
        <v>0</v>
      </c>
      <c r="K39" s="390"/>
      <c r="L39" s="386"/>
      <c r="M39" s="390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808" t="s">
        <v>423</v>
      </c>
      <c r="AH39" s="809"/>
      <c r="AI39" s="809"/>
      <c r="AJ39" s="809"/>
      <c r="AK39" s="809"/>
      <c r="AL39" s="810"/>
    </row>
    <row r="40" spans="2:38" x14ac:dyDescent="0.3">
      <c r="B40" s="140" t="s">
        <v>122</v>
      </c>
      <c r="C40" s="427">
        <v>46280</v>
      </c>
      <c r="D40" s="140"/>
      <c r="E40" s="140"/>
      <c r="F40" s="140"/>
      <c r="G40" s="140"/>
      <c r="H40" s="387"/>
      <c r="I40" s="387"/>
      <c r="J40" s="387"/>
      <c r="K40" s="387"/>
      <c r="L40" s="425">
        <f>AVERAGE(L8:L22)</f>
        <v>1.8267999999999998</v>
      </c>
      <c r="M40" s="395">
        <f>SUM(M8:M39)</f>
        <v>5051.4680500000004</v>
      </c>
      <c r="N40" s="15"/>
      <c r="O40" s="146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811"/>
      <c r="AH40" s="812"/>
      <c r="AI40" s="812"/>
      <c r="AJ40" s="812"/>
      <c r="AK40" s="812"/>
      <c r="AL40" s="813"/>
    </row>
    <row r="41" spans="2:38" x14ac:dyDescent="0.3">
      <c r="B41" s="140" t="s">
        <v>18</v>
      </c>
      <c r="C41" s="140"/>
      <c r="D41" s="144"/>
      <c r="E41" s="144"/>
      <c r="F41" s="144"/>
      <c r="G41" s="144">
        <f>SUM(G8:G39)</f>
        <v>1420</v>
      </c>
      <c r="H41" s="388">
        <f>SUM(H8:H39)</f>
        <v>1986</v>
      </c>
      <c r="I41" s="388"/>
      <c r="J41" s="391">
        <f>SUM(J8:J39)</f>
        <v>2701.3300000000008</v>
      </c>
      <c r="K41" s="391">
        <f>SUM(K8:K39)</f>
        <v>1939.6</v>
      </c>
      <c r="L41" s="425">
        <f>MEDIAN(L8:L22)</f>
        <v>1.1100000000000001</v>
      </c>
      <c r="M41" s="391">
        <f>L41*J41</f>
        <v>2998.4763000000012</v>
      </c>
      <c r="N41" s="12"/>
      <c r="Q41" s="220">
        <v>33</v>
      </c>
      <c r="R41" s="220" t="s">
        <v>384</v>
      </c>
      <c r="S41" s="77">
        <v>46251</v>
      </c>
      <c r="T41" s="16">
        <v>1.0349999999999999</v>
      </c>
      <c r="U41" s="220"/>
      <c r="V41" s="220"/>
      <c r="AD41" s="16">
        <v>41</v>
      </c>
      <c r="AE41" s="6">
        <v>0.48799999999999999</v>
      </c>
      <c r="AG41" s="396">
        <v>1</v>
      </c>
      <c r="AH41" s="32">
        <v>0.81</v>
      </c>
      <c r="AJ41" s="1">
        <v>1</v>
      </c>
      <c r="AK41" s="186">
        <v>1.6</v>
      </c>
      <c r="AL41" s="397"/>
    </row>
    <row r="42" spans="2:38" x14ac:dyDescent="0.3">
      <c r="L42" s="394"/>
      <c r="Q42" s="220">
        <v>34</v>
      </c>
      <c r="R42" s="220" t="s">
        <v>385</v>
      </c>
      <c r="S42" s="77">
        <v>46251</v>
      </c>
      <c r="T42" s="16">
        <v>0.52600000000000002</v>
      </c>
      <c r="U42" s="220"/>
      <c r="V42" s="220"/>
      <c r="Y42" s="2"/>
      <c r="AD42" s="16">
        <v>42</v>
      </c>
      <c r="AE42" s="16">
        <v>0.48899999999999999</v>
      </c>
      <c r="AG42" s="396">
        <v>2</v>
      </c>
      <c r="AH42" s="32">
        <v>0.81</v>
      </c>
      <c r="AJ42" s="1">
        <v>2</v>
      </c>
      <c r="AK42" s="186">
        <v>1.6</v>
      </c>
      <c r="AL42" s="397"/>
    </row>
    <row r="43" spans="2:38" ht="43.2" x14ac:dyDescent="0.3">
      <c r="L43" s="412" t="s">
        <v>440</v>
      </c>
      <c r="M43" s="411">
        <f>M40/J41</f>
        <v>1.8699929479182473</v>
      </c>
      <c r="Q43" s="220">
        <v>35</v>
      </c>
      <c r="R43" s="220" t="s">
        <v>386</v>
      </c>
      <c r="S43" s="77">
        <v>46251</v>
      </c>
      <c r="T43" s="16">
        <v>0.81599999999999995</v>
      </c>
      <c r="U43" s="220"/>
      <c r="V43" s="220"/>
      <c r="AD43" s="16">
        <v>43</v>
      </c>
      <c r="AE43" s="16">
        <v>0.501</v>
      </c>
      <c r="AG43" s="396">
        <v>3</v>
      </c>
      <c r="AH43" s="32">
        <v>0.81</v>
      </c>
      <c r="AJ43" s="1">
        <v>3</v>
      </c>
      <c r="AK43" s="186">
        <v>1.6</v>
      </c>
      <c r="AL43" s="397"/>
    </row>
    <row r="44" spans="2:38" x14ac:dyDescent="0.3">
      <c r="I44" s="389"/>
      <c r="J44" s="389"/>
      <c r="K44" s="389"/>
      <c r="L44" s="394"/>
      <c r="Q44" s="220">
        <v>36</v>
      </c>
      <c r="R44" s="220" t="s">
        <v>387</v>
      </c>
      <c r="S44" s="77">
        <v>46251</v>
      </c>
      <c r="T44" s="16">
        <v>0.34399999999999997</v>
      </c>
      <c r="U44" s="220"/>
      <c r="V44" s="220"/>
      <c r="AD44" s="16">
        <v>44</v>
      </c>
      <c r="AE44" s="16">
        <v>0.502</v>
      </c>
      <c r="AG44" s="396">
        <v>4</v>
      </c>
      <c r="AH44" s="32">
        <v>0.81</v>
      </c>
      <c r="AJ44" s="1">
        <v>4</v>
      </c>
      <c r="AK44" s="186">
        <v>1.6</v>
      </c>
      <c r="AL44" s="397"/>
    </row>
    <row r="45" spans="2:38" x14ac:dyDescent="0.3">
      <c r="I45" s="389"/>
      <c r="Q45" s="220">
        <v>37</v>
      </c>
      <c r="R45" s="220" t="s">
        <v>388</v>
      </c>
      <c r="S45" s="77">
        <v>46251</v>
      </c>
      <c r="T45" s="16">
        <v>0.30399999999999999</v>
      </c>
      <c r="U45" s="220"/>
      <c r="V45" s="220"/>
      <c r="AD45" s="16">
        <v>45</v>
      </c>
      <c r="AE45" s="16">
        <v>0.50600000000000001</v>
      </c>
      <c r="AG45" s="396">
        <v>5</v>
      </c>
      <c r="AH45" s="32">
        <v>0.81</v>
      </c>
      <c r="AJ45" s="1">
        <v>5</v>
      </c>
      <c r="AK45" s="186">
        <v>1.6</v>
      </c>
      <c r="AL45" s="397"/>
    </row>
    <row r="46" spans="2:38" x14ac:dyDescent="0.3">
      <c r="J46" s="389"/>
      <c r="Q46" s="220">
        <v>38</v>
      </c>
      <c r="R46" s="220" t="s">
        <v>389</v>
      </c>
      <c r="S46" s="77">
        <v>46251</v>
      </c>
      <c r="T46" s="16">
        <v>0.74399999999999999</v>
      </c>
      <c r="U46" s="220"/>
      <c r="V46" s="220"/>
      <c r="AD46" s="16">
        <v>46</v>
      </c>
      <c r="AE46" s="16">
        <v>0.52600000000000002</v>
      </c>
      <c r="AG46" s="396">
        <v>6</v>
      </c>
      <c r="AH46" s="32">
        <v>0.81</v>
      </c>
      <c r="AJ46" s="1">
        <v>6</v>
      </c>
      <c r="AK46" s="186">
        <v>1.6</v>
      </c>
      <c r="AL46" s="397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85">
        <v>271</v>
      </c>
      <c r="I47" s="385">
        <v>1.35</v>
      </c>
      <c r="J47" s="390">
        <f>H47*I47</f>
        <v>365.85</v>
      </c>
      <c r="K47" s="392"/>
      <c r="M47" s="389"/>
      <c r="Q47" s="220">
        <v>39</v>
      </c>
      <c r="R47" s="220" t="s">
        <v>390</v>
      </c>
      <c r="S47" s="77">
        <v>46251</v>
      </c>
      <c r="T47" s="16">
        <v>0.56299999999999994</v>
      </c>
      <c r="U47" s="220"/>
      <c r="V47" s="220"/>
      <c r="AD47" s="16">
        <v>47</v>
      </c>
      <c r="AE47" s="6">
        <v>0.53800000000000003</v>
      </c>
      <c r="AG47" s="396">
        <v>7</v>
      </c>
      <c r="AH47" s="32">
        <v>0.81</v>
      </c>
      <c r="AJ47" s="1">
        <v>7</v>
      </c>
      <c r="AK47" s="186">
        <v>1.6</v>
      </c>
      <c r="AL47" s="397"/>
    </row>
    <row r="48" spans="2:38" x14ac:dyDescent="0.3">
      <c r="J48" s="389"/>
      <c r="Q48" s="220">
        <v>40</v>
      </c>
      <c r="R48" s="220" t="s">
        <v>391</v>
      </c>
      <c r="S48" s="77">
        <v>46251</v>
      </c>
      <c r="T48" s="16">
        <v>0.438</v>
      </c>
      <c r="U48" s="220"/>
      <c r="V48" s="220"/>
      <c r="AD48" s="16">
        <v>48</v>
      </c>
      <c r="AE48" s="16">
        <v>0.54600000000000004</v>
      </c>
      <c r="AG48" s="396">
        <v>8</v>
      </c>
      <c r="AH48" s="32">
        <v>0.81</v>
      </c>
      <c r="AJ48" s="1">
        <v>8</v>
      </c>
      <c r="AK48" s="186">
        <v>1.6</v>
      </c>
      <c r="AL48" s="397"/>
    </row>
    <row r="49" spans="7:38" x14ac:dyDescent="0.3">
      <c r="Q49" s="220">
        <v>41</v>
      </c>
      <c r="R49" s="220" t="s">
        <v>392</v>
      </c>
      <c r="S49" s="77">
        <v>46251</v>
      </c>
      <c r="T49" s="16">
        <v>0.45800000000000002</v>
      </c>
      <c r="U49" s="220"/>
      <c r="V49" s="220"/>
      <c r="AD49" s="16">
        <v>49</v>
      </c>
      <c r="AE49" s="16">
        <v>0.55500000000000005</v>
      </c>
      <c r="AG49" s="396">
        <v>9</v>
      </c>
      <c r="AH49" s="32">
        <v>0.81</v>
      </c>
      <c r="AJ49" s="1">
        <v>9</v>
      </c>
      <c r="AK49" s="186">
        <v>1.6</v>
      </c>
      <c r="AL49" s="397"/>
    </row>
    <row r="50" spans="7:38" x14ac:dyDescent="0.3">
      <c r="G50" s="16">
        <v>41</v>
      </c>
      <c r="J50" s="389"/>
      <c r="Q50" s="220">
        <v>42</v>
      </c>
      <c r="R50" s="220" t="s">
        <v>393</v>
      </c>
      <c r="S50" s="77">
        <v>46252</v>
      </c>
      <c r="T50" s="16">
        <v>0.55800000000000005</v>
      </c>
      <c r="U50" s="220"/>
      <c r="V50" s="220"/>
      <c r="AD50" s="16">
        <v>50</v>
      </c>
      <c r="AE50" s="16">
        <v>0.55600000000000005</v>
      </c>
      <c r="AG50" s="396">
        <v>10</v>
      </c>
      <c r="AH50" s="32">
        <v>0.81</v>
      </c>
      <c r="AJ50" s="1">
        <v>10</v>
      </c>
      <c r="AK50" s="186">
        <v>1.6</v>
      </c>
      <c r="AL50" s="397"/>
    </row>
    <row r="51" spans="7:38" x14ac:dyDescent="0.3">
      <c r="G51" s="16">
        <v>16</v>
      </c>
      <c r="Q51" s="220">
        <v>43</v>
      </c>
      <c r="R51" s="220" t="s">
        <v>394</v>
      </c>
      <c r="S51" s="77">
        <v>46252</v>
      </c>
      <c r="T51" s="16">
        <v>0.501</v>
      </c>
      <c r="U51" s="220"/>
      <c r="V51" s="220"/>
      <c r="AD51" s="16">
        <v>51</v>
      </c>
      <c r="AE51" s="16">
        <v>0.55800000000000005</v>
      </c>
      <c r="AG51" s="396">
        <v>11</v>
      </c>
      <c r="AH51" s="32">
        <v>0.81</v>
      </c>
      <c r="AJ51" s="1">
        <v>11</v>
      </c>
      <c r="AK51" s="186">
        <v>1.6</v>
      </c>
      <c r="AL51" s="397"/>
    </row>
    <row r="52" spans="7:38" x14ac:dyDescent="0.3">
      <c r="G52" s="16">
        <v>93</v>
      </c>
      <c r="I52" s="389"/>
      <c r="Q52" s="220">
        <v>44</v>
      </c>
      <c r="R52" s="220" t="s">
        <v>395</v>
      </c>
      <c r="S52" s="77">
        <v>46252</v>
      </c>
      <c r="T52" s="16">
        <v>1.25</v>
      </c>
      <c r="U52" s="220"/>
      <c r="V52" s="220"/>
      <c r="AD52" s="16">
        <v>52</v>
      </c>
      <c r="AE52" s="16">
        <v>0.55800000000000005</v>
      </c>
      <c r="AG52" s="396">
        <v>12</v>
      </c>
      <c r="AH52" s="32">
        <v>0.81</v>
      </c>
      <c r="AJ52" s="1">
        <v>12</v>
      </c>
      <c r="AK52" s="186">
        <v>1.6</v>
      </c>
      <c r="AL52" s="397"/>
    </row>
    <row r="53" spans="7:38" x14ac:dyDescent="0.3">
      <c r="G53" s="16">
        <v>40</v>
      </c>
      <c r="H53" s="383">
        <f>1800+1000</f>
        <v>2800</v>
      </c>
      <c r="Q53" s="220">
        <v>45</v>
      </c>
      <c r="R53" s="220" t="s">
        <v>399</v>
      </c>
      <c r="S53" s="285">
        <v>46253</v>
      </c>
      <c r="T53" s="220">
        <v>0.35099999999999998</v>
      </c>
      <c r="U53" s="220"/>
      <c r="V53" s="220"/>
      <c r="AD53" s="16">
        <v>53</v>
      </c>
      <c r="AE53" s="16">
        <v>0.56200000000000006</v>
      </c>
      <c r="AG53" s="396">
        <v>13</v>
      </c>
      <c r="AH53" s="32">
        <v>0.81</v>
      </c>
      <c r="AJ53" s="1">
        <v>13</v>
      </c>
      <c r="AK53" s="186">
        <v>1.6</v>
      </c>
      <c r="AL53" s="397"/>
    </row>
    <row r="54" spans="7:38" x14ac:dyDescent="0.3">
      <c r="G54" s="16">
        <v>13</v>
      </c>
      <c r="Q54" s="220">
        <v>46</v>
      </c>
      <c r="R54" s="220" t="s">
        <v>400</v>
      </c>
      <c r="S54" s="285">
        <v>46253</v>
      </c>
      <c r="T54" s="220">
        <v>2.028</v>
      </c>
      <c r="U54" s="220"/>
      <c r="V54" s="220"/>
      <c r="AD54" s="16">
        <v>54</v>
      </c>
      <c r="AE54" s="16">
        <v>0.56299999999999994</v>
      </c>
      <c r="AG54" s="396">
        <v>14</v>
      </c>
      <c r="AH54" s="32">
        <v>0.81</v>
      </c>
      <c r="AJ54" s="1">
        <v>14</v>
      </c>
      <c r="AK54" s="186">
        <v>1.6</v>
      </c>
      <c r="AL54" s="397"/>
    </row>
    <row r="55" spans="7:38" x14ac:dyDescent="0.3">
      <c r="G55" s="16">
        <v>190</v>
      </c>
      <c r="Q55" s="220">
        <v>47</v>
      </c>
      <c r="R55" s="220" t="s">
        <v>401</v>
      </c>
      <c r="S55" s="285">
        <v>46253</v>
      </c>
      <c r="T55" s="220">
        <v>1.8380000000000001</v>
      </c>
      <c r="U55" s="220"/>
      <c r="V55" s="220"/>
      <c r="AD55" s="16">
        <v>55</v>
      </c>
      <c r="AE55" s="16">
        <v>0.57399999999999995</v>
      </c>
      <c r="AG55" s="396">
        <v>15</v>
      </c>
      <c r="AH55" s="32">
        <v>0.81</v>
      </c>
      <c r="AJ55" s="1">
        <v>15</v>
      </c>
      <c r="AK55" s="186">
        <v>1.6</v>
      </c>
      <c r="AL55" s="397"/>
    </row>
    <row r="56" spans="7:38" x14ac:dyDescent="0.3">
      <c r="G56" s="16">
        <v>220</v>
      </c>
      <c r="Q56" s="220">
        <v>48</v>
      </c>
      <c r="R56" s="220" t="s">
        <v>402</v>
      </c>
      <c r="S56" s="285">
        <v>46253</v>
      </c>
      <c r="T56" s="220">
        <v>1.3220000000000001</v>
      </c>
      <c r="U56" s="220"/>
      <c r="V56" s="220"/>
      <c r="AD56" s="16">
        <v>56</v>
      </c>
      <c r="AE56" s="16">
        <v>0.57599999999999996</v>
      </c>
      <c r="AG56" s="396">
        <v>16</v>
      </c>
      <c r="AH56" s="32">
        <v>0.81</v>
      </c>
      <c r="AJ56" s="1">
        <v>16</v>
      </c>
      <c r="AK56" s="186">
        <v>1.6</v>
      </c>
      <c r="AL56" s="397"/>
    </row>
    <row r="57" spans="7:38" x14ac:dyDescent="0.3">
      <c r="Q57" s="220">
        <v>49</v>
      </c>
      <c r="R57" s="220" t="s">
        <v>403</v>
      </c>
      <c r="S57" s="285">
        <v>46253</v>
      </c>
      <c r="T57" s="220">
        <v>0.65100000000000002</v>
      </c>
      <c r="U57" s="220"/>
      <c r="V57" s="220"/>
      <c r="AD57" s="16">
        <v>57</v>
      </c>
      <c r="AE57" s="16">
        <v>0.57599999999999996</v>
      </c>
      <c r="AG57" s="396">
        <v>17</v>
      </c>
      <c r="AH57" s="32">
        <v>0.81</v>
      </c>
      <c r="AJ57" s="1">
        <v>17</v>
      </c>
      <c r="AK57" s="186">
        <v>1.6</v>
      </c>
      <c r="AL57" s="397"/>
    </row>
    <row r="58" spans="7:38" x14ac:dyDescent="0.3">
      <c r="Q58" s="220">
        <v>50</v>
      </c>
      <c r="R58" s="220" t="s">
        <v>404</v>
      </c>
      <c r="S58" s="285">
        <v>46253</v>
      </c>
      <c r="T58" s="220">
        <v>0.50600000000000001</v>
      </c>
      <c r="U58" s="220"/>
      <c r="V58" s="220"/>
      <c r="AD58" s="16">
        <v>58</v>
      </c>
      <c r="AE58" s="16">
        <v>0.60399999999999998</v>
      </c>
      <c r="AG58" s="396">
        <v>18</v>
      </c>
      <c r="AH58" s="32">
        <v>0.81</v>
      </c>
      <c r="AJ58" s="1">
        <v>18</v>
      </c>
      <c r="AK58" s="186">
        <v>1.6</v>
      </c>
      <c r="AL58" s="397"/>
    </row>
    <row r="59" spans="7:38" x14ac:dyDescent="0.3">
      <c r="Q59" s="220">
        <v>51</v>
      </c>
      <c r="R59" s="220" t="s">
        <v>405</v>
      </c>
      <c r="S59" s="285">
        <v>46253</v>
      </c>
      <c r="T59" s="220">
        <v>0.67300000000000004</v>
      </c>
      <c r="U59" s="220"/>
      <c r="V59" s="220"/>
      <c r="AD59" s="16">
        <v>59</v>
      </c>
      <c r="AE59" s="16">
        <v>0.60399999999999998</v>
      </c>
      <c r="AG59" s="396">
        <v>19</v>
      </c>
      <c r="AH59" s="32">
        <v>0.81</v>
      </c>
      <c r="AJ59" s="1">
        <v>19</v>
      </c>
      <c r="AK59" s="186">
        <v>1.6</v>
      </c>
      <c r="AL59" s="397"/>
    </row>
    <row r="60" spans="7:38" x14ac:dyDescent="0.3">
      <c r="Q60" s="220">
        <v>52</v>
      </c>
      <c r="R60" s="220" t="s">
        <v>406</v>
      </c>
      <c r="S60" s="285">
        <v>46253</v>
      </c>
      <c r="T60" s="220">
        <v>0.66200000000000003</v>
      </c>
      <c r="U60" s="220"/>
      <c r="V60" s="220"/>
      <c r="AD60" s="16">
        <v>60</v>
      </c>
      <c r="AE60" s="6">
        <v>0.61099999999999999</v>
      </c>
      <c r="AG60" s="396">
        <v>20</v>
      </c>
      <c r="AH60" s="32">
        <v>0.81</v>
      </c>
      <c r="AJ60" s="1">
        <v>20</v>
      </c>
      <c r="AK60" s="186">
        <v>1.6</v>
      </c>
      <c r="AL60" s="397"/>
    </row>
    <row r="61" spans="7:38" x14ac:dyDescent="0.3">
      <c r="Q61" s="220">
        <v>53</v>
      </c>
      <c r="R61" s="220" t="s">
        <v>407</v>
      </c>
      <c r="S61" s="285">
        <v>46253</v>
      </c>
      <c r="T61" s="220">
        <v>0.55500000000000005</v>
      </c>
      <c r="U61" s="220"/>
      <c r="V61" s="220"/>
      <c r="AD61" s="16">
        <v>61</v>
      </c>
      <c r="AE61" s="6">
        <v>0.61299999999999999</v>
      </c>
      <c r="AG61" s="396">
        <v>21</v>
      </c>
      <c r="AH61" s="32">
        <v>0.81</v>
      </c>
      <c r="AJ61" s="1">
        <v>21</v>
      </c>
      <c r="AK61" s="186">
        <v>1.6</v>
      </c>
      <c r="AL61" s="397"/>
    </row>
    <row r="62" spans="7:38" x14ac:dyDescent="0.3">
      <c r="Q62" s="220">
        <v>54</v>
      </c>
      <c r="R62" s="220" t="s">
        <v>408</v>
      </c>
      <c r="S62" s="285">
        <v>46253</v>
      </c>
      <c r="T62" s="220">
        <v>0.81299999999999994</v>
      </c>
      <c r="U62" s="220"/>
      <c r="V62" s="220"/>
      <c r="AD62" s="16">
        <v>62</v>
      </c>
      <c r="AE62" s="6">
        <v>0.61299999999999999</v>
      </c>
      <c r="AG62" s="396">
        <v>22</v>
      </c>
      <c r="AH62" s="32">
        <v>0.81</v>
      </c>
      <c r="AJ62" s="1">
        <v>22</v>
      </c>
      <c r="AK62" s="186">
        <v>1.6</v>
      </c>
      <c r="AL62" s="397"/>
    </row>
    <row r="63" spans="7:38" x14ac:dyDescent="0.3">
      <c r="Q63" s="220">
        <v>55</v>
      </c>
      <c r="R63" s="220" t="s">
        <v>409</v>
      </c>
      <c r="S63" s="285">
        <v>46253</v>
      </c>
      <c r="T63" s="220">
        <v>1.147</v>
      </c>
      <c r="U63" s="220"/>
      <c r="V63" s="220"/>
      <c r="AD63" s="16">
        <v>63</v>
      </c>
      <c r="AE63" s="16">
        <v>0.61599999999999999</v>
      </c>
      <c r="AG63" s="396">
        <v>23</v>
      </c>
      <c r="AH63" s="32">
        <v>0.81</v>
      </c>
      <c r="AJ63" s="1">
        <v>23</v>
      </c>
      <c r="AK63" s="186">
        <v>1.6</v>
      </c>
      <c r="AL63" s="397"/>
    </row>
    <row r="64" spans="7:38" x14ac:dyDescent="0.3">
      <c r="Q64" s="220">
        <v>56</v>
      </c>
      <c r="R64" s="220" t="s">
        <v>410</v>
      </c>
      <c r="S64" s="285">
        <v>46253</v>
      </c>
      <c r="T64" s="220">
        <v>1.9410000000000001</v>
      </c>
      <c r="U64" s="220"/>
      <c r="V64" s="220"/>
      <c r="AD64" s="16">
        <v>64</v>
      </c>
      <c r="AE64" s="16">
        <v>0.63200000000000001</v>
      </c>
      <c r="AG64" s="396">
        <v>24</v>
      </c>
      <c r="AH64" s="32">
        <v>0.81</v>
      </c>
      <c r="AJ64" s="1">
        <v>24</v>
      </c>
      <c r="AK64" s="186">
        <v>1.6</v>
      </c>
      <c r="AL64" s="397"/>
    </row>
    <row r="65" spans="17:38" x14ac:dyDescent="0.3">
      <c r="Q65" s="220">
        <v>57</v>
      </c>
      <c r="R65" s="220" t="s">
        <v>411</v>
      </c>
      <c r="S65" s="285">
        <v>46253</v>
      </c>
      <c r="T65" s="220">
        <v>0.48899999999999999</v>
      </c>
      <c r="U65" s="220"/>
      <c r="V65" s="220"/>
      <c r="AD65" s="16">
        <v>65</v>
      </c>
      <c r="AE65" s="16">
        <v>0.63500000000000001</v>
      </c>
      <c r="AG65" s="396">
        <v>25</v>
      </c>
      <c r="AH65" s="32">
        <v>0.81</v>
      </c>
      <c r="AJ65" s="1">
        <v>25</v>
      </c>
      <c r="AK65" s="186">
        <v>1.6</v>
      </c>
      <c r="AL65" s="397"/>
    </row>
    <row r="66" spans="17:38" x14ac:dyDescent="0.3">
      <c r="Q66" s="220">
        <v>58</v>
      </c>
      <c r="R66" s="220" t="s">
        <v>412</v>
      </c>
      <c r="S66" s="285">
        <v>46253</v>
      </c>
      <c r="T66" s="220">
        <v>0.55600000000000005</v>
      </c>
      <c r="U66" s="220"/>
      <c r="V66" s="220"/>
      <c r="AD66" s="16">
        <v>66</v>
      </c>
      <c r="AE66" s="16">
        <v>0.65100000000000002</v>
      </c>
      <c r="AG66" s="396">
        <v>26</v>
      </c>
      <c r="AH66" s="32">
        <v>0.81</v>
      </c>
      <c r="AJ66" s="1">
        <v>26</v>
      </c>
      <c r="AK66" s="186">
        <v>1.6</v>
      </c>
      <c r="AL66" s="397"/>
    </row>
    <row r="67" spans="17:38" x14ac:dyDescent="0.3">
      <c r="Q67" s="220">
        <v>59</v>
      </c>
      <c r="R67" s="220" t="s">
        <v>413</v>
      </c>
      <c r="S67" s="285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96">
        <v>27</v>
      </c>
      <c r="AH67" s="32">
        <v>0.81</v>
      </c>
      <c r="AJ67" s="1">
        <v>27</v>
      </c>
      <c r="AK67" s="186">
        <v>1.6</v>
      </c>
      <c r="AL67" s="397"/>
    </row>
    <row r="68" spans="17:38" x14ac:dyDescent="0.3">
      <c r="Q68" s="220">
        <v>60</v>
      </c>
      <c r="R68" s="220" t="s">
        <v>393</v>
      </c>
      <c r="S68" s="285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96">
        <v>28</v>
      </c>
      <c r="AH68" s="32">
        <v>0.81</v>
      </c>
      <c r="AJ68" s="1">
        <v>28</v>
      </c>
      <c r="AK68" s="186">
        <v>1.6</v>
      </c>
      <c r="AL68" s="397"/>
    </row>
    <row r="69" spans="17:38" x14ac:dyDescent="0.3">
      <c r="Q69" s="220">
        <v>61</v>
      </c>
      <c r="R69" s="220" t="s">
        <v>394</v>
      </c>
      <c r="S69" s="285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96">
        <v>29</v>
      </c>
      <c r="AH69" s="32">
        <v>0.81</v>
      </c>
      <c r="AJ69" s="1">
        <v>29</v>
      </c>
      <c r="AK69" s="186">
        <v>1.6</v>
      </c>
      <c r="AL69" s="397"/>
    </row>
    <row r="70" spans="17:38" x14ac:dyDescent="0.3">
      <c r="Q70" s="220">
        <v>62</v>
      </c>
      <c r="R70" s="220" t="s">
        <v>395</v>
      </c>
      <c r="S70" s="285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96">
        <v>30</v>
      </c>
      <c r="AH70" s="32">
        <v>0.81</v>
      </c>
      <c r="AJ70" s="1">
        <v>30</v>
      </c>
      <c r="AK70" s="186">
        <v>1.6</v>
      </c>
      <c r="AL70" s="397"/>
    </row>
    <row r="71" spans="17:38" x14ac:dyDescent="0.3">
      <c r="Q71" s="220">
        <v>63</v>
      </c>
      <c r="R71" s="220" t="s">
        <v>414</v>
      </c>
      <c r="S71" s="285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96">
        <v>31</v>
      </c>
      <c r="AH71" s="32">
        <v>0.81</v>
      </c>
      <c r="AJ71" s="1">
        <v>31</v>
      </c>
      <c r="AK71" s="186">
        <v>1.6</v>
      </c>
      <c r="AL71" s="397"/>
    </row>
    <row r="72" spans="17:38" x14ac:dyDescent="0.3">
      <c r="Q72" s="220">
        <v>64</v>
      </c>
      <c r="R72" s="220" t="s">
        <v>415</v>
      </c>
      <c r="S72" s="285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96">
        <v>32</v>
      </c>
      <c r="AH72" s="32">
        <v>0.81</v>
      </c>
      <c r="AJ72" s="1">
        <v>32</v>
      </c>
      <c r="AK72" s="186">
        <v>1.6</v>
      </c>
      <c r="AL72" s="397"/>
    </row>
    <row r="73" spans="17:38" x14ac:dyDescent="0.3">
      <c r="Q73" s="220">
        <v>65</v>
      </c>
      <c r="R73" s="220" t="s">
        <v>399</v>
      </c>
      <c r="S73" s="285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96">
        <v>33</v>
      </c>
      <c r="AH73" s="32">
        <v>0.81</v>
      </c>
      <c r="AJ73" s="1">
        <v>33</v>
      </c>
      <c r="AK73" s="186">
        <v>1.6</v>
      </c>
      <c r="AL73" s="397"/>
    </row>
    <row r="74" spans="17:38" x14ac:dyDescent="0.3">
      <c r="Q74" s="220">
        <v>66</v>
      </c>
      <c r="R74" s="220" t="s">
        <v>401</v>
      </c>
      <c r="S74" s="285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96">
        <v>34</v>
      </c>
      <c r="AH74" s="32">
        <v>0.81</v>
      </c>
      <c r="AJ74" s="1">
        <v>34</v>
      </c>
      <c r="AK74" s="186">
        <v>1.6</v>
      </c>
      <c r="AL74" s="397"/>
    </row>
    <row r="75" spans="17:38" x14ac:dyDescent="0.3">
      <c r="Q75" s="220">
        <v>67</v>
      </c>
      <c r="R75" s="220" t="s">
        <v>403</v>
      </c>
      <c r="S75" s="285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96">
        <v>35</v>
      </c>
      <c r="AH75" s="32">
        <v>0.81</v>
      </c>
      <c r="AJ75" s="1">
        <v>35</v>
      </c>
      <c r="AK75" s="186">
        <v>1.6</v>
      </c>
      <c r="AL75" s="397"/>
    </row>
    <row r="76" spans="17:38" x14ac:dyDescent="0.3">
      <c r="Q76" s="220">
        <v>68</v>
      </c>
      <c r="R76" s="220" t="s">
        <v>405</v>
      </c>
      <c r="S76" s="285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96">
        <v>36</v>
      </c>
      <c r="AH76" s="32">
        <v>0.81</v>
      </c>
      <c r="AJ76" s="1">
        <v>36</v>
      </c>
      <c r="AK76" s="186">
        <v>1.6</v>
      </c>
      <c r="AL76" s="397"/>
    </row>
    <row r="77" spans="17:38" x14ac:dyDescent="0.3">
      <c r="Q77" s="220">
        <v>69</v>
      </c>
      <c r="R77" s="220" t="s">
        <v>407</v>
      </c>
      <c r="S77" s="285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96">
        <v>37</v>
      </c>
      <c r="AH77" s="32">
        <v>0.81</v>
      </c>
      <c r="AJ77" s="1">
        <v>37</v>
      </c>
      <c r="AK77" s="186">
        <v>1.6</v>
      </c>
      <c r="AL77" s="397"/>
    </row>
    <row r="78" spans="17:38" x14ac:dyDescent="0.3">
      <c r="Q78" s="220">
        <v>70</v>
      </c>
      <c r="R78" s="220" t="s">
        <v>409</v>
      </c>
      <c r="S78" s="285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96">
        <v>38</v>
      </c>
      <c r="AH78" s="32">
        <v>0.81</v>
      </c>
      <c r="AJ78" s="1">
        <v>38</v>
      </c>
      <c r="AK78" s="186">
        <v>1.6</v>
      </c>
      <c r="AL78" s="397"/>
    </row>
    <row r="79" spans="17:38" x14ac:dyDescent="0.3">
      <c r="Q79" s="220">
        <v>71</v>
      </c>
      <c r="R79" s="220" t="s">
        <v>411</v>
      </c>
      <c r="S79" s="285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96">
        <v>39</v>
      </c>
      <c r="AH79" s="32">
        <v>0.81</v>
      </c>
      <c r="AJ79" s="1">
        <v>39</v>
      </c>
      <c r="AK79" s="186">
        <v>1.6</v>
      </c>
      <c r="AL79" s="397"/>
    </row>
    <row r="80" spans="17:38" x14ac:dyDescent="0.3">
      <c r="Q80" s="220">
        <v>72</v>
      </c>
      <c r="R80" s="220" t="s">
        <v>413</v>
      </c>
      <c r="S80" s="285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96">
        <v>40</v>
      </c>
      <c r="AH80" s="32">
        <v>0.81</v>
      </c>
      <c r="AJ80" s="1">
        <v>40</v>
      </c>
      <c r="AK80" s="186">
        <v>1.6</v>
      </c>
      <c r="AL80" s="397"/>
    </row>
    <row r="81" spans="17:38" x14ac:dyDescent="0.3">
      <c r="Q81" s="220">
        <v>73</v>
      </c>
      <c r="R81" s="220" t="s">
        <v>394</v>
      </c>
      <c r="S81" s="285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96">
        <v>41</v>
      </c>
      <c r="AH81" s="32">
        <v>0.81</v>
      </c>
      <c r="AJ81" s="1">
        <v>41</v>
      </c>
      <c r="AK81" s="186">
        <v>1.6</v>
      </c>
      <c r="AL81" s="397"/>
    </row>
    <row r="82" spans="17:38" x14ac:dyDescent="0.3">
      <c r="Q82" s="220">
        <v>74</v>
      </c>
      <c r="R82" s="220" t="s">
        <v>414</v>
      </c>
      <c r="S82" s="285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96">
        <v>42</v>
      </c>
      <c r="AH82" s="32">
        <v>0.81</v>
      </c>
      <c r="AJ82" s="1">
        <v>42</v>
      </c>
      <c r="AK82" s="186">
        <v>1.6</v>
      </c>
      <c r="AL82" s="397"/>
    </row>
    <row r="83" spans="17:38" x14ac:dyDescent="0.3">
      <c r="Q83" s="220">
        <v>75</v>
      </c>
      <c r="R83" s="220" t="s">
        <v>416</v>
      </c>
      <c r="S83" s="285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96">
        <v>43</v>
      </c>
      <c r="AH83" s="32">
        <v>0.81</v>
      </c>
      <c r="AJ83" s="1">
        <v>43</v>
      </c>
      <c r="AK83" s="186">
        <v>1.6</v>
      </c>
      <c r="AL83" s="397"/>
    </row>
    <row r="84" spans="17:38" x14ac:dyDescent="0.3">
      <c r="Q84" s="220">
        <v>76</v>
      </c>
      <c r="R84" s="220" t="s">
        <v>399</v>
      </c>
      <c r="S84" s="285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96">
        <v>44</v>
      </c>
      <c r="AH84" s="32">
        <v>0.81</v>
      </c>
      <c r="AJ84" s="1">
        <v>44</v>
      </c>
      <c r="AK84" s="186">
        <v>1.6</v>
      </c>
      <c r="AL84" s="397"/>
    </row>
    <row r="85" spans="17:38" x14ac:dyDescent="0.3">
      <c r="Q85" s="220">
        <v>77</v>
      </c>
      <c r="R85" s="220" t="s">
        <v>401</v>
      </c>
      <c r="S85" s="285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96">
        <v>45</v>
      </c>
      <c r="AH85" s="32">
        <v>0.81</v>
      </c>
      <c r="AJ85" s="1">
        <v>45</v>
      </c>
      <c r="AK85" s="186">
        <v>1.6</v>
      </c>
      <c r="AL85" s="397"/>
    </row>
    <row r="86" spans="17:38" x14ac:dyDescent="0.3">
      <c r="Q86" s="220">
        <v>78</v>
      </c>
      <c r="R86" s="220" t="s">
        <v>403</v>
      </c>
      <c r="S86" s="285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96">
        <v>46</v>
      </c>
      <c r="AH86" s="32">
        <v>0.81</v>
      </c>
      <c r="AJ86" s="1">
        <v>46</v>
      </c>
      <c r="AK86" s="186">
        <v>1.6</v>
      </c>
      <c r="AL86" s="397"/>
    </row>
    <row r="87" spans="17:38" x14ac:dyDescent="0.3">
      <c r="Q87" s="220">
        <v>79</v>
      </c>
      <c r="R87" s="220" t="s">
        <v>405</v>
      </c>
      <c r="S87" s="285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96">
        <v>47</v>
      </c>
      <c r="AH87" s="32">
        <v>0.81</v>
      </c>
      <c r="AJ87" s="1">
        <v>47</v>
      </c>
      <c r="AK87" s="186">
        <v>1.6</v>
      </c>
      <c r="AL87" s="397"/>
    </row>
    <row r="88" spans="17:38" x14ac:dyDescent="0.3">
      <c r="Q88" s="220">
        <v>80</v>
      </c>
      <c r="R88" s="220" t="s">
        <v>407</v>
      </c>
      <c r="S88" s="285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96">
        <v>48</v>
      </c>
      <c r="AH88" s="32">
        <v>0.81</v>
      </c>
      <c r="AJ88" s="1">
        <v>48</v>
      </c>
      <c r="AK88" s="186">
        <v>1.6</v>
      </c>
      <c r="AL88" s="397"/>
    </row>
    <row r="89" spans="17:38" x14ac:dyDescent="0.3">
      <c r="Q89" s="220">
        <v>81</v>
      </c>
      <c r="R89" s="220" t="s">
        <v>409</v>
      </c>
      <c r="S89" s="285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96">
        <v>49</v>
      </c>
      <c r="AH89" s="32">
        <v>0.81</v>
      </c>
      <c r="AJ89" s="1">
        <v>49</v>
      </c>
      <c r="AK89" s="186">
        <v>1.6</v>
      </c>
      <c r="AL89" s="397"/>
    </row>
    <row r="90" spans="17:38" x14ac:dyDescent="0.3">
      <c r="Q90" s="220">
        <v>82</v>
      </c>
      <c r="R90" s="220" t="s">
        <v>411</v>
      </c>
      <c r="S90" s="285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96">
        <v>50</v>
      </c>
      <c r="AH90" s="32">
        <v>0.81</v>
      </c>
      <c r="AJ90" s="1">
        <v>50</v>
      </c>
      <c r="AK90" s="186">
        <v>1.6</v>
      </c>
      <c r="AL90" s="397"/>
    </row>
    <row r="91" spans="17:38" x14ac:dyDescent="0.3">
      <c r="Q91" s="220">
        <v>83</v>
      </c>
      <c r="R91" s="220" t="s">
        <v>413</v>
      </c>
      <c r="S91" s="285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96">
        <v>51</v>
      </c>
      <c r="AH91" s="32">
        <v>0.81</v>
      </c>
      <c r="AJ91" s="1">
        <v>51</v>
      </c>
      <c r="AK91" s="186">
        <v>1.6</v>
      </c>
      <c r="AL91" s="397"/>
    </row>
    <row r="92" spans="17:38" x14ac:dyDescent="0.3">
      <c r="Q92" s="220">
        <v>84</v>
      </c>
      <c r="R92" s="220" t="s">
        <v>394</v>
      </c>
      <c r="S92" s="285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96">
        <v>52</v>
      </c>
      <c r="AH92" s="32">
        <v>0.81</v>
      </c>
      <c r="AJ92" s="1">
        <v>52</v>
      </c>
      <c r="AK92" s="186">
        <v>1.6</v>
      </c>
      <c r="AL92" s="397"/>
    </row>
    <row r="93" spans="17:38" x14ac:dyDescent="0.3">
      <c r="Q93" s="220">
        <v>85</v>
      </c>
      <c r="R93" s="220" t="s">
        <v>401</v>
      </c>
      <c r="S93" s="28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96">
        <v>53</v>
      </c>
      <c r="AH93" s="32">
        <v>0.81</v>
      </c>
      <c r="AJ93" s="1">
        <v>53</v>
      </c>
      <c r="AK93" s="186">
        <v>1.6</v>
      </c>
      <c r="AL93" s="397"/>
    </row>
    <row r="94" spans="17:38" x14ac:dyDescent="0.3">
      <c r="Q94" s="220">
        <v>86</v>
      </c>
      <c r="R94" s="220" t="s">
        <v>403</v>
      </c>
      <c r="S94" s="28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96">
        <v>54</v>
      </c>
      <c r="AH94" s="32">
        <v>0.81</v>
      </c>
      <c r="AJ94" s="1">
        <v>54</v>
      </c>
      <c r="AK94" s="186">
        <v>1.6</v>
      </c>
      <c r="AL94" s="397"/>
    </row>
    <row r="95" spans="17:38" x14ac:dyDescent="0.3">
      <c r="Q95" s="220">
        <v>87</v>
      </c>
      <c r="R95" s="220" t="s">
        <v>405</v>
      </c>
      <c r="S95" s="28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96">
        <v>55</v>
      </c>
      <c r="AH95" s="32">
        <v>0.81</v>
      </c>
      <c r="AJ95" s="1">
        <v>55</v>
      </c>
      <c r="AK95" s="186">
        <v>1.6</v>
      </c>
      <c r="AL95" s="397"/>
    </row>
    <row r="96" spans="17:38" x14ac:dyDescent="0.3">
      <c r="Q96" s="220">
        <v>88</v>
      </c>
      <c r="R96" s="220" t="s">
        <v>407</v>
      </c>
      <c r="S96" s="28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96">
        <v>56</v>
      </c>
      <c r="AH96" s="32">
        <v>0.81</v>
      </c>
      <c r="AJ96" s="1">
        <v>56</v>
      </c>
      <c r="AK96" s="186">
        <v>1.6</v>
      </c>
      <c r="AL96" s="397"/>
    </row>
    <row r="97" spans="2:38" x14ac:dyDescent="0.3">
      <c r="Q97" s="220">
        <v>89</v>
      </c>
      <c r="R97" s="220" t="s">
        <v>409</v>
      </c>
      <c r="S97" s="285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96">
        <v>57</v>
      </c>
      <c r="AH97" s="32">
        <v>0.81</v>
      </c>
      <c r="AJ97" s="1">
        <v>57</v>
      </c>
      <c r="AK97" s="186">
        <v>1.6</v>
      </c>
      <c r="AL97" s="397"/>
    </row>
    <row r="98" spans="2:38" x14ac:dyDescent="0.3">
      <c r="Q98" s="220">
        <v>90</v>
      </c>
      <c r="R98" s="220" t="s">
        <v>411</v>
      </c>
      <c r="S98" s="285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96">
        <v>58</v>
      </c>
      <c r="AH98" s="32">
        <v>0.81</v>
      </c>
      <c r="AJ98" s="1">
        <v>58</v>
      </c>
      <c r="AK98" s="186">
        <v>1.6</v>
      </c>
      <c r="AL98" s="397"/>
    </row>
    <row r="99" spans="2:38" x14ac:dyDescent="0.3">
      <c r="Q99" s="220">
        <v>91</v>
      </c>
      <c r="R99" s="220" t="s">
        <v>413</v>
      </c>
      <c r="S99" s="285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96">
        <v>59</v>
      </c>
      <c r="AH99" s="32">
        <v>0.81</v>
      </c>
      <c r="AJ99" s="1">
        <v>59</v>
      </c>
      <c r="AK99" s="186">
        <v>1.6</v>
      </c>
      <c r="AL99" s="397"/>
    </row>
    <row r="100" spans="2:38" x14ac:dyDescent="0.3">
      <c r="Q100" s="220">
        <v>92</v>
      </c>
      <c r="R100" s="220" t="s">
        <v>394</v>
      </c>
      <c r="S100" s="285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96">
        <v>60</v>
      </c>
      <c r="AH100" s="32">
        <v>0.81</v>
      </c>
      <c r="AJ100" s="1">
        <v>60</v>
      </c>
      <c r="AK100" s="186">
        <v>1.6</v>
      </c>
      <c r="AL100" s="397"/>
    </row>
    <row r="101" spans="2:38" x14ac:dyDescent="0.3">
      <c r="Q101" s="220">
        <v>93</v>
      </c>
      <c r="R101" s="220" t="s">
        <v>414</v>
      </c>
      <c r="S101" s="285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96">
        <v>61</v>
      </c>
      <c r="AH101" s="32">
        <v>0.81</v>
      </c>
      <c r="AJ101" s="1">
        <v>61</v>
      </c>
      <c r="AK101" s="186">
        <v>1.6</v>
      </c>
      <c r="AL101" s="397"/>
    </row>
    <row r="102" spans="2:38" x14ac:dyDescent="0.3">
      <c r="Q102" s="220">
        <v>94</v>
      </c>
      <c r="R102" s="220" t="s">
        <v>399</v>
      </c>
      <c r="S102" s="285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96">
        <v>62</v>
      </c>
      <c r="AH102" s="32">
        <v>0.81</v>
      </c>
      <c r="AJ102" s="1">
        <v>62</v>
      </c>
      <c r="AK102" s="186">
        <v>1.6</v>
      </c>
      <c r="AL102" s="397"/>
    </row>
    <row r="103" spans="2:38" x14ac:dyDescent="0.3">
      <c r="Q103" s="220">
        <v>95</v>
      </c>
      <c r="R103" s="220" t="s">
        <v>401</v>
      </c>
      <c r="S103" s="285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96">
        <v>63</v>
      </c>
      <c r="AH103" s="32">
        <v>0.81</v>
      </c>
      <c r="AJ103" s="1">
        <v>63</v>
      </c>
      <c r="AK103" s="186">
        <v>1.6</v>
      </c>
      <c r="AL103" s="397"/>
    </row>
    <row r="104" spans="2:38" x14ac:dyDescent="0.3">
      <c r="Q104" s="220">
        <v>96</v>
      </c>
      <c r="R104" s="220" t="s">
        <v>403</v>
      </c>
      <c r="S104" s="285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96">
        <v>64</v>
      </c>
      <c r="AH104" s="32">
        <v>0.81</v>
      </c>
      <c r="AJ104" s="1">
        <v>64</v>
      </c>
      <c r="AK104" s="186">
        <v>1.6</v>
      </c>
      <c r="AL104" s="397"/>
    </row>
    <row r="105" spans="2:38" x14ac:dyDescent="0.3">
      <c r="Q105" s="220">
        <v>97</v>
      </c>
      <c r="R105" s="220" t="s">
        <v>405</v>
      </c>
      <c r="S105" s="285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96">
        <v>65</v>
      </c>
      <c r="AH105" s="32">
        <v>0.81</v>
      </c>
      <c r="AJ105" s="1">
        <v>65</v>
      </c>
      <c r="AK105" s="186">
        <v>1.6</v>
      </c>
      <c r="AL105" s="397"/>
    </row>
    <row r="106" spans="2:38" x14ac:dyDescent="0.3">
      <c r="Q106" s="220">
        <v>98</v>
      </c>
      <c r="R106" s="220" t="s">
        <v>407</v>
      </c>
      <c r="S106" s="285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96">
        <v>66</v>
      </c>
      <c r="AH106" s="32">
        <v>0.81</v>
      </c>
      <c r="AJ106" s="1">
        <v>66</v>
      </c>
      <c r="AK106" s="186">
        <v>1.6</v>
      </c>
      <c r="AL106" s="397"/>
    </row>
    <row r="107" spans="2:38" x14ac:dyDescent="0.3">
      <c r="Q107" s="220">
        <v>99</v>
      </c>
      <c r="R107" s="220" t="s">
        <v>409</v>
      </c>
      <c r="S107" s="285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96">
        <v>67</v>
      </c>
      <c r="AH107" s="32">
        <v>0.81</v>
      </c>
      <c r="AJ107" s="1">
        <v>67</v>
      </c>
      <c r="AK107" s="186">
        <v>1.6</v>
      </c>
      <c r="AL107" s="397"/>
    </row>
    <row r="108" spans="2:38" x14ac:dyDescent="0.3">
      <c r="Q108" s="220">
        <v>100</v>
      </c>
      <c r="R108" s="220" t="s">
        <v>411</v>
      </c>
      <c r="S108" s="285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96">
        <v>68</v>
      </c>
      <c r="AH108" s="32">
        <v>0.81</v>
      </c>
      <c r="AJ108" s="1">
        <v>68</v>
      </c>
      <c r="AK108" s="186">
        <v>1.6</v>
      </c>
      <c r="AL108" s="397"/>
    </row>
    <row r="109" spans="2:38" x14ac:dyDescent="0.3">
      <c r="Q109" s="220">
        <v>101</v>
      </c>
      <c r="R109" s="220" t="s">
        <v>413</v>
      </c>
      <c r="S109" s="285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96">
        <v>69</v>
      </c>
      <c r="AH109" s="32">
        <v>0.81</v>
      </c>
      <c r="AJ109" s="1">
        <v>69</v>
      </c>
      <c r="AK109" s="186">
        <v>1.6</v>
      </c>
      <c r="AL109" s="397"/>
    </row>
    <row r="110" spans="2:38" x14ac:dyDescent="0.3">
      <c r="Q110" s="220">
        <v>102</v>
      </c>
      <c r="R110" s="220" t="s">
        <v>394</v>
      </c>
      <c r="S110" s="285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96">
        <v>70</v>
      </c>
      <c r="AH110" s="32">
        <v>0.81</v>
      </c>
      <c r="AJ110" s="1">
        <v>70</v>
      </c>
      <c r="AK110" s="186">
        <v>1.6</v>
      </c>
      <c r="AL110" s="397"/>
    </row>
    <row r="111" spans="2:38" x14ac:dyDescent="0.3">
      <c r="Q111" s="220">
        <v>103</v>
      </c>
      <c r="R111" s="220" t="s">
        <v>407</v>
      </c>
      <c r="S111" s="285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96">
        <v>71</v>
      </c>
      <c r="AH111" s="32">
        <v>0.81</v>
      </c>
      <c r="AJ111" s="1">
        <v>71</v>
      </c>
      <c r="AK111" s="186">
        <v>1.6</v>
      </c>
      <c r="AL111" s="397"/>
    </row>
    <row r="112" spans="2:38" x14ac:dyDescent="0.3">
      <c r="B112" s="814" t="s">
        <v>435</v>
      </c>
      <c r="C112" s="814"/>
      <c r="D112" s="814"/>
      <c r="E112" s="814"/>
      <c r="F112" s="814"/>
      <c r="G112" s="814"/>
      <c r="H112" s="814"/>
      <c r="I112" s="814"/>
      <c r="J112" s="814"/>
      <c r="Q112" s="220">
        <v>104</v>
      </c>
      <c r="R112" s="220" t="s">
        <v>409</v>
      </c>
      <c r="S112" s="285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96">
        <v>72</v>
      </c>
      <c r="AH112" s="32">
        <v>0.81</v>
      </c>
      <c r="AJ112" s="1">
        <v>72</v>
      </c>
      <c r="AK112" s="186">
        <v>1.6</v>
      </c>
      <c r="AL112" s="397"/>
    </row>
    <row r="113" spans="2:38" x14ac:dyDescent="0.3">
      <c r="B113" s="814"/>
      <c r="C113" s="814"/>
      <c r="D113" s="814"/>
      <c r="E113" s="814"/>
      <c r="F113" s="814"/>
      <c r="G113" s="814"/>
      <c r="H113" s="814"/>
      <c r="I113" s="814"/>
      <c r="J113" s="814"/>
      <c r="Q113" s="220">
        <v>105</v>
      </c>
      <c r="R113" s="220" t="s">
        <v>411</v>
      </c>
      <c r="S113" s="285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96">
        <v>73</v>
      </c>
      <c r="AH113" s="32">
        <v>0.81</v>
      </c>
      <c r="AJ113" s="1">
        <v>73</v>
      </c>
      <c r="AK113" s="186">
        <v>1.6</v>
      </c>
      <c r="AL113" s="397"/>
    </row>
    <row r="114" spans="2:38" x14ac:dyDescent="0.3">
      <c r="Q114" s="220">
        <v>106</v>
      </c>
      <c r="R114" s="220" t="s">
        <v>413</v>
      </c>
      <c r="S114" s="285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96">
        <v>74</v>
      </c>
      <c r="AH114" s="32">
        <v>0.81</v>
      </c>
      <c r="AJ114" s="1">
        <v>74</v>
      </c>
      <c r="AK114" s="186">
        <v>1.6</v>
      </c>
      <c r="AL114" s="397"/>
    </row>
    <row r="115" spans="2:38" x14ac:dyDescent="0.3">
      <c r="Q115" s="220">
        <v>107</v>
      </c>
      <c r="R115" s="220" t="s">
        <v>394</v>
      </c>
      <c r="S115" s="285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96">
        <v>75</v>
      </c>
      <c r="AH115" s="32">
        <v>0.81</v>
      </c>
      <c r="AJ115" s="1">
        <v>75</v>
      </c>
      <c r="AK115" s="186">
        <v>1.6</v>
      </c>
      <c r="AL115" s="397"/>
    </row>
    <row r="116" spans="2:38" x14ac:dyDescent="0.3">
      <c r="Q116" s="220">
        <v>108</v>
      </c>
      <c r="R116" s="220" t="s">
        <v>414</v>
      </c>
      <c r="S116" s="285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96">
        <v>76</v>
      </c>
      <c r="AH116" s="32">
        <v>0.81</v>
      </c>
      <c r="AJ116" s="1">
        <v>76</v>
      </c>
      <c r="AK116" s="186">
        <v>1.6</v>
      </c>
      <c r="AL116" s="397"/>
    </row>
    <row r="117" spans="2:38" x14ac:dyDescent="0.3">
      <c r="Q117" s="220">
        <v>109</v>
      </c>
      <c r="R117" s="220" t="s">
        <v>416</v>
      </c>
      <c r="S117" s="285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96">
        <v>77</v>
      </c>
      <c r="AH117" s="32">
        <v>0.81</v>
      </c>
      <c r="AJ117" s="1">
        <v>77</v>
      </c>
      <c r="AK117" s="186">
        <v>1.6</v>
      </c>
      <c r="AL117" s="397"/>
    </row>
    <row r="118" spans="2:38" x14ac:dyDescent="0.3">
      <c r="Q118" s="220">
        <v>110</v>
      </c>
      <c r="R118" s="220" t="s">
        <v>399</v>
      </c>
      <c r="S118" s="285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96">
        <v>78</v>
      </c>
      <c r="AH118" s="32">
        <v>0.81</v>
      </c>
      <c r="AJ118" s="1">
        <v>78</v>
      </c>
      <c r="AK118" s="186">
        <v>1.6</v>
      </c>
      <c r="AL118" s="397"/>
    </row>
    <row r="119" spans="2:38" x14ac:dyDescent="0.3">
      <c r="Q119" s="220">
        <v>111</v>
      </c>
      <c r="R119" s="220" t="s">
        <v>401</v>
      </c>
      <c r="S119" s="285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96">
        <v>79</v>
      </c>
      <c r="AH119" s="32">
        <v>0.81</v>
      </c>
      <c r="AJ119" s="1">
        <v>79</v>
      </c>
      <c r="AK119" s="186">
        <v>1.6</v>
      </c>
      <c r="AL119" s="397"/>
    </row>
    <row r="120" spans="2:38" x14ac:dyDescent="0.3">
      <c r="Q120" s="220">
        <v>112</v>
      </c>
      <c r="R120" s="220" t="s">
        <v>403</v>
      </c>
      <c r="S120" s="285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96">
        <v>80</v>
      </c>
      <c r="AH120" s="32">
        <v>0.81</v>
      </c>
      <c r="AJ120" s="1">
        <v>80</v>
      </c>
      <c r="AK120" s="186">
        <v>1.6</v>
      </c>
      <c r="AL120" s="397"/>
    </row>
    <row r="121" spans="2:38" x14ac:dyDescent="0.3">
      <c r="Q121" s="220">
        <v>113</v>
      </c>
      <c r="R121" s="220" t="s">
        <v>407</v>
      </c>
      <c r="S121" s="285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96">
        <v>81</v>
      </c>
      <c r="AH121" s="32">
        <v>0.81</v>
      </c>
      <c r="AJ121" s="1">
        <v>81</v>
      </c>
      <c r="AK121" s="186">
        <v>1.6</v>
      </c>
      <c r="AL121" s="397"/>
    </row>
    <row r="122" spans="2:38" x14ac:dyDescent="0.3">
      <c r="Q122" s="220">
        <v>114</v>
      </c>
      <c r="R122" s="220" t="s">
        <v>409</v>
      </c>
      <c r="S122" s="285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96">
        <v>82</v>
      </c>
      <c r="AH122" s="32">
        <v>0.81</v>
      </c>
      <c r="AJ122" s="1">
        <v>82</v>
      </c>
      <c r="AK122" s="186">
        <v>1.6</v>
      </c>
      <c r="AL122" s="397"/>
    </row>
    <row r="123" spans="2:38" x14ac:dyDescent="0.3">
      <c r="Q123" s="220">
        <v>115</v>
      </c>
      <c r="R123" s="220" t="s">
        <v>411</v>
      </c>
      <c r="S123" s="285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96">
        <v>83</v>
      </c>
      <c r="AH123" s="32">
        <v>0.81</v>
      </c>
      <c r="AJ123" s="1">
        <v>83</v>
      </c>
      <c r="AK123" s="186">
        <v>1.6</v>
      </c>
      <c r="AL123" s="397"/>
    </row>
    <row r="124" spans="2:38" x14ac:dyDescent="0.3">
      <c r="Q124" s="220">
        <v>116</v>
      </c>
      <c r="R124" s="220" t="s">
        <v>413</v>
      </c>
      <c r="S124" s="285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96">
        <v>84</v>
      </c>
      <c r="AH124" s="32">
        <v>0.81</v>
      </c>
      <c r="AJ124" s="1">
        <v>84</v>
      </c>
      <c r="AK124" s="186">
        <v>1.6</v>
      </c>
      <c r="AL124" s="397"/>
    </row>
    <row r="125" spans="2:38" ht="15" thickBot="1" x14ac:dyDescent="0.35">
      <c r="Q125" s="220">
        <v>117</v>
      </c>
      <c r="R125" s="220" t="s">
        <v>394</v>
      </c>
      <c r="S125" s="285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8">
        <v>85</v>
      </c>
      <c r="AH125" s="32">
        <v>0.81</v>
      </c>
      <c r="AI125" s="399"/>
      <c r="AJ125" s="1">
        <v>85</v>
      </c>
      <c r="AK125" s="186">
        <v>1.6</v>
      </c>
      <c r="AL125" s="400"/>
    </row>
    <row r="126" spans="2:38" x14ac:dyDescent="0.3">
      <c r="Q126" s="220">
        <v>118</v>
      </c>
      <c r="R126" s="220" t="s">
        <v>414</v>
      </c>
      <c r="S126" s="285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96">
        <v>86</v>
      </c>
      <c r="AH126" s="32">
        <v>0.81</v>
      </c>
    </row>
    <row r="127" spans="2:38" x14ac:dyDescent="0.3">
      <c r="Q127" s="220">
        <v>119</v>
      </c>
      <c r="R127" s="220" t="s">
        <v>399</v>
      </c>
      <c r="S127" s="285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96">
        <v>87</v>
      </c>
      <c r="AH127" s="32">
        <v>0.81</v>
      </c>
    </row>
    <row r="128" spans="2:38" ht="15" thickBot="1" x14ac:dyDescent="0.35">
      <c r="Q128" s="220">
        <v>120</v>
      </c>
      <c r="R128" s="220" t="s">
        <v>401</v>
      </c>
      <c r="S128" s="285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8">
        <v>88</v>
      </c>
      <c r="AH128" s="32">
        <v>0.81</v>
      </c>
    </row>
    <row r="129" spans="17:34" x14ac:dyDescent="0.3">
      <c r="Q129" s="220">
        <v>121</v>
      </c>
      <c r="R129" s="220" t="s">
        <v>403</v>
      </c>
      <c r="S129" s="285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96">
        <v>89</v>
      </c>
      <c r="AH129" s="32">
        <v>0.81</v>
      </c>
    </row>
    <row r="130" spans="17:34" x14ac:dyDescent="0.3">
      <c r="Q130" s="220">
        <v>122</v>
      </c>
      <c r="R130" s="220" t="s">
        <v>405</v>
      </c>
      <c r="S130" s="285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96">
        <v>90</v>
      </c>
      <c r="AH130" s="32">
        <v>0.81</v>
      </c>
    </row>
    <row r="131" spans="17:34" ht="15" thickBot="1" x14ac:dyDescent="0.35">
      <c r="Q131" s="220">
        <v>123</v>
      </c>
      <c r="R131" s="220" t="s">
        <v>407</v>
      </c>
      <c r="S131" s="285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8">
        <v>91</v>
      </c>
      <c r="AH131" s="32">
        <v>0.81</v>
      </c>
    </row>
    <row r="132" spans="17:34" x14ac:dyDescent="0.3">
      <c r="Q132" s="220">
        <v>124</v>
      </c>
      <c r="R132" s="220" t="s">
        <v>409</v>
      </c>
      <c r="S132" s="285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96">
        <v>92</v>
      </c>
      <c r="AH132" s="32">
        <v>0.81</v>
      </c>
    </row>
    <row r="133" spans="17:34" x14ac:dyDescent="0.3">
      <c r="Q133" s="220">
        <v>125</v>
      </c>
      <c r="R133" s="220" t="s">
        <v>411</v>
      </c>
      <c r="S133" s="285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96">
        <v>93</v>
      </c>
      <c r="AH133" s="32">
        <v>0.81</v>
      </c>
    </row>
    <row r="134" spans="17:34" x14ac:dyDescent="0.3">
      <c r="Q134" s="220">
        <v>126</v>
      </c>
      <c r="R134" s="220" t="s">
        <v>413</v>
      </c>
      <c r="S134" s="285">
        <v>46263</v>
      </c>
      <c r="T134" s="6">
        <v>0.21</v>
      </c>
      <c r="U134" s="6"/>
      <c r="V134" s="6"/>
      <c r="AG134" s="396">
        <v>94</v>
      </c>
      <c r="AH134" s="32">
        <v>0.81</v>
      </c>
    </row>
    <row r="135" spans="17:34" ht="15" thickBot="1" x14ac:dyDescent="0.35">
      <c r="Q135" s="220">
        <v>127</v>
      </c>
      <c r="R135" s="220" t="s">
        <v>394</v>
      </c>
      <c r="S135" s="285">
        <v>46263</v>
      </c>
      <c r="T135" s="6">
        <v>0.42</v>
      </c>
      <c r="U135" s="6"/>
      <c r="V135" s="6"/>
      <c r="AG135" s="398">
        <v>95</v>
      </c>
      <c r="AH135" s="32">
        <v>0.81</v>
      </c>
    </row>
    <row r="136" spans="17:34" x14ac:dyDescent="0.3">
      <c r="Q136" s="220">
        <v>128</v>
      </c>
      <c r="R136" s="220" t="s">
        <v>414</v>
      </c>
      <c r="S136" s="285">
        <v>46263</v>
      </c>
      <c r="T136" s="6">
        <v>1.044</v>
      </c>
      <c r="U136" s="6"/>
      <c r="V136" s="6"/>
      <c r="AG136" s="396">
        <v>96</v>
      </c>
      <c r="AH136" s="32">
        <v>0.81</v>
      </c>
    </row>
    <row r="137" spans="17:34" x14ac:dyDescent="0.3">
      <c r="Q137" s="220">
        <v>129</v>
      </c>
      <c r="R137" s="220" t="s">
        <v>416</v>
      </c>
      <c r="S137" s="285">
        <v>46263</v>
      </c>
      <c r="T137" s="6">
        <v>0.38800000000000001</v>
      </c>
      <c r="U137" s="6"/>
      <c r="V137" s="6"/>
      <c r="AG137" s="396">
        <v>97</v>
      </c>
      <c r="AH137" s="32">
        <v>0.81</v>
      </c>
    </row>
    <row r="138" spans="17:34" x14ac:dyDescent="0.3">
      <c r="Q138" s="220">
        <v>130</v>
      </c>
      <c r="R138" s="6" t="s">
        <v>401</v>
      </c>
      <c r="S138" s="285">
        <v>46264</v>
      </c>
      <c r="T138" s="6">
        <v>0.91700000000000004</v>
      </c>
      <c r="U138" s="6"/>
      <c r="V138" s="6"/>
      <c r="AG138" s="396">
        <v>98</v>
      </c>
      <c r="AH138" s="32">
        <v>0.81</v>
      </c>
    </row>
    <row r="139" spans="17:34" ht="15" thickBot="1" x14ac:dyDescent="0.35">
      <c r="Q139" s="220">
        <v>131</v>
      </c>
      <c r="R139" s="6" t="s">
        <v>446</v>
      </c>
      <c r="S139" s="285">
        <v>46264</v>
      </c>
      <c r="T139" s="6">
        <v>0.98599999999999999</v>
      </c>
      <c r="U139" s="6"/>
      <c r="V139" s="6"/>
      <c r="AG139" s="398">
        <v>99</v>
      </c>
      <c r="AH139" s="32">
        <v>0.81</v>
      </c>
    </row>
    <row r="140" spans="17:34" x14ac:dyDescent="0.3">
      <c r="Q140" s="220">
        <v>132</v>
      </c>
      <c r="R140" s="6" t="s">
        <v>447</v>
      </c>
      <c r="S140" s="285">
        <v>46264</v>
      </c>
      <c r="T140" s="6">
        <v>1.2170000000000001</v>
      </c>
      <c r="U140" s="6"/>
      <c r="V140" s="6"/>
      <c r="AG140" s="396">
        <v>100</v>
      </c>
      <c r="AH140" s="32">
        <v>0.81</v>
      </c>
    </row>
    <row r="141" spans="17:34" x14ac:dyDescent="0.3">
      <c r="Q141" s="220">
        <v>133</v>
      </c>
      <c r="R141" s="6" t="s">
        <v>448</v>
      </c>
      <c r="S141" s="285">
        <v>46264</v>
      </c>
      <c r="T141" s="6">
        <v>0.83599999999999997</v>
      </c>
      <c r="U141" s="6"/>
      <c r="V141" s="6"/>
      <c r="AG141" s="396">
        <v>101</v>
      </c>
      <c r="AH141" s="32">
        <v>0.81</v>
      </c>
    </row>
    <row r="142" spans="17:34" x14ac:dyDescent="0.3">
      <c r="Q142" s="220">
        <v>134</v>
      </c>
      <c r="R142" s="6"/>
      <c r="S142" s="285"/>
      <c r="T142" s="6"/>
      <c r="U142" s="6"/>
      <c r="V142" s="6"/>
      <c r="AG142" s="396">
        <v>102</v>
      </c>
      <c r="AH142" s="32">
        <v>0.81</v>
      </c>
    </row>
    <row r="143" spans="17:34" ht="15" thickBot="1" x14ac:dyDescent="0.35">
      <c r="Q143" s="220">
        <v>135</v>
      </c>
      <c r="R143" s="6"/>
      <c r="S143" s="285"/>
      <c r="T143" s="6"/>
      <c r="U143" s="6"/>
      <c r="V143" s="6"/>
      <c r="AG143" s="398">
        <v>103</v>
      </c>
      <c r="AH143" s="32">
        <v>0.81</v>
      </c>
    </row>
    <row r="144" spans="17:34" x14ac:dyDescent="0.3">
      <c r="Q144" s="220">
        <v>136</v>
      </c>
      <c r="R144" s="6"/>
      <c r="S144" s="285"/>
      <c r="T144" s="6"/>
      <c r="U144" s="6"/>
      <c r="V144" s="6"/>
      <c r="AG144" s="396">
        <v>104</v>
      </c>
      <c r="AH144" s="32">
        <v>0.81</v>
      </c>
    </row>
    <row r="145" spans="2:34" x14ac:dyDescent="0.3">
      <c r="Q145" s="220">
        <v>137</v>
      </c>
      <c r="R145" s="6"/>
      <c r="S145" s="285"/>
      <c r="T145" s="6"/>
      <c r="U145" s="6"/>
      <c r="V145" s="6"/>
      <c r="AG145" s="396">
        <v>105</v>
      </c>
      <c r="AH145" s="32">
        <v>0.81</v>
      </c>
    </row>
    <row r="146" spans="2:34" x14ac:dyDescent="0.3">
      <c r="Q146" s="220">
        <v>138</v>
      </c>
      <c r="R146" s="6"/>
      <c r="S146" s="285"/>
      <c r="T146" s="6"/>
      <c r="U146" s="6"/>
      <c r="V146" s="6"/>
      <c r="AG146" s="396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0">
        <v>139</v>
      </c>
      <c r="R147" s="6"/>
      <c r="S147" s="285"/>
      <c r="T147" s="6"/>
      <c r="U147" s="6"/>
      <c r="V147" s="6"/>
      <c r="AG147" s="398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20">
        <v>140</v>
      </c>
      <c r="R148" s="6"/>
      <c r="S148" s="285"/>
      <c r="T148" s="6"/>
      <c r="U148" s="6"/>
      <c r="V148" s="6"/>
      <c r="AG148" s="396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20">
        <v>141</v>
      </c>
      <c r="R149" s="6"/>
      <c r="S149" s="285"/>
      <c r="T149" s="6"/>
      <c r="U149" s="6"/>
      <c r="V149" s="6"/>
      <c r="AG149" s="396">
        <v>109</v>
      </c>
      <c r="AH149" s="32">
        <v>0.81</v>
      </c>
    </row>
    <row r="150" spans="2:34" x14ac:dyDescent="0.3">
      <c r="Q150" s="220">
        <v>142</v>
      </c>
      <c r="R150" s="6"/>
      <c r="S150" s="285"/>
      <c r="T150" s="6"/>
      <c r="U150" s="6"/>
      <c r="V150" s="6"/>
      <c r="AG150" s="396">
        <v>110</v>
      </c>
      <c r="AH150" s="32">
        <v>0.81</v>
      </c>
    </row>
    <row r="151" spans="2:34" ht="15" thickBot="1" x14ac:dyDescent="0.35">
      <c r="Q151" s="220">
        <v>143</v>
      </c>
      <c r="R151" s="6"/>
      <c r="S151" s="285"/>
      <c r="T151" s="6"/>
      <c r="U151" s="6"/>
      <c r="V151" s="6"/>
      <c r="AG151" s="398">
        <v>111</v>
      </c>
      <c r="AH151" s="32">
        <v>0.81</v>
      </c>
    </row>
    <row r="152" spans="2:34" x14ac:dyDescent="0.3">
      <c r="Q152" s="220">
        <v>144</v>
      </c>
      <c r="R152" s="6"/>
      <c r="S152" s="285"/>
      <c r="T152" s="6"/>
      <c r="U152" s="6"/>
      <c r="V152" s="6"/>
      <c r="AG152" s="396">
        <v>112</v>
      </c>
      <c r="AH152" s="32">
        <v>0.81</v>
      </c>
    </row>
    <row r="153" spans="2:34" x14ac:dyDescent="0.3">
      <c r="Q153" s="220">
        <v>145</v>
      </c>
      <c r="R153" s="6"/>
      <c r="S153" s="285"/>
      <c r="T153" s="6"/>
      <c r="U153" s="6"/>
      <c r="V153" s="6"/>
      <c r="AG153" s="396">
        <v>113</v>
      </c>
      <c r="AH153" s="32">
        <v>0.81</v>
      </c>
    </row>
    <row r="154" spans="2:34" x14ac:dyDescent="0.3">
      <c r="Q154" s="220">
        <v>146</v>
      </c>
      <c r="R154" s="6"/>
      <c r="S154" s="285"/>
      <c r="T154" s="6"/>
      <c r="U154" s="6"/>
      <c r="V154" s="6"/>
      <c r="AG154" s="396">
        <v>114</v>
      </c>
      <c r="AH154" s="32">
        <v>0.81</v>
      </c>
    </row>
    <row r="155" spans="2:34" ht="15" thickBot="1" x14ac:dyDescent="0.35">
      <c r="Q155" s="220">
        <v>147</v>
      </c>
      <c r="R155" s="6"/>
      <c r="S155" s="285"/>
      <c r="T155" s="6"/>
      <c r="U155" s="6"/>
      <c r="V155" s="6"/>
      <c r="AG155" s="398">
        <v>115</v>
      </c>
      <c r="AH155" s="32">
        <v>0.81</v>
      </c>
    </row>
    <row r="156" spans="2:34" x14ac:dyDescent="0.3">
      <c r="Q156" s="220">
        <v>148</v>
      </c>
      <c r="R156" s="6"/>
      <c r="S156" s="285"/>
      <c r="T156" s="6"/>
      <c r="U156" s="6"/>
      <c r="V156" s="6"/>
      <c r="AG156" s="396">
        <v>116</v>
      </c>
      <c r="AH156" s="32">
        <v>0.81</v>
      </c>
    </row>
    <row r="157" spans="2:34" x14ac:dyDescent="0.3">
      <c r="Q157" s="220">
        <v>149</v>
      </c>
      <c r="R157" s="6"/>
      <c r="S157" s="285"/>
      <c r="T157" s="6"/>
      <c r="U157" s="6"/>
      <c r="V157" s="6"/>
      <c r="AG157" s="396">
        <v>117</v>
      </c>
      <c r="AH157" s="32">
        <v>0.81</v>
      </c>
    </row>
    <row r="158" spans="2:34" x14ac:dyDescent="0.3">
      <c r="Q158" s="220">
        <v>150</v>
      </c>
      <c r="R158" s="6"/>
      <c r="S158" s="285"/>
      <c r="T158" s="6"/>
      <c r="U158" s="6"/>
      <c r="V158" s="6"/>
      <c r="AG158" s="396">
        <v>118</v>
      </c>
      <c r="AH158" s="32">
        <v>0.81</v>
      </c>
    </row>
    <row r="159" spans="2:34" ht="15" thickBot="1" x14ac:dyDescent="0.35">
      <c r="Q159" s="220">
        <v>151</v>
      </c>
      <c r="R159" s="6"/>
      <c r="S159" s="285"/>
      <c r="T159" s="6"/>
      <c r="U159" s="6"/>
      <c r="V159" s="6"/>
      <c r="AG159" s="398">
        <v>119</v>
      </c>
      <c r="AH159" s="32">
        <v>0.81</v>
      </c>
    </row>
    <row r="160" spans="2:34" x14ac:dyDescent="0.3">
      <c r="Q160" s="220">
        <v>152</v>
      </c>
      <c r="R160" s="6"/>
      <c r="S160" s="285"/>
      <c r="T160" s="6"/>
      <c r="U160" s="6"/>
      <c r="V160" s="6"/>
      <c r="AG160" s="396">
        <v>120</v>
      </c>
      <c r="AH160" s="32">
        <v>0.81</v>
      </c>
    </row>
    <row r="161" spans="17:34" x14ac:dyDescent="0.3">
      <c r="Q161" s="220">
        <v>153</v>
      </c>
      <c r="R161" s="6"/>
      <c r="S161" s="285"/>
      <c r="T161" s="6"/>
      <c r="U161" s="6"/>
      <c r="V161" s="6"/>
      <c r="AG161" s="396">
        <v>121</v>
      </c>
      <c r="AH161" s="32">
        <v>0.81</v>
      </c>
    </row>
    <row r="162" spans="17:34" x14ac:dyDescent="0.3">
      <c r="Q162" s="220">
        <v>154</v>
      </c>
      <c r="R162" s="6"/>
      <c r="S162" s="285"/>
      <c r="T162" s="6"/>
      <c r="U162" s="6"/>
      <c r="V162" s="6"/>
      <c r="AG162" s="396">
        <v>122</v>
      </c>
      <c r="AH162" s="32">
        <v>0.81</v>
      </c>
    </row>
    <row r="163" spans="17:34" ht="15" thickBot="1" x14ac:dyDescent="0.35">
      <c r="Q163" s="220">
        <v>155</v>
      </c>
      <c r="R163" s="6"/>
      <c r="S163" s="285"/>
      <c r="T163" s="6"/>
      <c r="U163" s="6"/>
      <c r="V163" s="6"/>
      <c r="AG163" s="398">
        <v>123</v>
      </c>
      <c r="AH163" s="32">
        <v>0.81</v>
      </c>
    </row>
    <row r="164" spans="17:34" x14ac:dyDescent="0.3">
      <c r="Q164" s="220">
        <v>156</v>
      </c>
      <c r="R164" s="6"/>
      <c r="S164" s="285"/>
      <c r="T164" s="6"/>
      <c r="U164" s="6"/>
      <c r="V164" s="6"/>
      <c r="AG164" s="396">
        <v>124</v>
      </c>
      <c r="AH164" s="32">
        <v>0.81</v>
      </c>
    </row>
    <row r="165" spans="17:34" x14ac:dyDescent="0.3">
      <c r="Q165" s="220">
        <v>157</v>
      </c>
      <c r="R165" s="6"/>
      <c r="S165" s="285"/>
      <c r="T165" s="6"/>
      <c r="U165" s="6"/>
      <c r="V165" s="6"/>
      <c r="AG165" s="396">
        <v>125</v>
      </c>
      <c r="AH165" s="32">
        <v>0.81</v>
      </c>
    </row>
    <row r="166" spans="17:34" x14ac:dyDescent="0.3">
      <c r="Q166" s="220">
        <v>158</v>
      </c>
      <c r="R166" s="6"/>
      <c r="S166" s="285"/>
      <c r="T166" s="6"/>
      <c r="U166" s="6"/>
      <c r="V166" s="6"/>
      <c r="AG166" s="396">
        <v>126</v>
      </c>
      <c r="AH166" s="32">
        <v>0.81</v>
      </c>
    </row>
    <row r="167" spans="17:34" ht="15" thickBot="1" x14ac:dyDescent="0.35">
      <c r="Q167" s="220">
        <v>159</v>
      </c>
      <c r="R167" s="6"/>
      <c r="S167" s="285"/>
      <c r="T167" s="6"/>
      <c r="U167" s="6"/>
      <c r="V167" s="6"/>
      <c r="AG167" s="398">
        <v>127</v>
      </c>
      <c r="AH167" s="32">
        <v>0.81</v>
      </c>
    </row>
    <row r="168" spans="17:34" x14ac:dyDescent="0.3">
      <c r="Q168" s="220">
        <v>160</v>
      </c>
      <c r="R168" s="6"/>
      <c r="S168" s="285"/>
      <c r="T168" s="6"/>
      <c r="U168" s="6"/>
      <c r="V168" s="6"/>
      <c r="AG168" s="396">
        <v>128</v>
      </c>
      <c r="AH168" s="32">
        <v>0.81</v>
      </c>
    </row>
    <row r="169" spans="17:34" x14ac:dyDescent="0.3">
      <c r="Q169" s="220">
        <v>161</v>
      </c>
      <c r="R169" s="6"/>
      <c r="S169" s="285"/>
      <c r="T169" s="6"/>
      <c r="U169" s="6"/>
      <c r="V169" s="6"/>
      <c r="AG169" s="396">
        <v>129</v>
      </c>
      <c r="AH169" s="32">
        <v>0.81</v>
      </c>
    </row>
    <row r="170" spans="17:34" x14ac:dyDescent="0.3">
      <c r="Q170" s="220">
        <v>162</v>
      </c>
      <c r="R170" s="6"/>
      <c r="S170" s="285"/>
      <c r="T170" s="6"/>
      <c r="U170" s="6"/>
      <c r="V170" s="6"/>
      <c r="AG170" s="396">
        <v>130</v>
      </c>
      <c r="AH170" s="32">
        <v>0.81</v>
      </c>
    </row>
    <row r="171" spans="17:34" ht="15" thickBot="1" x14ac:dyDescent="0.35">
      <c r="Q171" s="220">
        <v>163</v>
      </c>
      <c r="R171" s="6"/>
      <c r="S171" s="285"/>
      <c r="T171" s="6"/>
      <c r="U171" s="6"/>
      <c r="V171" s="6"/>
      <c r="AG171" s="398">
        <v>131</v>
      </c>
      <c r="AH171" s="32">
        <v>0.81</v>
      </c>
    </row>
    <row r="172" spans="17:34" x14ac:dyDescent="0.3">
      <c r="Q172" s="220">
        <v>164</v>
      </c>
      <c r="R172" s="6"/>
      <c r="S172" s="285"/>
      <c r="T172" s="6"/>
      <c r="U172" s="6"/>
      <c r="V172" s="6"/>
      <c r="AG172" s="396">
        <v>132</v>
      </c>
      <c r="AH172" s="32">
        <v>0.81</v>
      </c>
    </row>
    <row r="173" spans="17:34" x14ac:dyDescent="0.3">
      <c r="Q173" s="220">
        <v>165</v>
      </c>
      <c r="R173" s="6"/>
      <c r="S173" s="285"/>
      <c r="T173" s="6"/>
      <c r="U173" s="6"/>
      <c r="V173" s="6"/>
      <c r="AG173" s="396">
        <v>133</v>
      </c>
      <c r="AH173" s="32">
        <v>0.81</v>
      </c>
    </row>
    <row r="174" spans="17:34" x14ac:dyDescent="0.3">
      <c r="Q174" s="220">
        <v>166</v>
      </c>
      <c r="R174" s="6"/>
      <c r="S174" s="285"/>
      <c r="T174" s="6"/>
      <c r="U174" s="6"/>
      <c r="V174" s="6"/>
    </row>
    <row r="175" spans="17:34" x14ac:dyDescent="0.3">
      <c r="Q175" s="220">
        <v>167</v>
      </c>
      <c r="R175" s="6"/>
      <c r="S175" s="285"/>
      <c r="T175" s="6"/>
      <c r="U175" s="6"/>
      <c r="V175" s="6"/>
    </row>
    <row r="176" spans="17:34" x14ac:dyDescent="0.3">
      <c r="Q176" s="220">
        <v>168</v>
      </c>
      <c r="R176" s="6"/>
      <c r="S176" s="285"/>
      <c r="T176" s="6"/>
      <c r="U176" s="6"/>
      <c r="V176" s="6"/>
    </row>
    <row r="177" spans="17:22" x14ac:dyDescent="0.3">
      <c r="Q177" s="220">
        <v>169</v>
      </c>
      <c r="R177" s="6"/>
      <c r="S177" s="285"/>
      <c r="T177" s="6"/>
      <c r="U177" s="6"/>
      <c r="V177" s="6"/>
    </row>
    <row r="178" spans="17:22" x14ac:dyDescent="0.3">
      <c r="Q178" s="220">
        <v>170</v>
      </c>
      <c r="R178" s="6"/>
      <c r="S178" s="285"/>
      <c r="T178" s="6"/>
      <c r="U178" s="6"/>
      <c r="V178" s="6"/>
    </row>
    <row r="179" spans="17:22" x14ac:dyDescent="0.3">
      <c r="Q179" s="220">
        <v>171</v>
      </c>
      <c r="R179" s="6"/>
      <c r="S179" s="285"/>
      <c r="T179" s="6"/>
      <c r="U179" s="6"/>
      <c r="V179" s="6"/>
    </row>
    <row r="180" spans="17:22" x14ac:dyDescent="0.3">
      <c r="Q180" s="220">
        <v>172</v>
      </c>
      <c r="R180" s="6"/>
      <c r="S180" s="285"/>
      <c r="T180" s="6"/>
      <c r="U180" s="6"/>
      <c r="V180" s="6"/>
    </row>
    <row r="181" spans="17:22" x14ac:dyDescent="0.3">
      <c r="Q181" s="220">
        <v>173</v>
      </c>
      <c r="R181" s="6"/>
      <c r="S181" s="285"/>
      <c r="T181" s="6"/>
      <c r="U181" s="6"/>
      <c r="V181" s="6"/>
    </row>
    <row r="182" spans="17:22" x14ac:dyDescent="0.3">
      <c r="Q182" s="220">
        <v>174</v>
      </c>
      <c r="R182" s="6"/>
      <c r="S182" s="285"/>
      <c r="T182" s="6"/>
      <c r="U182" s="6"/>
      <c r="V182" s="6"/>
    </row>
    <row r="183" spans="17:22" x14ac:dyDescent="0.3">
      <c r="Q183" s="220">
        <v>175</v>
      </c>
      <c r="R183" s="6"/>
      <c r="S183" s="285"/>
      <c r="T183" s="6"/>
      <c r="U183" s="6"/>
      <c r="V183" s="6"/>
    </row>
    <row r="184" spans="17:22" x14ac:dyDescent="0.3">
      <c r="Q184" s="220">
        <v>176</v>
      </c>
      <c r="R184" s="6"/>
      <c r="S184" s="285"/>
      <c r="T184" s="6"/>
      <c r="U184" s="6"/>
      <c r="V184" s="6"/>
    </row>
    <row r="185" spans="17:22" x14ac:dyDescent="0.3">
      <c r="Q185" s="220">
        <v>177</v>
      </c>
      <c r="R185" s="6"/>
      <c r="S185" s="285"/>
      <c r="T185" s="6"/>
      <c r="U185" s="6"/>
      <c r="V185" s="6"/>
    </row>
    <row r="186" spans="17:22" x14ac:dyDescent="0.3">
      <c r="Q186" s="220">
        <v>178</v>
      </c>
      <c r="R186" s="6"/>
      <c r="S186" s="285"/>
      <c r="T186" s="6"/>
      <c r="U186" s="6"/>
      <c r="V186" s="6"/>
    </row>
    <row r="187" spans="17:22" x14ac:dyDescent="0.3">
      <c r="Q187" s="220">
        <v>179</v>
      </c>
      <c r="R187" s="6"/>
      <c r="S187" s="285"/>
      <c r="T187" s="6"/>
      <c r="U187" s="6"/>
      <c r="V187" s="6"/>
    </row>
    <row r="188" spans="17:22" x14ac:dyDescent="0.3">
      <c r="Q188" s="220">
        <v>180</v>
      </c>
      <c r="R188" s="6"/>
      <c r="S188" s="285"/>
      <c r="T188" s="6"/>
      <c r="U188" s="6"/>
      <c r="V188" s="6"/>
    </row>
    <row r="189" spans="17:22" x14ac:dyDescent="0.3">
      <c r="Q189" s="220">
        <v>181</v>
      </c>
      <c r="R189" s="6"/>
      <c r="S189" s="285"/>
      <c r="T189" s="6"/>
      <c r="U189" s="6"/>
      <c r="V189" s="6"/>
    </row>
    <row r="190" spans="17:22" x14ac:dyDescent="0.3">
      <c r="Q190" s="220">
        <v>182</v>
      </c>
      <c r="R190" s="6"/>
      <c r="S190" s="285"/>
      <c r="T190" s="6"/>
      <c r="U190" s="6"/>
      <c r="V190" s="6"/>
    </row>
    <row r="191" spans="17:22" x14ac:dyDescent="0.3">
      <c r="Q191" s="220">
        <v>183</v>
      </c>
      <c r="R191" s="6"/>
      <c r="S191" s="285"/>
      <c r="T191" s="6"/>
      <c r="U191" s="6"/>
      <c r="V191" s="6"/>
    </row>
    <row r="192" spans="17:22" x14ac:dyDescent="0.3">
      <c r="Q192" s="220">
        <v>184</v>
      </c>
      <c r="R192" s="6"/>
      <c r="S192" s="285"/>
      <c r="T192" s="6"/>
      <c r="U192" s="6"/>
      <c r="V192" s="6"/>
    </row>
    <row r="193" spans="17:22" x14ac:dyDescent="0.3">
      <c r="Q193" s="220">
        <v>185</v>
      </c>
      <c r="R193" s="6"/>
      <c r="S193" s="285"/>
      <c r="T193" s="6"/>
      <c r="U193" s="6"/>
      <c r="V193" s="6"/>
    </row>
    <row r="194" spans="17:22" x14ac:dyDescent="0.3">
      <c r="Q194" s="220">
        <v>186</v>
      </c>
      <c r="R194" s="6"/>
      <c r="S194" s="285"/>
      <c r="T194" s="6"/>
      <c r="U194" s="6"/>
      <c r="V194" s="6"/>
    </row>
    <row r="195" spans="17:22" x14ac:dyDescent="0.3">
      <c r="Q195" s="220">
        <v>187</v>
      </c>
      <c r="R195" s="6"/>
      <c r="S195" s="285"/>
      <c r="T195" s="6"/>
      <c r="U195" s="6"/>
      <c r="V195" s="6"/>
    </row>
    <row r="196" spans="17:22" x14ac:dyDescent="0.3">
      <c r="Q196" s="220">
        <v>188</v>
      </c>
      <c r="R196" s="6"/>
      <c r="S196" s="285"/>
      <c r="T196" s="6"/>
      <c r="U196" s="6"/>
      <c r="V196" s="6"/>
    </row>
    <row r="197" spans="17:22" x14ac:dyDescent="0.3">
      <c r="Q197" s="220">
        <v>189</v>
      </c>
      <c r="R197" s="6"/>
      <c r="S197" s="285"/>
      <c r="T197" s="6"/>
      <c r="U197" s="6"/>
      <c r="V197" s="6"/>
    </row>
    <row r="198" spans="17:22" x14ac:dyDescent="0.3">
      <c r="Q198" s="220">
        <v>190</v>
      </c>
      <c r="R198" s="6"/>
      <c r="S198" s="285"/>
      <c r="T198" s="6"/>
      <c r="U198" s="6"/>
      <c r="V198" s="6"/>
    </row>
    <row r="199" spans="17:22" x14ac:dyDescent="0.3">
      <c r="Q199" s="220">
        <v>191</v>
      </c>
      <c r="R199" s="6"/>
      <c r="S199" s="285"/>
      <c r="T199" s="6"/>
      <c r="U199" s="6"/>
      <c r="V199" s="6"/>
    </row>
    <row r="200" spans="17:22" x14ac:dyDescent="0.3">
      <c r="Q200" s="220">
        <v>192</v>
      </c>
      <c r="R200" s="6"/>
      <c r="S200" s="285"/>
      <c r="T200" s="6"/>
      <c r="U200" s="6"/>
      <c r="V200" s="6"/>
    </row>
    <row r="201" spans="17:22" x14ac:dyDescent="0.3">
      <c r="Q201" s="220">
        <v>193</v>
      </c>
      <c r="R201" s="6"/>
      <c r="S201" s="285"/>
      <c r="T201" s="6"/>
      <c r="U201" s="6"/>
      <c r="V201" s="6"/>
    </row>
    <row r="202" spans="17:22" x14ac:dyDescent="0.3">
      <c r="Q202" s="220">
        <v>194</v>
      </c>
      <c r="R202" s="6"/>
      <c r="S202" s="285"/>
      <c r="T202" s="6"/>
      <c r="U202" s="6"/>
      <c r="V202" s="6"/>
    </row>
    <row r="203" spans="17:22" x14ac:dyDescent="0.3">
      <c r="Q203" s="220">
        <v>195</v>
      </c>
      <c r="R203" s="6"/>
      <c r="S203" s="285"/>
      <c r="T203" s="6"/>
      <c r="U203" s="6"/>
      <c r="V203" s="6"/>
    </row>
    <row r="204" spans="17:22" x14ac:dyDescent="0.3">
      <c r="Q204" s="220">
        <v>196</v>
      </c>
      <c r="R204" s="6"/>
      <c r="S204" s="285">
        <v>46253</v>
      </c>
      <c r="T204" s="6"/>
      <c r="U204" s="6"/>
      <c r="V204" s="6"/>
    </row>
    <row r="205" spans="17:22" x14ac:dyDescent="0.3">
      <c r="Q205" s="220">
        <v>197</v>
      </c>
      <c r="R205" s="6"/>
      <c r="S205" s="285">
        <v>46253</v>
      </c>
      <c r="T205" s="6"/>
      <c r="U205" s="6"/>
      <c r="V205" s="6"/>
    </row>
    <row r="206" spans="17:22" x14ac:dyDescent="0.3">
      <c r="Q206" s="220">
        <v>198</v>
      </c>
      <c r="R206" s="6"/>
      <c r="S206" s="285">
        <v>46253</v>
      </c>
      <c r="T206" s="6"/>
      <c r="U206" s="6"/>
      <c r="V206" s="6"/>
    </row>
    <row r="207" spans="17:22" x14ac:dyDescent="0.3">
      <c r="Q207" s="220">
        <v>199</v>
      </c>
      <c r="R207" s="6"/>
      <c r="S207" s="285">
        <v>46253</v>
      </c>
      <c r="T207" s="6"/>
      <c r="U207" s="6"/>
      <c r="V207" s="6"/>
    </row>
    <row r="208" spans="17:22" x14ac:dyDescent="0.3">
      <c r="Q208" s="220">
        <v>200</v>
      </c>
      <c r="R208" s="6"/>
      <c r="S208" s="285">
        <v>46253</v>
      </c>
      <c r="T208" s="6"/>
      <c r="U208" s="6"/>
      <c r="V208" s="6"/>
    </row>
    <row r="209" spans="17:22" x14ac:dyDescent="0.3">
      <c r="Q209" s="220">
        <v>201</v>
      </c>
      <c r="R209" s="6"/>
      <c r="S209" s="285">
        <v>46253</v>
      </c>
      <c r="T209" s="6"/>
      <c r="U209" s="6"/>
      <c r="V209" s="6"/>
    </row>
    <row r="210" spans="17:22" x14ac:dyDescent="0.3">
      <c r="Q210" s="220">
        <v>202</v>
      </c>
      <c r="R210" s="6"/>
      <c r="S210" s="285">
        <v>46253</v>
      </c>
      <c r="T210" s="6"/>
      <c r="U210" s="6"/>
      <c r="V210" s="6"/>
    </row>
    <row r="211" spans="17:22" x14ac:dyDescent="0.3">
      <c r="Q211" s="220">
        <v>203</v>
      </c>
      <c r="R211" s="6"/>
      <c r="S211" s="285">
        <v>46253</v>
      </c>
      <c r="T211" s="6"/>
      <c r="U211" s="6"/>
      <c r="V211" s="6"/>
    </row>
    <row r="212" spans="17:22" x14ac:dyDescent="0.3">
      <c r="Q212" s="220">
        <v>204</v>
      </c>
      <c r="R212" s="6"/>
      <c r="S212" s="28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8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19" t="s">
        <v>123</v>
      </c>
      <c r="C1" s="819"/>
      <c r="D1" s="819"/>
      <c r="E1" s="819"/>
      <c r="F1" s="819"/>
      <c r="G1" s="819"/>
      <c r="H1" s="819"/>
      <c r="I1" s="819"/>
      <c r="J1" s="819"/>
      <c r="K1" s="819"/>
      <c r="L1" s="819"/>
    </row>
    <row r="2" spans="1:27" ht="18" x14ac:dyDescent="0.35">
      <c r="F2" s="825" t="s">
        <v>431</v>
      </c>
      <c r="G2" s="825"/>
      <c r="H2" s="825"/>
      <c r="I2" s="825"/>
      <c r="J2" s="825"/>
    </row>
    <row r="3" spans="1:27" ht="15" thickBot="1" x14ac:dyDescent="0.35">
      <c r="A3" s="820" t="s">
        <v>199</v>
      </c>
      <c r="B3" s="821"/>
      <c r="C3" s="821"/>
      <c r="D3" s="821"/>
      <c r="E3" s="821"/>
      <c r="F3" s="821"/>
      <c r="G3" s="822"/>
    </row>
    <row r="4" spans="1:27" ht="15" thickBot="1" x14ac:dyDescent="0.35">
      <c r="A4" s="823" t="s">
        <v>1</v>
      </c>
      <c r="B4" s="824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54" t="s">
        <v>142</v>
      </c>
    </row>
    <row r="5" spans="1:27" x14ac:dyDescent="0.3">
      <c r="A5" s="278"/>
      <c r="B5" s="279"/>
      <c r="C5" s="280"/>
      <c r="D5" s="281"/>
      <c r="E5" s="281"/>
      <c r="F5" s="281"/>
      <c r="G5" s="282"/>
      <c r="J5" s="18"/>
      <c r="K5" s="18"/>
      <c r="L5" s="18"/>
      <c r="M5" s="18"/>
      <c r="N5" s="154"/>
    </row>
    <row r="6" spans="1:27" x14ac:dyDescent="0.3">
      <c r="A6" s="815">
        <v>46252</v>
      </c>
      <c r="B6" s="816"/>
      <c r="C6" s="151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83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815">
        <v>46253</v>
      </c>
      <c r="B7" s="816"/>
      <c r="C7" s="151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84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815">
        <v>46254</v>
      </c>
      <c r="B8" s="816"/>
      <c r="C8" s="151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817" t="s">
        <v>210</v>
      </c>
      <c r="AA8" s="818"/>
    </row>
    <row r="9" spans="1:27" x14ac:dyDescent="0.3">
      <c r="A9" s="815">
        <v>46255</v>
      </c>
      <c r="B9" s="816"/>
      <c r="C9" s="151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407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60" t="s">
        <v>211</v>
      </c>
      <c r="AA9" s="158">
        <f>L43</f>
        <v>65.95</v>
      </c>
    </row>
    <row r="10" spans="1:27" x14ac:dyDescent="0.3">
      <c r="A10" s="815">
        <v>46256</v>
      </c>
      <c r="B10" s="816"/>
      <c r="C10" s="151" t="s">
        <v>170</v>
      </c>
      <c r="D10" s="64">
        <v>6.9444444444444447E-4</v>
      </c>
      <c r="E10" s="64">
        <v>0.625</v>
      </c>
      <c r="F10" s="65">
        <f>(E10-D10)*1440</f>
        <v>899</v>
      </c>
      <c r="G10" s="402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60" t="s">
        <v>212</v>
      </c>
      <c r="AA10" s="158">
        <f>N43</f>
        <v>66.05</v>
      </c>
    </row>
    <row r="11" spans="1:27" x14ac:dyDescent="0.3">
      <c r="A11" s="815">
        <v>46257</v>
      </c>
      <c r="B11" s="816"/>
      <c r="C11" s="151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402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60" t="s">
        <v>214</v>
      </c>
      <c r="AA11" s="159">
        <f>L44</f>
        <v>0.61064814814814816</v>
      </c>
    </row>
    <row r="12" spans="1:27" x14ac:dyDescent="0.3">
      <c r="A12" s="815">
        <v>46258</v>
      </c>
      <c r="B12" s="816"/>
      <c r="C12" s="151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403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60" t="s">
        <v>213</v>
      </c>
      <c r="AA12" s="159">
        <f>N44</f>
        <v>0</v>
      </c>
    </row>
    <row r="13" spans="1:27" x14ac:dyDescent="0.3">
      <c r="A13" s="815">
        <v>46259</v>
      </c>
      <c r="B13" s="816"/>
      <c r="C13" s="151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404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815">
        <v>46260</v>
      </c>
      <c r="B14" s="816"/>
      <c r="C14" s="151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404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815">
        <v>46261</v>
      </c>
      <c r="B15" s="816"/>
      <c r="C15" s="151" t="s">
        <v>170</v>
      </c>
      <c r="D15" s="64">
        <v>6.9444444444444447E-4</v>
      </c>
      <c r="E15" s="64">
        <v>0.78125</v>
      </c>
      <c r="F15" s="65">
        <f t="shared" si="0"/>
        <v>1124</v>
      </c>
      <c r="G15" s="410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815">
        <v>46262</v>
      </c>
      <c r="B16" s="816"/>
      <c r="C16" s="151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408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815">
        <v>46263</v>
      </c>
      <c r="B17" s="816"/>
      <c r="C17" s="418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19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815">
        <v>46264</v>
      </c>
      <c r="B18" s="816"/>
      <c r="C18" s="428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815">
        <v>46265</v>
      </c>
      <c r="B19" s="816"/>
      <c r="C19" s="68"/>
      <c r="D19" s="64"/>
      <c r="E19" s="64"/>
      <c r="F19" s="65">
        <f t="shared" si="0"/>
        <v>0</v>
      </c>
      <c r="G19" s="429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815">
        <v>46266</v>
      </c>
      <c r="B20" s="816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815">
        <v>46267</v>
      </c>
      <c r="B21" s="816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815">
        <v>46268</v>
      </c>
      <c r="B22" s="816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815">
        <v>46269</v>
      </c>
      <c r="B23" s="816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815">
        <v>46270</v>
      </c>
      <c r="B24" s="816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815">
        <v>46271</v>
      </c>
      <c r="B25" s="816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815">
        <v>46272</v>
      </c>
      <c r="B26" s="816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815">
        <v>46273</v>
      </c>
      <c r="B27" s="816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815">
        <v>46274</v>
      </c>
      <c r="B28" s="816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815">
        <v>46275</v>
      </c>
      <c r="B29" s="816"/>
      <c r="C29" s="68"/>
      <c r="D29" s="64"/>
      <c r="E29" s="64"/>
      <c r="F29" s="65"/>
      <c r="G29" s="69"/>
      <c r="J29" s="66">
        <v>46275</v>
      </c>
      <c r="K29" s="122">
        <f>SUM(F29:F32)</f>
        <v>0</v>
      </c>
      <c r="L29" s="122"/>
      <c r="M29" s="42">
        <f t="shared" si="4"/>
        <v>0</v>
      </c>
      <c r="N29" s="6"/>
    </row>
    <row r="30" spans="1:15" x14ac:dyDescent="0.3">
      <c r="A30" s="815">
        <v>46276</v>
      </c>
      <c r="B30" s="816"/>
      <c r="C30" s="68"/>
      <c r="D30" s="64"/>
      <c r="E30" s="64"/>
      <c r="F30" s="65"/>
      <c r="G30" s="69"/>
      <c r="J30" s="66">
        <v>46276</v>
      </c>
      <c r="K30" s="122"/>
      <c r="L30" s="122"/>
      <c r="M30" s="123"/>
      <c r="N30" s="6"/>
      <c r="O30" s="13"/>
    </row>
    <row r="31" spans="1:15" x14ac:dyDescent="0.3">
      <c r="A31" s="815">
        <v>46277</v>
      </c>
      <c r="B31" s="816"/>
      <c r="C31" s="68"/>
      <c r="D31" s="64"/>
      <c r="E31" s="64"/>
      <c r="F31" s="65"/>
      <c r="G31" s="69"/>
      <c r="J31" s="66">
        <v>46277</v>
      </c>
      <c r="K31" s="122"/>
      <c r="L31" s="122"/>
      <c r="M31" s="123"/>
      <c r="N31" s="6"/>
    </row>
    <row r="32" spans="1:15" x14ac:dyDescent="0.3">
      <c r="A32" s="815">
        <v>46278</v>
      </c>
      <c r="B32" s="816"/>
      <c r="C32" s="68"/>
      <c r="D32" s="64"/>
      <c r="E32" s="64"/>
      <c r="F32" s="65"/>
      <c r="G32" s="69"/>
      <c r="J32" s="66">
        <v>46278</v>
      </c>
      <c r="K32" s="122"/>
      <c r="L32" s="122"/>
      <c r="M32" s="123"/>
      <c r="N32" s="6"/>
    </row>
    <row r="33" spans="1:15" x14ac:dyDescent="0.3">
      <c r="A33" s="815">
        <v>46279</v>
      </c>
      <c r="B33" s="816"/>
      <c r="C33" s="68"/>
      <c r="D33" s="64"/>
      <c r="E33" s="64"/>
      <c r="F33" s="65"/>
      <c r="G33" s="69"/>
      <c r="J33" s="66">
        <v>46279</v>
      </c>
      <c r="K33" s="122">
        <f>SUM(F34:F35)</f>
        <v>0</v>
      </c>
      <c r="L33" s="122"/>
      <c r="M33" s="123">
        <f t="shared" ref="M33:M36" si="11">L33/24</f>
        <v>0</v>
      </c>
      <c r="N33" s="6"/>
    </row>
    <row r="34" spans="1:15" x14ac:dyDescent="0.3">
      <c r="A34" s="815">
        <v>46280</v>
      </c>
      <c r="B34" s="816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2"/>
      <c r="L34" s="122"/>
      <c r="M34" s="123"/>
      <c r="N34" s="6"/>
    </row>
    <row r="35" spans="1:15" x14ac:dyDescent="0.3">
      <c r="A35" s="815">
        <v>46281</v>
      </c>
      <c r="B35" s="816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2"/>
      <c r="L35" s="122"/>
      <c r="M35" s="123"/>
      <c r="N35" s="6"/>
    </row>
    <row r="36" spans="1:15" x14ac:dyDescent="0.3">
      <c r="A36" s="815">
        <v>46282</v>
      </c>
      <c r="B36" s="816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2"/>
      <c r="M36" s="123">
        <f t="shared" si="11"/>
        <v>0</v>
      </c>
      <c r="N36" s="6"/>
    </row>
    <row r="37" spans="1:15" x14ac:dyDescent="0.3">
      <c r="A37" s="815">
        <v>46283</v>
      </c>
      <c r="B37" s="816"/>
      <c r="C37" s="68"/>
      <c r="D37" s="64"/>
      <c r="E37" s="64"/>
      <c r="F37" s="65"/>
      <c r="G37" s="69"/>
      <c r="J37" s="273"/>
      <c r="K37" s="70"/>
      <c r="L37" s="122"/>
      <c r="M37" s="123"/>
      <c r="N37" s="6"/>
    </row>
    <row r="38" spans="1:15" x14ac:dyDescent="0.3">
      <c r="A38" s="815">
        <v>46284</v>
      </c>
      <c r="B38" s="816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815">
        <v>46285</v>
      </c>
      <c r="B39" s="816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815">
        <v>46286</v>
      </c>
      <c r="B40" s="816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815">
        <v>46287</v>
      </c>
      <c r="B41" s="816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815">
        <v>46288</v>
      </c>
      <c r="B42" s="816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22" activePane="bottomLeft" state="frozen"/>
      <selection pane="bottomLeft" activeCell="K28" sqref="K28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83" bestFit="1" customWidth="1"/>
    <col min="9" max="9" width="8.77734375" style="621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831" t="s">
        <v>64</v>
      </c>
      <c r="B3" s="831"/>
      <c r="C3" s="831"/>
      <c r="D3" s="831"/>
      <c r="E3" s="831"/>
      <c r="F3" s="831"/>
      <c r="G3" s="831"/>
      <c r="H3" s="831"/>
      <c r="I3" s="831"/>
    </row>
    <row r="4" spans="1:22" x14ac:dyDescent="0.3">
      <c r="A4" s="831" t="s">
        <v>1</v>
      </c>
      <c r="B4" s="831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558</v>
      </c>
      <c r="K4" s="18" t="s">
        <v>1</v>
      </c>
      <c r="L4" s="18" t="s">
        <v>66</v>
      </c>
      <c r="M4" s="18" t="s">
        <v>67</v>
      </c>
      <c r="N4" s="18" t="s">
        <v>68</v>
      </c>
      <c r="O4" s="154" t="s">
        <v>302</v>
      </c>
      <c r="P4" s="140" t="s">
        <v>65</v>
      </c>
    </row>
    <row r="5" spans="1:22" ht="43.2" x14ac:dyDescent="0.3">
      <c r="A5" s="834">
        <v>46265</v>
      </c>
      <c r="B5" s="835"/>
      <c r="C5" s="650" t="s">
        <v>13</v>
      </c>
      <c r="D5" s="657" t="s">
        <v>170</v>
      </c>
      <c r="E5" s="651">
        <v>6.9444444444444447E-4</v>
      </c>
      <c r="F5" s="563">
        <v>6.5972222222222224E-2</v>
      </c>
      <c r="G5" s="564">
        <f>(F5-E5)*1440</f>
        <v>94</v>
      </c>
      <c r="H5" s="652" t="s">
        <v>459</v>
      </c>
      <c r="I5" s="828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9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834">
        <v>46266</v>
      </c>
      <c r="B6" s="835"/>
      <c r="C6" s="562" t="s">
        <v>14</v>
      </c>
      <c r="D6" s="658" t="s">
        <v>170</v>
      </c>
      <c r="E6" s="563">
        <v>6.9444444444444447E-4</v>
      </c>
      <c r="F6" s="563">
        <v>4.6527777777777779E-2</v>
      </c>
      <c r="G6" s="564">
        <f t="shared" ref="G6:G39" si="0">(F6-E6)*1440</f>
        <v>66</v>
      </c>
      <c r="H6" s="653" t="s">
        <v>490</v>
      </c>
      <c r="I6" s="830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86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832">
        <v>46267</v>
      </c>
      <c r="B7" s="833"/>
      <c r="C7" s="559" t="s">
        <v>13</v>
      </c>
      <c r="D7" s="659" t="s">
        <v>223</v>
      </c>
      <c r="E7" s="560">
        <v>6.9444444444444447E-4</v>
      </c>
      <c r="F7" s="560">
        <v>8.4027777777777785E-2</v>
      </c>
      <c r="G7" s="561">
        <f t="shared" si="0"/>
        <v>120.00000000000001</v>
      </c>
      <c r="H7" s="654" t="s">
        <v>491</v>
      </c>
      <c r="I7" s="799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86" t="str">
        <f t="shared" si="2"/>
        <v>Ball mill sampai jam 12 Cuma berjalan 1, housekepping material meluap dari ball mill 3 hingga jam 9</v>
      </c>
    </row>
    <row r="8" spans="1:22" ht="28.8" x14ac:dyDescent="0.3">
      <c r="A8" s="832">
        <v>46268</v>
      </c>
      <c r="B8" s="833"/>
      <c r="C8" s="559" t="s">
        <v>14</v>
      </c>
      <c r="D8" s="660" t="s">
        <v>170</v>
      </c>
      <c r="E8" s="560">
        <v>6.9444444444444447E-4</v>
      </c>
      <c r="F8" s="560">
        <v>0.54166666666666663</v>
      </c>
      <c r="G8" s="561">
        <f t="shared" si="0"/>
        <v>779</v>
      </c>
      <c r="H8" s="654" t="s">
        <v>481</v>
      </c>
      <c r="I8" s="800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86" t="str">
        <f t="shared" si="2"/>
        <v>Stop ball mill jam 18:00 material finish pump ke tank 3, shift malam drain slurry tank 2</v>
      </c>
    </row>
    <row r="9" spans="1:22" x14ac:dyDescent="0.3">
      <c r="A9" s="832">
        <v>46269</v>
      </c>
      <c r="B9" s="833"/>
      <c r="C9" s="559" t="s">
        <v>13</v>
      </c>
      <c r="D9" s="661" t="s">
        <v>223</v>
      </c>
      <c r="E9" s="655">
        <v>6.9444444444444447E-4</v>
      </c>
      <c r="F9" s="560">
        <v>0.99930555555555556</v>
      </c>
      <c r="G9" s="561">
        <f t="shared" si="0"/>
        <v>1438</v>
      </c>
      <c r="H9" s="656" t="s">
        <v>489</v>
      </c>
      <c r="I9" s="801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834">
        <v>46270</v>
      </c>
      <c r="B10" s="835"/>
      <c r="C10" s="562" t="s">
        <v>14</v>
      </c>
      <c r="D10" s="669" t="s">
        <v>170</v>
      </c>
      <c r="E10" s="563">
        <v>6.9444444444444447E-4</v>
      </c>
      <c r="F10" s="563">
        <v>0.54166666666666663</v>
      </c>
      <c r="G10" s="564">
        <f>(F10-E10)*1440</f>
        <v>779</v>
      </c>
      <c r="H10" s="670" t="s">
        <v>501</v>
      </c>
      <c r="I10" s="828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86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834">
        <v>46271</v>
      </c>
      <c r="B11" s="835"/>
      <c r="C11" s="562" t="s">
        <v>13</v>
      </c>
      <c r="D11" s="671" t="s">
        <v>521</v>
      </c>
      <c r="E11" s="563">
        <v>6.9444444444444447E-4</v>
      </c>
      <c r="F11" s="563">
        <v>0.18124999999999999</v>
      </c>
      <c r="G11" s="564">
        <f>(F11-E11)*720</f>
        <v>130</v>
      </c>
      <c r="H11" s="672" t="s">
        <v>523</v>
      </c>
      <c r="I11" s="829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22" ht="28.8" x14ac:dyDescent="0.3">
      <c r="A12" s="834">
        <v>46271</v>
      </c>
      <c r="B12" s="835"/>
      <c r="C12" s="562" t="s">
        <v>14</v>
      </c>
      <c r="D12" s="671" t="s">
        <v>522</v>
      </c>
      <c r="E12" s="563"/>
      <c r="F12" s="563"/>
      <c r="G12" s="564">
        <f t="shared" si="0"/>
        <v>0</v>
      </c>
      <c r="H12" s="672" t="s">
        <v>530</v>
      </c>
      <c r="I12" s="829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86" t="s">
        <v>538</v>
      </c>
    </row>
    <row r="13" spans="1:22" ht="72" x14ac:dyDescent="0.3">
      <c r="A13" s="834">
        <v>46272</v>
      </c>
      <c r="B13" s="835"/>
      <c r="C13" s="562" t="s">
        <v>13</v>
      </c>
      <c r="D13" s="673" t="s">
        <v>170</v>
      </c>
      <c r="E13" s="563">
        <v>6.9444444444444447E-4</v>
      </c>
      <c r="F13" s="563">
        <v>1.3888888888888888E-2</v>
      </c>
      <c r="G13" s="564">
        <f t="shared" si="0"/>
        <v>19</v>
      </c>
      <c r="H13" s="674" t="s">
        <v>539</v>
      </c>
      <c r="I13" s="830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8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832">
        <v>46272</v>
      </c>
      <c r="B14" s="833"/>
      <c r="C14" s="559" t="s">
        <v>14</v>
      </c>
      <c r="D14" s="675" t="s">
        <v>170</v>
      </c>
      <c r="E14" s="560">
        <v>6.9444444444444447E-4</v>
      </c>
      <c r="F14" s="560">
        <v>5.2083333333333336E-2</v>
      </c>
      <c r="G14" s="561">
        <f t="shared" si="0"/>
        <v>74</v>
      </c>
      <c r="H14" s="565" t="s">
        <v>540</v>
      </c>
      <c r="I14" s="799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86" t="s">
        <v>545</v>
      </c>
    </row>
    <row r="15" spans="1:22" ht="72" x14ac:dyDescent="0.3">
      <c r="A15" s="832">
        <v>46273</v>
      </c>
      <c r="B15" s="833"/>
      <c r="C15" s="559" t="s">
        <v>13</v>
      </c>
      <c r="D15" s="675" t="s">
        <v>170</v>
      </c>
      <c r="E15" s="560">
        <v>6.9444444444444447E-4</v>
      </c>
      <c r="F15" s="560">
        <v>7.013888888888889E-2</v>
      </c>
      <c r="G15" s="561">
        <f>(F15-E15)*1440</f>
        <v>100</v>
      </c>
      <c r="H15" s="676" t="s">
        <v>533</v>
      </c>
      <c r="I15" s="800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22" ht="28.8" x14ac:dyDescent="0.3">
      <c r="A16" s="832">
        <v>46273</v>
      </c>
      <c r="B16" s="833"/>
      <c r="C16" s="559" t="s">
        <v>14</v>
      </c>
      <c r="D16" s="677" t="s">
        <v>537</v>
      </c>
      <c r="E16" s="560">
        <v>6.9444444444444447E-4</v>
      </c>
      <c r="F16" s="560">
        <v>0.10694444444444444</v>
      </c>
      <c r="G16" s="561">
        <f>(F16-E16)*1440</f>
        <v>153</v>
      </c>
      <c r="H16" s="565" t="s">
        <v>541</v>
      </c>
      <c r="I16" s="800"/>
      <c r="K16" s="66"/>
      <c r="L16" s="70"/>
      <c r="M16" s="70"/>
      <c r="N16" s="67"/>
      <c r="O16" s="70"/>
      <c r="P16" s="6"/>
    </row>
    <row r="17" spans="1:19" ht="28.8" x14ac:dyDescent="0.3">
      <c r="A17" s="832">
        <v>46274</v>
      </c>
      <c r="B17" s="833"/>
      <c r="C17" s="559" t="s">
        <v>13</v>
      </c>
      <c r="D17" s="663" t="s">
        <v>170</v>
      </c>
      <c r="E17" s="560">
        <v>6.9444444444444447E-4</v>
      </c>
      <c r="F17" s="560">
        <v>0.37569444444444444</v>
      </c>
      <c r="G17" s="561">
        <f t="shared" si="0"/>
        <v>540</v>
      </c>
      <c r="H17" s="565" t="s">
        <v>544</v>
      </c>
      <c r="I17" s="801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826">
        <v>46274</v>
      </c>
      <c r="B18" s="827"/>
      <c r="C18" s="40" t="s">
        <v>14</v>
      </c>
      <c r="D18" s="662" t="s">
        <v>170</v>
      </c>
      <c r="E18" s="557">
        <v>6.9444444444444447E-4</v>
      </c>
      <c r="F18" s="557">
        <v>0.50069444444444444</v>
      </c>
      <c r="G18" s="558">
        <f t="shared" si="0"/>
        <v>720</v>
      </c>
      <c r="H18" s="504" t="s">
        <v>543</v>
      </c>
      <c r="I18" s="426"/>
      <c r="K18" s="66">
        <v>46277</v>
      </c>
      <c r="L18" s="70">
        <f>SUM(G23:G24)</f>
        <v>1440</v>
      </c>
      <c r="M18" s="70">
        <f t="shared" si="4"/>
        <v>0</v>
      </c>
      <c r="N18" s="67">
        <f t="shared" si="5"/>
        <v>0</v>
      </c>
      <c r="O18" s="70">
        <f t="shared" si="1"/>
        <v>24</v>
      </c>
      <c r="P18" s="6"/>
    </row>
    <row r="19" spans="1:19" ht="28.8" x14ac:dyDescent="0.3">
      <c r="A19" s="834">
        <v>46275</v>
      </c>
      <c r="B19" s="835"/>
      <c r="C19" s="562" t="s">
        <v>13</v>
      </c>
      <c r="D19" s="678" t="s">
        <v>170</v>
      </c>
      <c r="E19" s="563">
        <v>6.9444444444444447E-4</v>
      </c>
      <c r="F19" s="563">
        <v>6.0416666666666667E-2</v>
      </c>
      <c r="G19" s="564">
        <f t="shared" si="0"/>
        <v>86</v>
      </c>
      <c r="H19" s="674" t="s">
        <v>549</v>
      </c>
      <c r="I19" s="828">
        <v>5</v>
      </c>
      <c r="K19" s="66">
        <v>46278</v>
      </c>
      <c r="L19" s="70">
        <f>SUM(G25:G26)</f>
        <v>720</v>
      </c>
      <c r="M19" s="6">
        <f t="shared" si="4"/>
        <v>12</v>
      </c>
      <c r="N19" s="67">
        <f t="shared" si="5"/>
        <v>0.5</v>
      </c>
      <c r="O19" s="70">
        <f t="shared" si="1"/>
        <v>12</v>
      </c>
      <c r="P19" s="6"/>
    </row>
    <row r="20" spans="1:19" ht="15" thickBot="1" x14ac:dyDescent="0.35">
      <c r="A20" s="834">
        <v>46275</v>
      </c>
      <c r="B20" s="835"/>
      <c r="C20" s="562" t="s">
        <v>14</v>
      </c>
      <c r="D20" s="679" t="s">
        <v>556</v>
      </c>
      <c r="E20" s="680">
        <v>6.9444444444444447E-4</v>
      </c>
      <c r="F20" s="680">
        <v>6.458333333333334E-2</v>
      </c>
      <c r="G20" s="543">
        <f t="shared" si="0"/>
        <v>92.000000000000014</v>
      </c>
      <c r="H20" s="712" t="s">
        <v>557</v>
      </c>
      <c r="I20" s="829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8.2" thickBot="1" x14ac:dyDescent="0.35">
      <c r="A21" s="834">
        <v>46276</v>
      </c>
      <c r="B21" s="835"/>
      <c r="C21" s="562" t="s">
        <v>13</v>
      </c>
      <c r="D21" s="681" t="s">
        <v>170</v>
      </c>
      <c r="E21" s="563">
        <v>6.9444444444444447E-4</v>
      </c>
      <c r="F21" s="563">
        <v>4.3055555555555555E-2</v>
      </c>
      <c r="G21" s="711">
        <f>(F21-E21)*1440</f>
        <v>61</v>
      </c>
      <c r="H21" s="713" t="s">
        <v>560</v>
      </c>
      <c r="I21" s="838"/>
      <c r="J21" s="1">
        <f>60*6</f>
        <v>360</v>
      </c>
      <c r="K21" s="66">
        <v>46280</v>
      </c>
      <c r="L21" s="6"/>
      <c r="M21" s="70">
        <f t="shared" si="4"/>
        <v>24</v>
      </c>
      <c r="N21" s="67">
        <f t="shared" si="5"/>
        <v>1</v>
      </c>
      <c r="O21" s="70">
        <f>L21/60</f>
        <v>0</v>
      </c>
      <c r="P21" s="6"/>
    </row>
    <row r="22" spans="1:19" ht="42.6" customHeight="1" thickBot="1" x14ac:dyDescent="0.35">
      <c r="A22" s="836">
        <v>46276</v>
      </c>
      <c r="B22" s="837"/>
      <c r="C22" s="700" t="s">
        <v>14</v>
      </c>
      <c r="D22" s="701" t="s">
        <v>170</v>
      </c>
      <c r="E22" s="702">
        <v>6.9444444444444447E-4</v>
      </c>
      <c r="F22" s="702">
        <v>0.41736111111111113</v>
      </c>
      <c r="G22" s="714">
        <f t="shared" si="0"/>
        <v>600</v>
      </c>
      <c r="H22" s="738" t="s">
        <v>591</v>
      </c>
      <c r="I22" s="715">
        <v>6</v>
      </c>
      <c r="J22" s="1">
        <f>J21-221</f>
        <v>139</v>
      </c>
      <c r="K22" s="66">
        <v>46281</v>
      </c>
      <c r="L22" s="70"/>
      <c r="M22" s="70">
        <f t="shared" si="4"/>
        <v>24</v>
      </c>
      <c r="N22" s="67">
        <f t="shared" si="5"/>
        <v>1</v>
      </c>
      <c r="O22" s="70">
        <f t="shared" si="1"/>
        <v>0</v>
      </c>
      <c r="P22" s="6"/>
    </row>
    <row r="23" spans="1:19" ht="29.4" thickBot="1" x14ac:dyDescent="0.35">
      <c r="A23" s="839">
        <v>46277</v>
      </c>
      <c r="B23" s="840"/>
      <c r="C23" s="705" t="s">
        <v>13</v>
      </c>
      <c r="D23" s="706" t="s">
        <v>170</v>
      </c>
      <c r="E23" s="707">
        <v>6.9444444444444447E-4</v>
      </c>
      <c r="F23" s="707">
        <v>0.50069444444444444</v>
      </c>
      <c r="G23" s="708">
        <f t="shared" si="0"/>
        <v>720</v>
      </c>
      <c r="H23" s="709" t="s">
        <v>559</v>
      </c>
      <c r="I23" s="710">
        <v>6</v>
      </c>
      <c r="K23" s="66">
        <v>46282</v>
      </c>
      <c r="L23" s="6"/>
      <c r="M23" s="70">
        <f t="shared" si="4"/>
        <v>24</v>
      </c>
      <c r="N23" s="67">
        <f t="shared" si="5"/>
        <v>1</v>
      </c>
      <c r="O23" s="70">
        <f t="shared" si="1"/>
        <v>0</v>
      </c>
      <c r="P23" s="6"/>
    </row>
    <row r="24" spans="1:19" ht="28.8" x14ac:dyDescent="0.3">
      <c r="A24" s="841">
        <v>46277</v>
      </c>
      <c r="B24" s="842"/>
      <c r="C24" s="597" t="s">
        <v>14</v>
      </c>
      <c r="D24" s="703" t="s">
        <v>170</v>
      </c>
      <c r="E24" s="704">
        <v>6.9444444444444447E-4</v>
      </c>
      <c r="F24" s="704">
        <v>0.50069444444444444</v>
      </c>
      <c r="G24" s="699">
        <f t="shared" si="0"/>
        <v>720</v>
      </c>
      <c r="H24" s="739" t="s">
        <v>592</v>
      </c>
      <c r="I24" s="626">
        <v>6</v>
      </c>
      <c r="K24" s="66">
        <v>46283</v>
      </c>
      <c r="L24" s="6">
        <f t="shared" si="3"/>
        <v>720</v>
      </c>
      <c r="M24" s="70">
        <f t="shared" si="4"/>
        <v>12</v>
      </c>
      <c r="N24" s="67">
        <f t="shared" si="5"/>
        <v>0.5</v>
      </c>
      <c r="O24" s="70">
        <f t="shared" si="1"/>
        <v>12</v>
      </c>
      <c r="P24" s="6"/>
    </row>
    <row r="25" spans="1:19" x14ac:dyDescent="0.3">
      <c r="A25" s="832">
        <v>46278</v>
      </c>
      <c r="B25" s="833"/>
      <c r="C25" s="559" t="s">
        <v>13</v>
      </c>
      <c r="D25" s="698" t="s">
        <v>170</v>
      </c>
      <c r="E25" s="560">
        <v>6.9444444444444447E-4</v>
      </c>
      <c r="F25" s="560">
        <v>0.50069444444444444</v>
      </c>
      <c r="G25" s="561">
        <f t="shared" si="0"/>
        <v>720</v>
      </c>
      <c r="H25" s="740" t="s">
        <v>593</v>
      </c>
      <c r="I25" s="630">
        <v>6</v>
      </c>
      <c r="K25" s="66">
        <v>46284</v>
      </c>
      <c r="L25" s="6">
        <f t="shared" si="3"/>
        <v>720</v>
      </c>
      <c r="M25" s="70">
        <f t="shared" si="4"/>
        <v>12</v>
      </c>
      <c r="N25" s="67">
        <f t="shared" si="5"/>
        <v>0.5</v>
      </c>
      <c r="O25" s="70">
        <f t="shared" si="1"/>
        <v>12</v>
      </c>
      <c r="P25" s="6"/>
    </row>
    <row r="26" spans="1:19" x14ac:dyDescent="0.3">
      <c r="A26" s="826">
        <v>46278</v>
      </c>
      <c r="B26" s="827"/>
      <c r="C26" s="40" t="s">
        <v>14</v>
      </c>
      <c r="D26" s="664" t="s">
        <v>170</v>
      </c>
      <c r="E26" s="557"/>
      <c r="F26" s="557"/>
      <c r="G26" s="558">
        <f t="shared" si="0"/>
        <v>0</v>
      </c>
      <c r="H26" s="690"/>
      <c r="I26" s="426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826">
        <v>46279</v>
      </c>
      <c r="B27" s="827"/>
      <c r="C27" s="40" t="s">
        <v>13</v>
      </c>
      <c r="D27" s="665" t="s">
        <v>170</v>
      </c>
      <c r="E27" s="557"/>
      <c r="F27" s="557"/>
      <c r="G27" s="558">
        <f t="shared" si="0"/>
        <v>0</v>
      </c>
      <c r="H27" s="480"/>
      <c r="I27" s="426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826">
        <v>46279</v>
      </c>
      <c r="B28" s="827"/>
      <c r="C28" s="40" t="s">
        <v>14</v>
      </c>
      <c r="D28" s="666" t="s">
        <v>170</v>
      </c>
      <c r="E28" s="557"/>
      <c r="F28" s="557"/>
      <c r="G28" s="558">
        <f t="shared" si="0"/>
        <v>0</v>
      </c>
      <c r="H28" s="481"/>
      <c r="I28" s="426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826">
        <v>46280</v>
      </c>
      <c r="B29" s="827"/>
      <c r="C29" s="40" t="s">
        <v>13</v>
      </c>
      <c r="D29" s="69"/>
      <c r="E29" s="557"/>
      <c r="F29" s="557"/>
      <c r="G29" s="558">
        <f t="shared" si="0"/>
        <v>0</v>
      </c>
      <c r="H29" s="482"/>
      <c r="I29" s="426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826">
        <v>46280</v>
      </c>
      <c r="B30" s="827"/>
      <c r="C30" s="40" t="s">
        <v>14</v>
      </c>
      <c r="D30" s="69"/>
      <c r="E30" s="557"/>
      <c r="F30" s="557"/>
      <c r="G30" s="558">
        <f t="shared" si="0"/>
        <v>0</v>
      </c>
      <c r="H30" s="482"/>
      <c r="I30" s="426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826">
        <v>46281</v>
      </c>
      <c r="B31" s="827"/>
      <c r="C31" s="40" t="s">
        <v>13</v>
      </c>
      <c r="D31" s="69"/>
      <c r="E31" s="71"/>
      <c r="F31" s="71"/>
      <c r="G31" s="558">
        <f t="shared" si="0"/>
        <v>0</v>
      </c>
      <c r="H31" s="482"/>
      <c r="I31" s="426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826">
        <v>46281</v>
      </c>
      <c r="B32" s="827"/>
      <c r="C32" s="40" t="s">
        <v>14</v>
      </c>
      <c r="D32" s="69"/>
      <c r="E32" s="71"/>
      <c r="F32" s="71"/>
      <c r="G32" s="558">
        <f t="shared" si="0"/>
        <v>0</v>
      </c>
      <c r="H32" s="482"/>
      <c r="I32" s="426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826">
        <v>46282</v>
      </c>
      <c r="B33" s="827"/>
      <c r="C33" s="40" t="s">
        <v>13</v>
      </c>
      <c r="D33" s="69"/>
      <c r="E33" s="71"/>
      <c r="F33" s="71"/>
      <c r="G33" s="558">
        <f t="shared" si="0"/>
        <v>0</v>
      </c>
      <c r="H33" s="482"/>
      <c r="I33" s="426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826">
        <v>46282</v>
      </c>
      <c r="B34" s="827"/>
      <c r="C34" s="40" t="s">
        <v>14</v>
      </c>
      <c r="D34" s="69"/>
      <c r="E34" s="71"/>
      <c r="F34" s="71"/>
      <c r="G34" s="558">
        <f t="shared" si="0"/>
        <v>0</v>
      </c>
      <c r="H34" s="482"/>
      <c r="I34" s="426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826">
        <v>46294</v>
      </c>
      <c r="B35" s="827"/>
      <c r="C35" s="40" t="s">
        <v>13</v>
      </c>
      <c r="D35" s="69"/>
      <c r="E35" s="71"/>
      <c r="F35" s="71"/>
      <c r="G35" s="558">
        <f t="shared" si="0"/>
        <v>0</v>
      </c>
      <c r="H35" s="482"/>
      <c r="I35" s="426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826">
        <v>46295</v>
      </c>
      <c r="B36" s="827"/>
      <c r="C36" s="40" t="s">
        <v>14</v>
      </c>
      <c r="D36" s="69"/>
      <c r="E36" s="71"/>
      <c r="F36" s="71"/>
      <c r="G36" s="558">
        <f t="shared" si="0"/>
        <v>0</v>
      </c>
      <c r="H36" s="482"/>
      <c r="I36" s="426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826">
        <v>46296</v>
      </c>
      <c r="B37" s="827"/>
      <c r="C37" s="40" t="s">
        <v>13</v>
      </c>
      <c r="D37" s="69"/>
      <c r="E37" s="71"/>
      <c r="F37" s="71"/>
      <c r="G37" s="558">
        <f t="shared" si="0"/>
        <v>0</v>
      </c>
      <c r="H37" s="482"/>
      <c r="I37" s="426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826">
        <v>46297</v>
      </c>
      <c r="B38" s="827"/>
      <c r="C38" s="40" t="s">
        <v>14</v>
      </c>
      <c r="D38" s="69"/>
      <c r="E38" s="71"/>
      <c r="F38" s="71"/>
      <c r="G38" s="558">
        <f t="shared" si="0"/>
        <v>0</v>
      </c>
      <c r="H38" s="482"/>
      <c r="I38" s="426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826">
        <v>46298</v>
      </c>
      <c r="B39" s="827"/>
      <c r="C39" s="40" t="s">
        <v>14</v>
      </c>
      <c r="D39" s="69"/>
      <c r="E39" s="71"/>
      <c r="F39" s="71"/>
      <c r="G39" s="558">
        <f t="shared" si="0"/>
        <v>0</v>
      </c>
      <c r="H39" s="482"/>
      <c r="I39" s="426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826">
        <v>46299</v>
      </c>
      <c r="B40" s="827"/>
      <c r="C40" s="40" t="s">
        <v>14</v>
      </c>
      <c r="D40" s="69"/>
      <c r="E40" s="71"/>
      <c r="F40" s="71"/>
      <c r="G40" s="558">
        <f t="shared" ref="G40:G41" si="6">(F40-E40)*1440</f>
        <v>0</v>
      </c>
      <c r="H40" s="482"/>
      <c r="I40" s="426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826">
        <v>46300</v>
      </c>
      <c r="B41" s="827"/>
      <c r="C41" s="40" t="s">
        <v>14</v>
      </c>
      <c r="D41" s="69"/>
      <c r="E41" s="71"/>
      <c r="F41" s="71"/>
      <c r="G41" s="558">
        <f t="shared" si="6"/>
        <v>0</v>
      </c>
      <c r="H41" s="482"/>
      <c r="I41" s="426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826">
        <v>46301</v>
      </c>
      <c r="B42" s="827"/>
      <c r="C42" s="40" t="s">
        <v>14</v>
      </c>
      <c r="D42" s="69"/>
      <c r="E42" s="71"/>
      <c r="F42" s="71"/>
      <c r="G42" s="558">
        <f t="shared" ref="G42" si="7">(F42-E42)*1440</f>
        <v>0</v>
      </c>
      <c r="H42" s="482"/>
      <c r="I42" s="426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826">
        <v>46302</v>
      </c>
      <c r="B43" s="827"/>
      <c r="C43" s="40" t="s">
        <v>14</v>
      </c>
      <c r="D43" s="69"/>
      <c r="E43" s="71"/>
      <c r="F43" s="71"/>
      <c r="G43" s="558">
        <f t="shared" ref="G43:G45" si="8">(F43-E43)*1440</f>
        <v>0</v>
      </c>
      <c r="H43" s="482"/>
      <c r="I43" s="426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826">
        <v>46303</v>
      </c>
      <c r="B44" s="827"/>
      <c r="C44" s="40" t="s">
        <v>14</v>
      </c>
      <c r="D44" s="69"/>
      <c r="E44" s="71"/>
      <c r="F44" s="71"/>
      <c r="G44" s="558">
        <f t="shared" si="8"/>
        <v>0</v>
      </c>
      <c r="H44" s="482"/>
      <c r="I44" s="426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826">
        <v>46304</v>
      </c>
      <c r="B45" s="827"/>
      <c r="C45" s="40" t="s">
        <v>14</v>
      </c>
      <c r="D45" s="69"/>
      <c r="E45" s="71"/>
      <c r="F45" s="71"/>
      <c r="G45" s="558">
        <f t="shared" si="8"/>
        <v>0</v>
      </c>
      <c r="H45" s="482"/>
      <c r="I45" s="426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26">
        <v>46305</v>
      </c>
      <c r="B46" s="827"/>
      <c r="C46" s="40" t="s">
        <v>14</v>
      </c>
      <c r="D46" s="69"/>
      <c r="E46" s="71"/>
      <c r="F46" s="71"/>
      <c r="G46" s="558">
        <f>(F46-E46)*1440</f>
        <v>0</v>
      </c>
      <c r="H46" s="482"/>
      <c r="I46" s="426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826">
        <v>46306</v>
      </c>
      <c r="B47" s="827"/>
      <c r="C47" s="40" t="s">
        <v>14</v>
      </c>
      <c r="D47" s="69"/>
      <c r="E47" s="71"/>
      <c r="F47" s="71"/>
      <c r="G47" s="558">
        <f t="shared" ref="G47:G51" si="9">(F47-E47)*1440</f>
        <v>0</v>
      </c>
      <c r="H47" s="482"/>
      <c r="I47" s="426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826">
        <v>46307</v>
      </c>
      <c r="B48" s="827"/>
      <c r="C48" s="40" t="s">
        <v>14</v>
      </c>
      <c r="D48" s="69"/>
      <c r="E48" s="71"/>
      <c r="F48" s="71"/>
      <c r="G48" s="558">
        <f t="shared" si="9"/>
        <v>0</v>
      </c>
      <c r="H48" s="482"/>
      <c r="I48" s="426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826">
        <v>46308</v>
      </c>
      <c r="B49" s="827"/>
      <c r="C49" s="40" t="s">
        <v>14</v>
      </c>
      <c r="D49" s="69"/>
      <c r="E49" s="71"/>
      <c r="F49" s="71"/>
      <c r="G49" s="558">
        <f t="shared" si="9"/>
        <v>0</v>
      </c>
      <c r="H49" s="482"/>
      <c r="I49" s="426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826">
        <v>46309</v>
      </c>
      <c r="B50" s="827"/>
      <c r="C50" s="40" t="s">
        <v>14</v>
      </c>
      <c r="D50" s="69"/>
      <c r="E50" s="71"/>
      <c r="F50" s="71"/>
      <c r="G50" s="558">
        <f t="shared" si="9"/>
        <v>0</v>
      </c>
      <c r="H50" s="482"/>
      <c r="I50" s="426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826">
        <v>46310</v>
      </c>
      <c r="B51" s="827"/>
      <c r="C51" s="40" t="s">
        <v>14</v>
      </c>
      <c r="D51" s="69"/>
      <c r="E51" s="71"/>
      <c r="F51" s="71"/>
      <c r="G51" s="558">
        <f t="shared" si="9"/>
        <v>0</v>
      </c>
      <c r="H51" s="482"/>
      <c r="I51" s="426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826">
        <v>46311</v>
      </c>
      <c r="B52" s="827"/>
      <c r="C52" s="40" t="s">
        <v>14</v>
      </c>
      <c r="D52" s="69"/>
      <c r="E52" s="71"/>
      <c r="F52" s="71"/>
      <c r="G52" s="558">
        <f t="shared" ref="G52:G63" si="10">(F52-E52)*1440</f>
        <v>0</v>
      </c>
      <c r="H52" s="482"/>
      <c r="I52" s="426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826">
        <v>46312</v>
      </c>
      <c r="B53" s="827"/>
      <c r="C53" s="40" t="s">
        <v>14</v>
      </c>
      <c r="D53" s="69"/>
      <c r="E53" s="71"/>
      <c r="F53" s="71"/>
      <c r="G53" s="558">
        <f t="shared" si="10"/>
        <v>0</v>
      </c>
      <c r="H53" s="482"/>
      <c r="I53" s="426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826">
        <v>46313</v>
      </c>
      <c r="B54" s="827"/>
      <c r="C54" s="40" t="s">
        <v>14</v>
      </c>
      <c r="D54" s="69"/>
      <c r="E54" s="71"/>
      <c r="F54" s="71"/>
      <c r="G54" s="558">
        <f t="shared" si="10"/>
        <v>0</v>
      </c>
      <c r="H54" s="482"/>
      <c r="I54" s="426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826">
        <v>46314</v>
      </c>
      <c r="B55" s="827"/>
      <c r="C55" s="40" t="s">
        <v>14</v>
      </c>
      <c r="D55" s="69"/>
      <c r="E55" s="71"/>
      <c r="F55" s="71"/>
      <c r="G55" s="558">
        <f t="shared" si="10"/>
        <v>0</v>
      </c>
      <c r="H55" s="482"/>
      <c r="I55" s="426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826">
        <v>46315</v>
      </c>
      <c r="B56" s="827"/>
      <c r="C56" s="40" t="s">
        <v>14</v>
      </c>
      <c r="D56" s="69"/>
      <c r="E56" s="71"/>
      <c r="F56" s="71"/>
      <c r="G56" s="558">
        <f t="shared" si="10"/>
        <v>0</v>
      </c>
      <c r="H56" s="482"/>
      <c r="I56" s="426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826">
        <v>46316</v>
      </c>
      <c r="B57" s="827"/>
      <c r="C57" s="40" t="s">
        <v>14</v>
      </c>
      <c r="D57" s="69"/>
      <c r="E57" s="71"/>
      <c r="F57" s="71"/>
      <c r="G57" s="558">
        <f t="shared" si="10"/>
        <v>0</v>
      </c>
      <c r="H57" s="482"/>
      <c r="I57" s="426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826">
        <v>46317</v>
      </c>
      <c r="B58" s="827"/>
      <c r="C58" s="40" t="s">
        <v>14</v>
      </c>
      <c r="D58" s="69"/>
      <c r="E58" s="71"/>
      <c r="F58" s="71"/>
      <c r="G58" s="558">
        <f t="shared" si="10"/>
        <v>0</v>
      </c>
      <c r="H58" s="482"/>
      <c r="I58" s="426"/>
      <c r="K58" s="66"/>
      <c r="L58" s="73">
        <f>SUM(L5:L57)</f>
        <v>9587</v>
      </c>
      <c r="M58" s="73">
        <f>SUM(M5:M18)</f>
        <v>189.23333333333329</v>
      </c>
      <c r="N58" s="74">
        <f>AVERAGE(N5:N28)</f>
        <v>0.71053743961352656</v>
      </c>
      <c r="O58" s="70">
        <f>SUM(O5:O57)</f>
        <v>159.78333333333333</v>
      </c>
      <c r="P58" s="6"/>
    </row>
    <row r="59" spans="1:19" x14ac:dyDescent="0.3">
      <c r="A59" s="826">
        <v>46318</v>
      </c>
      <c r="B59" s="827"/>
      <c r="C59" s="40" t="s">
        <v>14</v>
      </c>
      <c r="D59" s="69"/>
      <c r="E59" s="71"/>
      <c r="F59" s="71"/>
      <c r="G59" s="558">
        <f t="shared" si="10"/>
        <v>0</v>
      </c>
      <c r="H59" s="482"/>
      <c r="I59" s="426"/>
      <c r="K59" s="66"/>
      <c r="L59" s="75">
        <f>L58/60</f>
        <v>159.78333333333333</v>
      </c>
      <c r="M59" s="47">
        <f>M58/24</f>
        <v>7.8847222222222202</v>
      </c>
      <c r="N59" s="12"/>
      <c r="O59" s="13">
        <f>O58/24</f>
        <v>6.6576388888888891</v>
      </c>
    </row>
    <row r="60" spans="1:19" x14ac:dyDescent="0.3">
      <c r="A60" s="826">
        <v>46319</v>
      </c>
      <c r="B60" s="827"/>
      <c r="C60" s="40" t="s">
        <v>14</v>
      </c>
      <c r="D60" s="69"/>
      <c r="E60" s="71"/>
      <c r="F60" s="71"/>
      <c r="G60" s="558">
        <f t="shared" si="10"/>
        <v>0</v>
      </c>
      <c r="H60" s="482"/>
      <c r="I60" s="426"/>
      <c r="M60" s="47">
        <f>M59+O59</f>
        <v>14.542361111111109</v>
      </c>
    </row>
    <row r="61" spans="1:19" x14ac:dyDescent="0.3">
      <c r="A61" s="826">
        <v>46320</v>
      </c>
      <c r="B61" s="827"/>
      <c r="C61" s="40" t="s">
        <v>14</v>
      </c>
      <c r="D61" s="69"/>
      <c r="E61" s="71"/>
      <c r="F61" s="71"/>
      <c r="G61" s="558">
        <f t="shared" si="10"/>
        <v>0</v>
      </c>
      <c r="H61" s="482"/>
      <c r="I61" s="426"/>
      <c r="N61" s="13">
        <f>'Au Cal Leaching Tank'!K61/238</f>
        <v>7.5655108939075628</v>
      </c>
    </row>
    <row r="62" spans="1:19" x14ac:dyDescent="0.3">
      <c r="A62" s="826">
        <v>46321</v>
      </c>
      <c r="B62" s="827"/>
      <c r="C62" s="40" t="s">
        <v>14</v>
      </c>
      <c r="D62" s="69"/>
      <c r="E62" s="71"/>
      <c r="F62" s="71"/>
      <c r="G62" s="558">
        <f t="shared" si="10"/>
        <v>0</v>
      </c>
      <c r="H62" s="482"/>
      <c r="I62" s="426"/>
      <c r="N62" s="1">
        <f>N61*234</f>
        <v>1770.3295491743697</v>
      </c>
    </row>
    <row r="63" spans="1:19" x14ac:dyDescent="0.3">
      <c r="A63" s="826">
        <v>46322</v>
      </c>
      <c r="B63" s="827"/>
      <c r="C63" s="40" t="s">
        <v>14</v>
      </c>
      <c r="D63" s="69"/>
      <c r="E63" s="71"/>
      <c r="F63" s="71"/>
      <c r="G63" s="558">
        <f t="shared" si="10"/>
        <v>0</v>
      </c>
      <c r="H63" s="482"/>
      <c r="I63" s="426"/>
    </row>
    <row r="66" spans="13:13" x14ac:dyDescent="0.3">
      <c r="M66" s="32"/>
    </row>
  </sheetData>
  <mergeCells count="66"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8:B28"/>
    <mergeCell ref="A5:B5"/>
    <mergeCell ref="A6:B6"/>
    <mergeCell ref="A7:B7"/>
    <mergeCell ref="A8:B8"/>
    <mergeCell ref="A16:B1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</mergeCells>
  <phoneticPr fontId="58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B1" zoomScale="67" zoomScaleNormal="85" workbookViewId="0">
      <pane ySplit="9" topLeftCell="A10" activePane="bottomLeft" state="frozen"/>
      <selection pane="bottomLeft" activeCell="F17" sqref="F1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855" t="s">
        <v>244</v>
      </c>
      <c r="E2" s="856"/>
      <c r="F2" s="856"/>
      <c r="G2" s="856"/>
      <c r="H2" s="856"/>
      <c r="I2" s="856"/>
      <c r="J2" s="856"/>
      <c r="K2" s="856"/>
      <c r="L2" s="856"/>
      <c r="M2" s="856"/>
      <c r="N2" s="856"/>
      <c r="O2" s="856"/>
      <c r="P2" s="856"/>
      <c r="Q2" s="856"/>
      <c r="R2" s="856"/>
      <c r="S2" s="856"/>
      <c r="T2" s="856"/>
      <c r="U2" s="856"/>
      <c r="V2" s="856"/>
      <c r="W2" s="856"/>
      <c r="X2" s="856"/>
      <c r="Y2" s="856"/>
      <c r="Z2" s="856"/>
      <c r="AA2" s="856"/>
      <c r="AB2" s="856"/>
      <c r="AC2" s="857"/>
    </row>
    <row r="3" spans="2:62" ht="24" thickBot="1" x14ac:dyDescent="0.5">
      <c r="D3" s="855" t="s">
        <v>198</v>
      </c>
      <c r="E3" s="856"/>
      <c r="F3" s="856"/>
      <c r="G3" s="856"/>
      <c r="H3" s="856"/>
      <c r="I3" s="856"/>
      <c r="J3" s="856"/>
      <c r="K3" s="856"/>
      <c r="L3" s="856"/>
      <c r="M3" s="856"/>
      <c r="N3" s="856"/>
      <c r="O3" s="856"/>
      <c r="P3" s="856"/>
      <c r="Q3" s="856"/>
      <c r="R3" s="856"/>
      <c r="S3" s="856"/>
      <c r="T3" s="856"/>
      <c r="U3" s="856"/>
      <c r="V3" s="856"/>
      <c r="W3" s="856"/>
      <c r="X3" s="856"/>
      <c r="Y3" s="856"/>
      <c r="Z3" s="856"/>
      <c r="AA3" s="856"/>
      <c r="AB3" s="856"/>
      <c r="AC3" s="857"/>
      <c r="AG3" s="146"/>
    </row>
    <row r="4" spans="2:62" ht="24" thickBot="1" x14ac:dyDescent="0.5">
      <c r="D4" s="859" t="s">
        <v>551</v>
      </c>
      <c r="E4" s="860"/>
      <c r="F4" s="860"/>
      <c r="G4" s="860"/>
      <c r="H4" s="860"/>
      <c r="I4" s="860"/>
      <c r="J4" s="860"/>
      <c r="K4" s="860"/>
      <c r="L4" s="860"/>
      <c r="M4" s="860"/>
      <c r="N4" s="860"/>
      <c r="O4" s="860"/>
      <c r="P4" s="860"/>
      <c r="Q4" s="860"/>
      <c r="R4" s="860"/>
      <c r="S4" s="860"/>
      <c r="T4" s="860"/>
      <c r="U4" s="860"/>
      <c r="V4" s="860"/>
      <c r="W4" s="860"/>
      <c r="X4" s="860"/>
      <c r="Y4" s="860"/>
      <c r="Z4" s="860"/>
      <c r="AA4" s="860"/>
      <c r="AB4" s="860"/>
      <c r="AC4" s="861"/>
      <c r="AE4" s="464"/>
      <c r="AF4" s="2"/>
      <c r="AJ4" s="2"/>
    </row>
    <row r="5" spans="2:62" x14ac:dyDescent="0.3">
      <c r="F5" s="146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843" t="s">
        <v>260</v>
      </c>
      <c r="C7" s="217" t="s">
        <v>334</v>
      </c>
      <c r="D7" s="843" t="s">
        <v>245</v>
      </c>
      <c r="E7" s="843" t="s">
        <v>246</v>
      </c>
      <c r="F7" s="843" t="s">
        <v>247</v>
      </c>
      <c r="G7" s="843" t="s">
        <v>248</v>
      </c>
      <c r="H7" s="843" t="s">
        <v>249</v>
      </c>
      <c r="I7" s="843" t="s">
        <v>145</v>
      </c>
      <c r="J7" s="843" t="s">
        <v>251</v>
      </c>
      <c r="K7" s="850" t="s">
        <v>250</v>
      </c>
      <c r="L7" s="241" t="s">
        <v>250</v>
      </c>
      <c r="M7" s="850" t="s">
        <v>299</v>
      </c>
      <c r="N7" s="241" t="s">
        <v>296</v>
      </c>
      <c r="O7" s="241" t="s">
        <v>460</v>
      </c>
      <c r="P7" s="241" t="s">
        <v>462</v>
      </c>
      <c r="Q7" s="241" t="s">
        <v>465</v>
      </c>
      <c r="R7" s="217" t="s">
        <v>286</v>
      </c>
      <c r="S7" s="843" t="s">
        <v>252</v>
      </c>
      <c r="T7" s="217" t="s">
        <v>308</v>
      </c>
      <c r="U7" s="843" t="s">
        <v>261</v>
      </c>
      <c r="V7" s="843"/>
      <c r="W7" s="843"/>
      <c r="X7" s="744" t="s">
        <v>263</v>
      </c>
      <c r="Y7" s="744"/>
      <c r="Z7" s="744"/>
      <c r="AA7" s="843" t="s">
        <v>270</v>
      </c>
      <c r="AB7" s="843" t="s">
        <v>294</v>
      </c>
      <c r="AC7" s="744" t="s">
        <v>257</v>
      </c>
      <c r="AD7" s="744"/>
      <c r="AE7" s="744"/>
      <c r="AF7" s="744"/>
      <c r="AG7" s="744"/>
      <c r="AH7" s="744"/>
      <c r="AI7" s="744" t="s">
        <v>267</v>
      </c>
      <c r="AJ7" s="744"/>
      <c r="AK7" s="744"/>
      <c r="AL7" s="744" t="s">
        <v>268</v>
      </c>
      <c r="AM7" s="744"/>
      <c r="AN7" s="744"/>
      <c r="AO7" s="140"/>
      <c r="AP7" s="270" t="s">
        <v>340</v>
      </c>
      <c r="AQ7" s="844" t="s">
        <v>274</v>
      </c>
      <c r="AR7" s="845"/>
      <c r="AS7" s="846"/>
      <c r="AT7" s="245"/>
      <c r="AU7" s="850" t="s">
        <v>306</v>
      </c>
      <c r="AV7" s="744" t="s">
        <v>303</v>
      </c>
      <c r="AW7" s="744"/>
      <c r="AX7" s="744"/>
      <c r="AY7" s="140" t="s">
        <v>297</v>
      </c>
      <c r="AZ7" s="744" t="s">
        <v>281</v>
      </c>
      <c r="BA7" s="744"/>
      <c r="BB7" s="744"/>
    </row>
    <row r="8" spans="2:62" x14ac:dyDescent="0.3">
      <c r="B8" s="843"/>
      <c r="C8" s="217" t="s">
        <v>300</v>
      </c>
      <c r="D8" s="843"/>
      <c r="E8" s="843"/>
      <c r="F8" s="843"/>
      <c r="G8" s="843"/>
      <c r="H8" s="843"/>
      <c r="I8" s="843"/>
      <c r="J8" s="843"/>
      <c r="K8" s="858"/>
      <c r="L8" s="242" t="s">
        <v>321</v>
      </c>
      <c r="M8" s="858"/>
      <c r="N8" s="242" t="s">
        <v>55</v>
      </c>
      <c r="O8" s="242" t="s">
        <v>461</v>
      </c>
      <c r="P8" s="242" t="s">
        <v>463</v>
      </c>
      <c r="Q8" s="242" t="s">
        <v>466</v>
      </c>
      <c r="R8" s="217" t="s">
        <v>287</v>
      </c>
      <c r="S8" s="843"/>
      <c r="T8" s="217" t="s">
        <v>185</v>
      </c>
      <c r="U8" s="843" t="s">
        <v>262</v>
      </c>
      <c r="V8" s="843"/>
      <c r="W8" s="843"/>
      <c r="X8" s="744" t="s">
        <v>479</v>
      </c>
      <c r="Y8" s="744"/>
      <c r="Z8" s="744"/>
      <c r="AA8" s="843"/>
      <c r="AB8" s="843"/>
      <c r="AC8" s="744" t="s">
        <v>264</v>
      </c>
      <c r="AD8" s="744"/>
      <c r="AE8" s="744"/>
      <c r="AF8" s="744" t="s">
        <v>265</v>
      </c>
      <c r="AG8" s="744"/>
      <c r="AH8" s="744"/>
      <c r="AI8" s="744" t="s">
        <v>266</v>
      </c>
      <c r="AJ8" s="744"/>
      <c r="AK8" s="744"/>
      <c r="AL8" s="744" t="s">
        <v>258</v>
      </c>
      <c r="AM8" s="744"/>
      <c r="AN8" s="744"/>
      <c r="AO8" s="140" t="s">
        <v>259</v>
      </c>
      <c r="AP8" s="271" t="s">
        <v>298</v>
      </c>
      <c r="AQ8" s="847"/>
      <c r="AR8" s="848"/>
      <c r="AS8" s="849"/>
      <c r="AT8" s="245" t="s">
        <v>305</v>
      </c>
      <c r="AU8" s="851"/>
      <c r="AV8" s="744" t="s">
        <v>262</v>
      </c>
      <c r="AW8" s="744"/>
      <c r="AX8" s="744"/>
      <c r="AY8" s="140" t="s">
        <v>298</v>
      </c>
      <c r="AZ8" s="744" t="s">
        <v>41</v>
      </c>
      <c r="BA8" s="744"/>
      <c r="BB8" s="744"/>
    </row>
    <row r="9" spans="2:62" x14ac:dyDescent="0.3">
      <c r="B9" s="843"/>
      <c r="C9" s="217" t="s">
        <v>301</v>
      </c>
      <c r="D9" s="843"/>
      <c r="E9" s="843"/>
      <c r="F9" s="843"/>
      <c r="G9" s="843"/>
      <c r="H9" s="843"/>
      <c r="I9" s="843"/>
      <c r="J9" s="843"/>
      <c r="K9" s="851"/>
      <c r="L9" s="216" t="s">
        <v>320</v>
      </c>
      <c r="M9" s="851"/>
      <c r="N9" s="216" t="s">
        <v>71</v>
      </c>
      <c r="O9" s="216"/>
      <c r="P9" s="216" t="s">
        <v>464</v>
      </c>
      <c r="Q9" s="216" t="s">
        <v>464</v>
      </c>
      <c r="R9" s="217" t="s">
        <v>288</v>
      </c>
      <c r="S9" s="843"/>
      <c r="T9" s="217" t="s">
        <v>309</v>
      </c>
      <c r="U9" s="217" t="s">
        <v>254</v>
      </c>
      <c r="V9" s="217" t="s">
        <v>255</v>
      </c>
      <c r="W9" s="217" t="s">
        <v>256</v>
      </c>
      <c r="X9" s="140" t="s">
        <v>254</v>
      </c>
      <c r="Y9" s="140" t="s">
        <v>255</v>
      </c>
      <c r="Z9" s="140" t="s">
        <v>256</v>
      </c>
      <c r="AA9" s="843"/>
      <c r="AB9" s="843"/>
      <c r="AC9" s="140" t="s">
        <v>254</v>
      </c>
      <c r="AD9" s="140" t="s">
        <v>255</v>
      </c>
      <c r="AE9" s="140" t="s">
        <v>256</v>
      </c>
      <c r="AF9" s="140" t="s">
        <v>254</v>
      </c>
      <c r="AG9" s="140" t="s">
        <v>255</v>
      </c>
      <c r="AH9" s="140" t="s">
        <v>256</v>
      </c>
      <c r="AI9" s="140" t="s">
        <v>254</v>
      </c>
      <c r="AJ9" s="140" t="s">
        <v>255</v>
      </c>
      <c r="AK9" s="140" t="s">
        <v>256</v>
      </c>
      <c r="AL9" s="140" t="s">
        <v>254</v>
      </c>
      <c r="AM9" s="140" t="s">
        <v>255</v>
      </c>
      <c r="AN9" s="140" t="s">
        <v>256</v>
      </c>
      <c r="AO9" s="140" t="s">
        <v>254</v>
      </c>
      <c r="AP9" s="140" t="s">
        <v>71</v>
      </c>
      <c r="AQ9" s="140" t="s">
        <v>254</v>
      </c>
      <c r="AR9" s="140" t="s">
        <v>255</v>
      </c>
      <c r="AS9" s="140" t="s">
        <v>256</v>
      </c>
      <c r="AT9" s="245"/>
      <c r="AU9" s="140" t="s">
        <v>307</v>
      </c>
      <c r="AV9" s="140" t="s">
        <v>254</v>
      </c>
      <c r="AW9" s="140" t="s">
        <v>255</v>
      </c>
      <c r="AX9" s="140" t="s">
        <v>256</v>
      </c>
      <c r="AY9" s="140" t="s">
        <v>71</v>
      </c>
      <c r="AZ9" s="140" t="s">
        <v>254</v>
      </c>
      <c r="BA9" s="140" t="s">
        <v>255</v>
      </c>
      <c r="BB9" s="140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8">
        <v>0.25</v>
      </c>
      <c r="G10" s="77">
        <v>46269</v>
      </c>
      <c r="H10" s="108">
        <v>0.25</v>
      </c>
      <c r="I10" s="16">
        <v>557</v>
      </c>
      <c r="J10" s="44">
        <v>0.41</v>
      </c>
      <c r="K10" s="43">
        <f t="shared" ref="K10:K15" si="0"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43">
        <f>AVERAGE('Milling and Leach Feed'!T5:T8)</f>
        <v>0.70799999999999996</v>
      </c>
      <c r="V10" s="143">
        <f>AVERAGE('Milling and Leach Feed'!U5:U8)</f>
        <v>0.53525</v>
      </c>
      <c r="W10" s="143">
        <f>AVERAGE('Milling and Leach Feed'!V5:V8)</f>
        <v>7.2224166666666676</v>
      </c>
      <c r="X10" s="143">
        <f>SUM('Milling and Leach Feed'!W5:W8)/'Au Cal Leaching Tank'!K10</f>
        <v>0.65897435796966009</v>
      </c>
      <c r="Y10" s="143">
        <f>SUM('Milling and Leach Feed'!X5:X8)/'Au Cal Leaching Tank'!K10</f>
        <v>0.56643603797540276</v>
      </c>
      <c r="Z10" s="143">
        <f>SUM('Milling and Leach Feed'!Y5:Y8)/'Au Cal Leaching Tank'!K10</f>
        <v>7.4363798214475381</v>
      </c>
      <c r="AA10" s="261">
        <f>U10-X10</f>
        <v>4.9025642030339878E-2</v>
      </c>
      <c r="AB10" s="42">
        <f>((U10-X10)/(U10+X10)/2)</f>
        <v>1.7932173249817464E-2</v>
      </c>
      <c r="AC10" s="143">
        <f>'LT Floculation'!G6</f>
        <v>0.11299999999999999</v>
      </c>
      <c r="AD10" s="143">
        <v>0.17</v>
      </c>
      <c r="AE10" s="143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1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2">((AJ10-AM10)/AJ10)*0.95</f>
        <v>0.66488396010740214</v>
      </c>
      <c r="AS10" s="42">
        <f>((AK10-AN10)/AK10)*0.95</f>
        <v>0.11323531753267131</v>
      </c>
      <c r="AT10" s="250">
        <v>2</v>
      </c>
      <c r="AU10" s="475">
        <v>1</v>
      </c>
      <c r="AV10" s="43">
        <f>AZ10/$AU10</f>
        <v>165.51366399999998</v>
      </c>
      <c r="AW10" s="43">
        <f t="shared" ref="AV10:AX11" si="3">BA10/$AU10</f>
        <v>115.88364543032668</v>
      </c>
      <c r="AX10" s="43">
        <f t="shared" si="3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8">
        <v>0.75</v>
      </c>
      <c r="G11" s="77">
        <v>46270</v>
      </c>
      <c r="H11" s="108">
        <v>0.29166666666666669</v>
      </c>
      <c r="I11" s="16">
        <v>539</v>
      </c>
      <c r="J11" s="44">
        <v>0.43</v>
      </c>
      <c r="K11" s="43">
        <f t="shared" si="0"/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43">
        <f>AVERAGE('Milling and Leach Feed'!T9:T11)</f>
        <v>0.68400000000000005</v>
      </c>
      <c r="V11" s="143">
        <f>AVERAGE('Milling and Leach Feed'!U9:U11)</f>
        <v>0.79333333333333333</v>
      </c>
      <c r="W11" s="143">
        <f>AVERAGE('Milling and Leach Feed'!V9:V11)</f>
        <v>9.051111111111112</v>
      </c>
      <c r="X11" s="143">
        <f>SUM('Milling and Leach Feed'!W9:W11)/'Au Cal Leaching Tank'!$K$11</f>
        <v>0.68534607973810646</v>
      </c>
      <c r="Y11" s="143">
        <f>SUM('Milling and Leach Feed'!X9:X11)/'Au Cal Leaching Tank'!$K$11</f>
        <v>0.79554044142084002</v>
      </c>
      <c r="Z11" s="143">
        <f>SUM('Milling and Leach Feed'!Y9:Y11)/'Au Cal Leaching Tank'!$K$11</f>
        <v>9.1008204118170912</v>
      </c>
      <c r="AA11" s="261">
        <f>X11-U11</f>
        <v>1.3460797381064094E-3</v>
      </c>
      <c r="AB11" s="42">
        <f>((X11-U11)/(X11+U11)/2)</f>
        <v>4.9150457945731766E-4</v>
      </c>
      <c r="AC11" s="143">
        <f>'LT Floculation'!G7</f>
        <v>5.5749999999999994E-2</v>
      </c>
      <c r="AD11" s="143">
        <f>'LT Floculation'!H7</f>
        <v>0.25</v>
      </c>
      <c r="AE11" s="143">
        <f>'LT Floculation'!I7</f>
        <v>8.3524999999999991</v>
      </c>
      <c r="AF11" s="461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4">W11*$K11</f>
        <v>2716.6199487777781</v>
      </c>
      <c r="AL11" s="43">
        <f t="shared" ref="AL11:AN11" si="5">AC11*$K11</f>
        <v>16.732924862499999</v>
      </c>
      <c r="AM11" s="43">
        <f t="shared" si="5"/>
        <v>75.035537500000004</v>
      </c>
      <c r="AN11" s="43">
        <f t="shared" si="5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50">
        <v>3</v>
      </c>
      <c r="AU11" s="475">
        <v>1</v>
      </c>
      <c r="AV11" s="43">
        <f t="shared" si="3"/>
        <v>177.02628308750002</v>
      </c>
      <c r="AW11" s="43">
        <f t="shared" si="3"/>
        <v>163.07723483333334</v>
      </c>
      <c r="AX11" s="43">
        <f t="shared" si="3"/>
        <v>209.68264090277808</v>
      </c>
      <c r="AY11" s="43">
        <v>2</v>
      </c>
      <c r="AZ11" s="43">
        <f t="shared" ref="AZ11:AZ15" si="6">(AI11-AL11-AO11)</f>
        <v>177.02628308750002</v>
      </c>
      <c r="BA11" s="43">
        <f t="shared" ref="BA11" si="7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8">
        <v>0.91666666666666663</v>
      </c>
      <c r="G12" s="77">
        <v>46274</v>
      </c>
      <c r="H12" s="108">
        <v>0.41666666666666669</v>
      </c>
      <c r="I12" s="16">
        <v>647</v>
      </c>
      <c r="J12" s="44">
        <v>0.45</v>
      </c>
      <c r="K12" s="43">
        <f t="shared" si="0"/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43">
        <f>AVERAGE('Milling and Leach Feed'!T16:T18)</f>
        <v>0.93455555555555547</v>
      </c>
      <c r="V12" s="143">
        <f>AVERAGE('Milling and Leach Feed'!U16:U18)</f>
        <v>0.65888888888888886</v>
      </c>
      <c r="W12" s="143">
        <f>AVERAGE('Milling and Leach Feed'!V16:V18)</f>
        <v>9.0688888888888908</v>
      </c>
      <c r="X12" s="143">
        <f>SUM('Milling and Leach Feed'!W16:W19)/'Au Cal Leaching Tank'!$L$12</f>
        <v>0.88874983310558886</v>
      </c>
      <c r="Y12" s="143">
        <f>SUM('Milling and Leach Feed'!X16:X18)/'Au Cal Leaching Tank'!$L$12</f>
        <v>0.38757072090021194</v>
      </c>
      <c r="Z12" s="143">
        <f>SUM('Milling and Leach Feed'!Y16:Y18)/'Au Cal Leaching Tank'!$L$12</f>
        <v>5.6910690955920016</v>
      </c>
      <c r="AA12" s="261">
        <f>U12-X12</f>
        <v>4.5805722449966613E-2</v>
      </c>
      <c r="AB12" s="42">
        <f>((U12-X12)/(U12+X12)/2)</f>
        <v>1.2561176732879022E-2</v>
      </c>
      <c r="AC12" s="143">
        <f>'LT Floculation'!G8</f>
        <v>9.816666666666668E-2</v>
      </c>
      <c r="AD12" s="143">
        <f>'LT Floculation'!H8</f>
        <v>0.23333333333333331</v>
      </c>
      <c r="AE12" s="143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50">
        <v>2</v>
      </c>
      <c r="AU12" s="476">
        <v>1</v>
      </c>
      <c r="AV12" s="43">
        <f>(AZ10+AZ12)/AU12</f>
        <v>428.26667291187505</v>
      </c>
      <c r="AW12" s="43">
        <f>(BA10+BA12)/AU12</f>
        <v>255.0278987478267</v>
      </c>
      <c r="AX12" s="262">
        <f>(AX10+BB12)/AU12</f>
        <v>293.6144642121883</v>
      </c>
      <c r="AY12" s="262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658.28672655631954</v>
      </c>
      <c r="BE12" s="13">
        <f t="shared" ref="BE12:BF12" si="12">BA10+BA12+BA14</f>
        <v>440.73135519227117</v>
      </c>
      <c r="BF12" s="13">
        <f t="shared" si="12"/>
        <v>2717.2522264344107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8">
        <v>0.41666666666666669</v>
      </c>
      <c r="G13" s="77">
        <v>46275</v>
      </c>
      <c r="H13" s="108">
        <v>0.54166666666666663</v>
      </c>
      <c r="I13" s="16">
        <v>647</v>
      </c>
      <c r="J13" s="44">
        <v>0.44</v>
      </c>
      <c r="K13" s="43">
        <f t="shared" si="0"/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3">K13*((1-J13)/J13)</f>
        <v>472.82760000000007</v>
      </c>
      <c r="T13" s="43">
        <f>L13+T12</f>
        <v>1236.36188025</v>
      </c>
      <c r="U13" s="143">
        <f>AVERAGE('Milling and Leach Feed'!T16:T19)</f>
        <v>0.92891666666666661</v>
      </c>
      <c r="V13" s="143">
        <f>AVERAGE('Milling and Leach Feed'!U16:U19)</f>
        <v>0.73249999999999993</v>
      </c>
      <c r="W13" s="143">
        <f>AVERAGE('Milling and Leach Feed'!V16:V19)</f>
        <v>9.1508333333333347</v>
      </c>
      <c r="X13" s="143">
        <f>SUM('Milling and Leach Feed'!W16:W19)/'Au Cal Leaching Tank'!$L$12</f>
        <v>0.88874983310558886</v>
      </c>
      <c r="Y13" s="143">
        <f>SUM('Milling and Leach Feed'!X16:X19)/'Au Cal Leaching Tank'!$L$12</f>
        <v>0.7588265907500884</v>
      </c>
      <c r="Z13" s="143">
        <f>SUM('Milling and Leach Feed'!Y16:Y19)/'Au Cal Leaching Tank'!$L$12</f>
        <v>9.3504057987626368</v>
      </c>
      <c r="AA13" s="261">
        <f>U13-X13</f>
        <v>4.0166833561077753E-2</v>
      </c>
      <c r="AB13" s="42">
        <f>((U13-X13)/(U13+X13)/2)</f>
        <v>1.1049010796565392E-2</v>
      </c>
      <c r="AC13" s="143">
        <f>'LT Floculation'!G9</f>
        <v>0.10916666666666668</v>
      </c>
      <c r="AD13" s="143">
        <f>'LT Floculation'!H9</f>
        <v>0.24</v>
      </c>
      <c r="AE13" s="143">
        <f>'LT Floculation'!I9</f>
        <v>5.1633333333333331</v>
      </c>
      <c r="AF13" s="16">
        <v>3.3000000000000002E-2</v>
      </c>
      <c r="AG13" s="6"/>
      <c r="AH13" s="6"/>
      <c r="AI13" s="43">
        <f t="shared" ref="AI13:AI14" si="14">$L13*U13</f>
        <v>294.40648242500004</v>
      </c>
      <c r="AJ13" s="43">
        <f t="shared" ref="AJ13:AJ14" si="15">$L13*V13</f>
        <v>232.15510725000001</v>
      </c>
      <c r="AK13" s="43">
        <f t="shared" ref="AK13:AK14" si="16">$L13*W13</f>
        <v>2900.2221077500008</v>
      </c>
      <c r="AL13" s="43">
        <f>AC13*$L13</f>
        <v>34.598770250000008</v>
      </c>
      <c r="AM13" s="43">
        <f t="shared" ref="AM13:AN14" si="17">AD13*$L13</f>
        <v>76.064472000000009</v>
      </c>
      <c r="AN13" s="43">
        <f t="shared" si="17"/>
        <v>1636.4425990000002</v>
      </c>
      <c r="AO13" s="43">
        <f>AF13*S13</f>
        <v>15.603310800000003</v>
      </c>
      <c r="AP13" s="43">
        <v>4</v>
      </c>
      <c r="AQ13" s="42">
        <f t="shared" ref="AQ13:AQ59" si="18">IFERROR(((AI13-(AL13+AO13))/AI13),"")</f>
        <v>0.82948038155787218</v>
      </c>
      <c r="AR13" s="42">
        <f t="shared" ref="AR13:AR59" si="19">IFERROR((AJ13-AM13)/AJ13,"")</f>
        <v>0.67235494880546065</v>
      </c>
      <c r="AS13" s="42">
        <f t="shared" ref="AS13:AS59" si="20">IFERROR((AK13-AN13)/AK13,"")</f>
        <v>0.43575266369183141</v>
      </c>
      <c r="AT13" s="250">
        <v>3</v>
      </c>
      <c r="AU13" s="476">
        <v>1</v>
      </c>
      <c r="AV13" s="43">
        <f>(AZ11+AZ13)/AU13</f>
        <v>421.23068446249999</v>
      </c>
      <c r="AW13" s="43">
        <f>(AZ11+AZ13)/AU13</f>
        <v>421.23068446249999</v>
      </c>
      <c r="AX13" s="262">
        <f>(BA11+BA13)/AU13</f>
        <v>319.16787008333336</v>
      </c>
      <c r="AY13" s="262">
        <v>4</v>
      </c>
      <c r="AZ13" s="43">
        <f t="shared" si="6"/>
        <v>244.204401375</v>
      </c>
      <c r="BA13" s="43">
        <f t="shared" si="10"/>
        <v>156.09063524999999</v>
      </c>
      <c r="BB13" s="43">
        <f t="shared" si="11"/>
        <v>1263.7795087500006</v>
      </c>
      <c r="BD13" s="13">
        <f>AZ11+AZ13</f>
        <v>421.23068446249999</v>
      </c>
      <c r="BE13" s="13">
        <f t="shared" ref="BE13:BF13" si="21">BA11+BA13</f>
        <v>319.16787008333336</v>
      </c>
      <c r="BF13" s="13">
        <f t="shared" si="21"/>
        <v>1473.4621496527786</v>
      </c>
      <c r="BJ13" s="15">
        <f>0.4*16000</f>
        <v>6400</v>
      </c>
    </row>
    <row r="14" spans="2:62" s="518" customFormat="1" x14ac:dyDescent="0.3">
      <c r="B14" s="511">
        <v>5</v>
      </c>
      <c r="C14" s="510">
        <f>SUM('Milling and Leach Feed'!P25:P27)</f>
        <v>26.016666666666666</v>
      </c>
      <c r="D14" s="511">
        <v>2</v>
      </c>
      <c r="E14" s="512">
        <v>46276</v>
      </c>
      <c r="F14" s="513">
        <v>0.43263888888888891</v>
      </c>
      <c r="G14" s="512">
        <v>46277</v>
      </c>
      <c r="H14" s="513">
        <v>0.29166666666666669</v>
      </c>
      <c r="I14" s="511">
        <v>647</v>
      </c>
      <c r="J14" s="509">
        <v>0.4</v>
      </c>
      <c r="K14" s="510">
        <f t="shared" si="0"/>
        <v>328.67600000000004</v>
      </c>
      <c r="L14" s="510">
        <f>K14-R12</f>
        <v>266.98580000000004</v>
      </c>
      <c r="M14" s="511">
        <v>1.27</v>
      </c>
      <c r="N14" s="511">
        <v>2</v>
      </c>
      <c r="O14" s="509">
        <v>0.41</v>
      </c>
      <c r="P14" s="511">
        <v>1.28</v>
      </c>
      <c r="Q14" s="510">
        <f>$Q$10</f>
        <v>107.85</v>
      </c>
      <c r="R14" s="510">
        <f>Q14*P14*O14</f>
        <v>56.599679999999999</v>
      </c>
      <c r="S14" s="510">
        <f t="shared" si="13"/>
        <v>493.01400000000001</v>
      </c>
      <c r="T14" s="510">
        <f>T13+L14</f>
        <v>1503.3476802499999</v>
      </c>
      <c r="U14" s="514">
        <f>AVERAGE('LT Ball Mill'!F52:F60)</f>
        <v>0.90955555555555556</v>
      </c>
      <c r="V14" s="514">
        <f>AVERAGE('LT Ball Mill'!G52:G60)</f>
        <v>0.69555555555555548</v>
      </c>
      <c r="W14" s="514">
        <f>AVERAGE('LT Ball Mill'!H52:H60)</f>
        <v>9.0777777777777775</v>
      </c>
      <c r="X14" s="511"/>
      <c r="Y14" s="511"/>
      <c r="Z14" s="511"/>
      <c r="AA14" s="511"/>
      <c r="AB14" s="511"/>
      <c r="AC14" s="514"/>
      <c r="AD14" s="514"/>
      <c r="AE14" s="514"/>
      <c r="AF14" s="511">
        <v>2.5999999999999999E-2</v>
      </c>
      <c r="AG14" s="511"/>
      <c r="AH14" s="511"/>
      <c r="AI14" s="510">
        <f t="shared" si="14"/>
        <v>242.83841764444449</v>
      </c>
      <c r="AJ14" s="510">
        <f t="shared" si="15"/>
        <v>185.70345644444444</v>
      </c>
      <c r="AK14" s="510">
        <f t="shared" si="16"/>
        <v>2423.6377622222226</v>
      </c>
      <c r="AL14" s="510">
        <f>AC14*$L14</f>
        <v>0</v>
      </c>
      <c r="AM14" s="510">
        <f t="shared" si="17"/>
        <v>0</v>
      </c>
      <c r="AN14" s="510">
        <f t="shared" si="17"/>
        <v>0</v>
      </c>
      <c r="AO14" s="510">
        <f>AF14*S14</f>
        <v>12.818363999999999</v>
      </c>
      <c r="AP14" s="510">
        <v>5</v>
      </c>
      <c r="AQ14" s="515">
        <f t="shared" si="18"/>
        <v>0.94721443120763449</v>
      </c>
      <c r="AR14" s="515">
        <f t="shared" si="19"/>
        <v>1</v>
      </c>
      <c r="AS14" s="515">
        <f t="shared" si="20"/>
        <v>1</v>
      </c>
      <c r="AT14" s="516">
        <v>2</v>
      </c>
      <c r="AU14" s="517">
        <v>1.5</v>
      </c>
      <c r="AV14" s="510">
        <f>(AZ10+AZ12+AZ14)/AU14</f>
        <v>438.85781770421301</v>
      </c>
      <c r="AW14" s="510">
        <f>(BA10+BA12+BA14)/AU14</f>
        <v>293.82090346151409</v>
      </c>
      <c r="AX14" s="510">
        <f>(BB10+BB12+BB14)/AU14</f>
        <v>1811.5014842896071</v>
      </c>
      <c r="AY14" s="510">
        <v>5</v>
      </c>
      <c r="AZ14" s="510">
        <f t="shared" si="6"/>
        <v>230.02005364444449</v>
      </c>
      <c r="BA14" s="510">
        <f t="shared" ref="BA14" si="22">(AJ14-AM14)</f>
        <v>185.70345644444444</v>
      </c>
      <c r="BB14" s="510">
        <f t="shared" ref="BB14" si="23">(AK14-AN14)</f>
        <v>2423.6377622222226</v>
      </c>
      <c r="BD14" s="519">
        <f>BD12+BD13</f>
        <v>1079.5174110188195</v>
      </c>
      <c r="BE14" s="519">
        <f t="shared" ref="BE14:BF14" si="24">BE12+BE13</f>
        <v>759.89922527560452</v>
      </c>
      <c r="BF14" s="519">
        <f t="shared" si="24"/>
        <v>4190.7143760871895</v>
      </c>
      <c r="BJ14" s="518">
        <f>BJ13*40%</f>
        <v>2560</v>
      </c>
    </row>
    <row r="15" spans="2:62" x14ac:dyDescent="0.3">
      <c r="B15" s="16">
        <v>6</v>
      </c>
      <c r="C15" s="43">
        <f>SUM('Milling and Leach Feed'!P28:P29)</f>
        <v>8</v>
      </c>
      <c r="D15" s="16">
        <v>3</v>
      </c>
      <c r="E15" s="77">
        <v>46278</v>
      </c>
      <c r="F15" s="108">
        <v>0.33333333333333331</v>
      </c>
      <c r="G15" s="77">
        <v>46278</v>
      </c>
      <c r="H15" s="108">
        <v>0.66666666666666663</v>
      </c>
      <c r="I15" s="16">
        <v>835</v>
      </c>
      <c r="J15" s="44">
        <v>0.35</v>
      </c>
      <c r="K15" s="43">
        <f t="shared" si="0"/>
        <v>353.6225</v>
      </c>
      <c r="L15" s="43">
        <f>K15-R13</f>
        <v>297.24391250000002</v>
      </c>
      <c r="M15" s="16">
        <v>1.21</v>
      </c>
      <c r="N15" s="16">
        <v>3</v>
      </c>
      <c r="O15" s="16"/>
      <c r="P15" s="16"/>
      <c r="Q15" s="43">
        <f>$Q$10</f>
        <v>107.85</v>
      </c>
      <c r="R15" s="16"/>
      <c r="S15" s="43">
        <f t="shared" si="13"/>
        <v>656.72750000000008</v>
      </c>
      <c r="T15" s="43">
        <f>T14+L15</f>
        <v>1800.59159275</v>
      </c>
      <c r="U15" s="143"/>
      <c r="V15" s="143"/>
      <c r="W15" s="143"/>
      <c r="X15" s="6"/>
      <c r="Y15" s="6"/>
      <c r="Z15" s="6"/>
      <c r="AA15" s="6"/>
      <c r="AB15" s="6"/>
      <c r="AC15" s="16"/>
      <c r="AD15" s="143"/>
      <c r="AE15" s="16"/>
      <c r="AF15" s="16">
        <v>1.7999999999999999E-2</v>
      </c>
      <c r="AG15" s="6"/>
      <c r="AH15" s="6"/>
      <c r="AI15" s="43">
        <f t="shared" ref="AI15" si="25">$L15*U15</f>
        <v>0</v>
      </c>
      <c r="AJ15" s="43">
        <f t="shared" ref="AJ15" si="26">$L15*V15</f>
        <v>0</v>
      </c>
      <c r="AK15" s="43">
        <f t="shared" ref="AK15" si="27">$L15*W15</f>
        <v>0</v>
      </c>
      <c r="AL15" s="43">
        <f>AC15*$L15</f>
        <v>0</v>
      </c>
      <c r="AM15" s="43">
        <f t="shared" ref="AM15" si="28">AD15*$L15</f>
        <v>0</v>
      </c>
      <c r="AN15" s="43">
        <f t="shared" ref="AN15" si="29">AE15*$L15</f>
        <v>0</v>
      </c>
      <c r="AO15" s="43">
        <f t="shared" si="9"/>
        <v>11.821095</v>
      </c>
      <c r="AP15" s="43">
        <v>6</v>
      </c>
      <c r="AQ15" s="42" t="str">
        <f t="shared" si="18"/>
        <v/>
      </c>
      <c r="AR15" s="42" t="str">
        <f t="shared" si="19"/>
        <v/>
      </c>
      <c r="AS15" s="42" t="str">
        <f t="shared" si="20"/>
        <v/>
      </c>
      <c r="AT15" s="250">
        <v>3</v>
      </c>
      <c r="AU15" s="737">
        <v>1.5</v>
      </c>
      <c r="AV15" s="43">
        <f>(AZ11+AZ13+AZ15)/AU15</f>
        <v>272.93972630833332</v>
      </c>
      <c r="AW15" s="43">
        <f>(BA11+BA13+BA15)/AU15</f>
        <v>212.77858005555558</v>
      </c>
      <c r="AX15" s="43">
        <f>(BB11+BB13+BB15)/AU15</f>
        <v>982.30809976851913</v>
      </c>
      <c r="AY15" s="43">
        <v>6</v>
      </c>
      <c r="AZ15" s="43">
        <f t="shared" si="6"/>
        <v>-11.821095</v>
      </c>
      <c r="BA15" s="43">
        <f t="shared" ref="BA15" si="30">(AJ15-AM15)</f>
        <v>0</v>
      </c>
      <c r="BB15" s="43">
        <f t="shared" ref="BB15" si="31">(AK15-AN15)</f>
        <v>0</v>
      </c>
      <c r="BJ15" s="15">
        <f>BJ14*0.85</f>
        <v>2176</v>
      </c>
    </row>
    <row r="16" spans="2:62" s="734" customFormat="1" x14ac:dyDescent="0.3">
      <c r="B16" s="511">
        <v>7</v>
      </c>
      <c r="C16" s="730"/>
      <c r="D16" s="511">
        <v>2</v>
      </c>
      <c r="E16" s="511"/>
      <c r="F16" s="730"/>
      <c r="G16" s="730"/>
      <c r="H16" s="730"/>
      <c r="I16" s="730"/>
      <c r="J16" s="730"/>
      <c r="K16" s="730"/>
      <c r="L16" s="730"/>
      <c r="M16" s="730"/>
      <c r="N16" s="511">
        <v>2</v>
      </c>
      <c r="O16" s="730"/>
      <c r="P16" s="730"/>
      <c r="Q16" s="730"/>
      <c r="R16" s="730"/>
      <c r="S16" s="510" t="str">
        <f>IFERROR(K16*((1-J16)/J16),"")</f>
        <v/>
      </c>
      <c r="T16" s="730"/>
      <c r="U16" s="730"/>
      <c r="V16" s="730"/>
      <c r="W16" s="730"/>
      <c r="X16" s="730"/>
      <c r="Y16" s="730"/>
      <c r="Z16" s="730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510">
        <v>7</v>
      </c>
      <c r="AQ16" s="515" t="str">
        <f t="shared" si="18"/>
        <v/>
      </c>
      <c r="AR16" s="515" t="str">
        <f t="shared" si="19"/>
        <v/>
      </c>
      <c r="AS16" s="515" t="str">
        <f t="shared" si="20"/>
        <v/>
      </c>
      <c r="AT16" s="731"/>
      <c r="AU16" s="730"/>
      <c r="AV16" s="730"/>
      <c r="AW16" s="730"/>
      <c r="AX16" s="732"/>
      <c r="AY16" s="733"/>
      <c r="AZ16" s="253"/>
      <c r="BA16" s="253"/>
      <c r="BB16" s="253"/>
      <c r="BJ16" s="518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16">
        <v>3</v>
      </c>
      <c r="O17" s="6"/>
      <c r="P17" s="6"/>
      <c r="Q17" s="6"/>
      <c r="R17" s="6"/>
      <c r="S17" s="43" t="str">
        <f t="shared" ref="S17:S63" si="32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3">
        <v>8</v>
      </c>
      <c r="AQ17" s="42" t="str">
        <f t="shared" si="18"/>
        <v/>
      </c>
      <c r="AR17" s="42" t="str">
        <f t="shared" si="19"/>
        <v/>
      </c>
      <c r="AS17" s="42" t="str">
        <f t="shared" si="20"/>
        <v/>
      </c>
      <c r="AT17" s="246"/>
      <c r="AU17" s="6"/>
      <c r="AV17" s="6"/>
      <c r="AW17" s="6"/>
      <c r="AX17" s="230"/>
      <c r="AY17" s="230"/>
      <c r="AZ17" s="6"/>
      <c r="BA17" s="6"/>
      <c r="BB17" s="6"/>
      <c r="BJ17" s="15">
        <f>BJ15*0.6</f>
        <v>1305.5999999999999</v>
      </c>
    </row>
    <row r="18" spans="2:62" s="734" customFormat="1" x14ac:dyDescent="0.3">
      <c r="B18" s="511">
        <v>9</v>
      </c>
      <c r="C18" s="730"/>
      <c r="D18" s="511">
        <v>2</v>
      </c>
      <c r="E18" s="511"/>
      <c r="F18" s="730"/>
      <c r="G18" s="730"/>
      <c r="H18" s="730"/>
      <c r="I18" s="730"/>
      <c r="J18" s="730"/>
      <c r="K18" s="730"/>
      <c r="L18" s="730"/>
      <c r="M18" s="730"/>
      <c r="N18" s="511">
        <v>2</v>
      </c>
      <c r="O18" s="730"/>
      <c r="P18" s="730"/>
      <c r="Q18" s="730"/>
      <c r="R18" s="730"/>
      <c r="S18" s="510" t="str">
        <f t="shared" si="32"/>
        <v/>
      </c>
      <c r="T18" s="730"/>
      <c r="U18" s="730"/>
      <c r="V18" s="730"/>
      <c r="W18" s="730"/>
      <c r="X18" s="730"/>
      <c r="Y18" s="730"/>
      <c r="Z18" s="730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510">
        <v>9</v>
      </c>
      <c r="AQ18" s="515" t="str">
        <f t="shared" si="18"/>
        <v/>
      </c>
      <c r="AR18" s="515" t="str">
        <f t="shared" si="19"/>
        <v/>
      </c>
      <c r="AS18" s="515" t="str">
        <f t="shared" si="20"/>
        <v/>
      </c>
      <c r="AT18" s="731"/>
      <c r="AU18" s="730"/>
      <c r="AV18" s="730"/>
      <c r="AW18" s="730"/>
      <c r="AX18" s="732"/>
      <c r="AY18" s="732"/>
      <c r="AZ18" s="730"/>
      <c r="BA18" s="730"/>
      <c r="BB18" s="730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16">
        <v>3</v>
      </c>
      <c r="O19" s="6"/>
      <c r="P19" s="6"/>
      <c r="Q19" s="6"/>
      <c r="R19" s="6"/>
      <c r="S19" s="43" t="str">
        <f t="shared" si="32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3">
        <v>10</v>
      </c>
      <c r="AQ19" s="42" t="str">
        <f t="shared" si="18"/>
        <v/>
      </c>
      <c r="AR19" s="42" t="str">
        <f t="shared" si="19"/>
        <v/>
      </c>
      <c r="AS19" s="42" t="str">
        <f t="shared" si="20"/>
        <v/>
      </c>
      <c r="AT19" s="246"/>
      <c r="AU19" s="6"/>
      <c r="AV19" s="6"/>
      <c r="AW19" s="6"/>
      <c r="AX19" s="230"/>
      <c r="AY19" s="230"/>
      <c r="AZ19" s="6"/>
      <c r="BA19" s="6"/>
      <c r="BB19" s="6"/>
    </row>
    <row r="20" spans="2:62" x14ac:dyDescent="0.3">
      <c r="B20" s="511">
        <v>11</v>
      </c>
      <c r="C20" s="6"/>
      <c r="D20" s="511">
        <v>2</v>
      </c>
      <c r="E20" s="16"/>
      <c r="F20" s="6"/>
      <c r="G20" s="6"/>
      <c r="H20" s="6"/>
      <c r="I20" s="6"/>
      <c r="J20" s="6"/>
      <c r="K20" s="6"/>
      <c r="L20" s="6"/>
      <c r="M20" s="6"/>
      <c r="N20" s="16">
        <v>2</v>
      </c>
      <c r="O20" s="6"/>
      <c r="P20" s="6"/>
      <c r="Q20" s="6"/>
      <c r="R20" s="6"/>
      <c r="S20" s="43" t="str">
        <f t="shared" si="32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510">
        <v>11</v>
      </c>
      <c r="AQ20" s="42" t="str">
        <f t="shared" si="18"/>
        <v/>
      </c>
      <c r="AR20" s="42" t="str">
        <f t="shared" si="19"/>
        <v/>
      </c>
      <c r="AS20" s="42" t="str">
        <f t="shared" si="20"/>
        <v/>
      </c>
      <c r="AT20" s="246"/>
      <c r="AU20" s="6"/>
      <c r="AV20" s="6"/>
      <c r="AW20" s="6"/>
      <c r="AX20" s="230"/>
      <c r="AY20" s="230"/>
      <c r="AZ20" s="6"/>
      <c r="BA20" s="6"/>
      <c r="BB20" s="6"/>
      <c r="BE20" s="47">
        <f>AV14*$AU14</f>
        <v>658.28672655631954</v>
      </c>
      <c r="BF20" s="47">
        <f>AW14*$AU14</f>
        <v>440.73135519227117</v>
      </c>
      <c r="BG20" s="47">
        <f>AX14*$AU14</f>
        <v>2717.2522264344107</v>
      </c>
    </row>
    <row r="21" spans="2:62" x14ac:dyDescent="0.3">
      <c r="B21" s="16">
        <v>12</v>
      </c>
      <c r="C21" s="6"/>
      <c r="D21" s="16">
        <v>3</v>
      </c>
      <c r="E21" s="16"/>
      <c r="F21" s="6"/>
      <c r="G21" s="6"/>
      <c r="H21" s="6"/>
      <c r="I21" s="6"/>
      <c r="J21" s="6"/>
      <c r="K21" s="6"/>
      <c r="L21" s="6"/>
      <c r="M21" s="6"/>
      <c r="N21" s="16">
        <v>3</v>
      </c>
      <c r="O21" s="6"/>
      <c r="P21" s="6"/>
      <c r="Q21" s="6"/>
      <c r="R21" s="6"/>
      <c r="S21" s="43" t="str">
        <f t="shared" si="32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3">
        <v>12</v>
      </c>
      <c r="AQ21" s="42" t="str">
        <f t="shared" si="18"/>
        <v/>
      </c>
      <c r="AR21" s="42" t="str">
        <f t="shared" si="19"/>
        <v/>
      </c>
      <c r="AS21" s="42" t="str">
        <f t="shared" si="20"/>
        <v/>
      </c>
      <c r="AT21" s="246"/>
      <c r="AU21" s="6"/>
      <c r="AV21" s="6"/>
      <c r="AW21" s="6"/>
      <c r="AX21" s="230"/>
      <c r="AY21" s="230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3" t="str">
        <f t="shared" si="32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3">
        <v>13</v>
      </c>
      <c r="AQ22" s="42" t="str">
        <f t="shared" si="18"/>
        <v/>
      </c>
      <c r="AR22" s="42" t="str">
        <f t="shared" si="19"/>
        <v/>
      </c>
      <c r="AS22" s="42" t="str">
        <f t="shared" si="20"/>
        <v/>
      </c>
      <c r="AT22" s="246"/>
      <c r="AU22" s="6"/>
      <c r="AV22" s="6"/>
      <c r="AW22" s="6"/>
      <c r="AX22" s="230"/>
      <c r="AY22" s="230"/>
      <c r="AZ22" s="6"/>
      <c r="BA22" s="6"/>
      <c r="BB22" s="6"/>
      <c r="BE22" s="13">
        <f>SUM(BE20:BG20)/AU14</f>
        <v>2544.1802054553341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3" t="str">
        <f t="shared" si="32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3">
        <v>14</v>
      </c>
      <c r="AQ23" s="42" t="str">
        <f t="shared" si="18"/>
        <v/>
      </c>
      <c r="AR23" s="42" t="str">
        <f t="shared" si="19"/>
        <v/>
      </c>
      <c r="AS23" s="42" t="str">
        <f t="shared" si="20"/>
        <v/>
      </c>
      <c r="AT23" s="246"/>
      <c r="AU23" s="6"/>
      <c r="AV23" s="6"/>
      <c r="AW23" s="6"/>
      <c r="AX23" s="230"/>
      <c r="AY23" s="230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3" t="str">
        <f t="shared" si="32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3">
        <v>15</v>
      </c>
      <c r="AQ24" s="42" t="str">
        <f t="shared" si="18"/>
        <v/>
      </c>
      <c r="AR24" s="42" t="str">
        <f t="shared" si="19"/>
        <v/>
      </c>
      <c r="AS24" s="42" t="str">
        <f t="shared" si="20"/>
        <v/>
      </c>
      <c r="AT24" s="246"/>
      <c r="AU24" s="6"/>
      <c r="AV24" s="6"/>
      <c r="AW24" s="6"/>
      <c r="AX24" s="230"/>
      <c r="AY24" s="230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3" t="str">
        <f t="shared" si="32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3">
        <v>16</v>
      </c>
      <c r="AQ25" s="42" t="str">
        <f t="shared" si="18"/>
        <v/>
      </c>
      <c r="AR25" s="42" t="str">
        <f t="shared" si="19"/>
        <v/>
      </c>
      <c r="AS25" s="42" t="str">
        <f t="shared" si="20"/>
        <v/>
      </c>
      <c r="AT25" s="246"/>
      <c r="AU25" s="6"/>
      <c r="AV25" s="6"/>
      <c r="AW25" s="6"/>
      <c r="AX25" s="230"/>
      <c r="AY25" s="230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3" t="str">
        <f t="shared" si="32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510">
        <v>17</v>
      </c>
      <c r="AQ26" s="42" t="str">
        <f t="shared" si="18"/>
        <v/>
      </c>
      <c r="AR26" s="42" t="str">
        <f t="shared" si="19"/>
        <v/>
      </c>
      <c r="AS26" s="42" t="str">
        <f t="shared" si="20"/>
        <v/>
      </c>
      <c r="AT26" s="246"/>
      <c r="AU26" s="6"/>
      <c r="AV26" s="6"/>
      <c r="AW26" s="6"/>
      <c r="AX26" s="230"/>
      <c r="AY26" s="230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3" t="str">
        <f t="shared" si="32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3">
        <v>18</v>
      </c>
      <c r="AQ27" s="42" t="str">
        <f t="shared" si="18"/>
        <v/>
      </c>
      <c r="AR27" s="42" t="str">
        <f t="shared" si="19"/>
        <v/>
      </c>
      <c r="AS27" s="42" t="str">
        <f t="shared" si="20"/>
        <v/>
      </c>
      <c r="AT27" s="246"/>
      <c r="AU27" s="6"/>
      <c r="AV27" s="6"/>
      <c r="AW27" s="6"/>
      <c r="AX27" s="230"/>
      <c r="AY27" s="230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3" t="str">
        <f t="shared" si="32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3">
        <v>19</v>
      </c>
      <c r="AQ28" s="42" t="str">
        <f t="shared" si="18"/>
        <v/>
      </c>
      <c r="AR28" s="42" t="str">
        <f t="shared" si="19"/>
        <v/>
      </c>
      <c r="AS28" s="42" t="str">
        <f t="shared" si="20"/>
        <v/>
      </c>
      <c r="AT28" s="246"/>
      <c r="AU28" s="6"/>
      <c r="AV28" s="6"/>
      <c r="AW28" s="6"/>
      <c r="AX28" s="230"/>
      <c r="AY28" s="230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3" t="str">
        <f t="shared" si="32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3">
        <v>20</v>
      </c>
      <c r="AQ29" s="42" t="str">
        <f t="shared" si="18"/>
        <v/>
      </c>
      <c r="AR29" s="42" t="str">
        <f t="shared" si="19"/>
        <v/>
      </c>
      <c r="AS29" s="42" t="str">
        <f t="shared" si="20"/>
        <v/>
      </c>
      <c r="AT29" s="246"/>
      <c r="AU29" s="6"/>
      <c r="AV29" s="6"/>
      <c r="AW29" s="6"/>
      <c r="AX29" s="230"/>
      <c r="AY29" s="230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3" t="str">
        <f t="shared" si="32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3">
        <v>21</v>
      </c>
      <c r="AQ30" s="42" t="str">
        <f t="shared" si="18"/>
        <v/>
      </c>
      <c r="AR30" s="42" t="str">
        <f t="shared" si="19"/>
        <v/>
      </c>
      <c r="AS30" s="42" t="str">
        <f t="shared" si="20"/>
        <v/>
      </c>
      <c r="AT30" s="246"/>
      <c r="AU30" s="6"/>
      <c r="AV30" s="6"/>
      <c r="AW30" s="6"/>
      <c r="AX30" s="230"/>
      <c r="AY30" s="230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3" t="str">
        <f t="shared" si="32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3">
        <v>22</v>
      </c>
      <c r="AQ31" s="42" t="str">
        <f t="shared" si="18"/>
        <v/>
      </c>
      <c r="AR31" s="42" t="str">
        <f t="shared" si="19"/>
        <v/>
      </c>
      <c r="AS31" s="42" t="str">
        <f t="shared" si="20"/>
        <v/>
      </c>
      <c r="AT31" s="246"/>
      <c r="AU31" s="6"/>
      <c r="AV31" s="6"/>
      <c r="AW31" s="6"/>
      <c r="AX31" s="230"/>
      <c r="AY31" s="230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3" t="str">
        <f t="shared" si="32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510">
        <v>23</v>
      </c>
      <c r="AQ32" s="42" t="str">
        <f t="shared" si="18"/>
        <v/>
      </c>
      <c r="AR32" s="42" t="str">
        <f t="shared" si="19"/>
        <v/>
      </c>
      <c r="AS32" s="42" t="str">
        <f t="shared" si="20"/>
        <v/>
      </c>
      <c r="AT32" s="246"/>
      <c r="AU32" s="6"/>
      <c r="AV32" s="6"/>
      <c r="AW32" s="6"/>
      <c r="AX32" s="230"/>
      <c r="AY32" s="230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3" t="str">
        <f t="shared" si="32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3">
        <v>24</v>
      </c>
      <c r="AQ33" s="42" t="str">
        <f t="shared" si="18"/>
        <v/>
      </c>
      <c r="AR33" s="42" t="str">
        <f t="shared" si="19"/>
        <v/>
      </c>
      <c r="AS33" s="42" t="str">
        <f t="shared" si="20"/>
        <v/>
      </c>
      <c r="AT33" s="246"/>
      <c r="AU33" s="6"/>
      <c r="AV33" s="6"/>
      <c r="AW33" s="6"/>
      <c r="AX33" s="230"/>
      <c r="AY33" s="230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3" t="str">
        <f t="shared" si="32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3">
        <v>25</v>
      </c>
      <c r="AQ34" s="42" t="str">
        <f t="shared" si="18"/>
        <v/>
      </c>
      <c r="AR34" s="42" t="str">
        <f t="shared" si="19"/>
        <v/>
      </c>
      <c r="AS34" s="42" t="str">
        <f t="shared" si="20"/>
        <v/>
      </c>
      <c r="AT34" s="246"/>
      <c r="AU34" s="6"/>
      <c r="AV34" s="6"/>
      <c r="AW34" s="6"/>
      <c r="AX34" s="230"/>
      <c r="AY34" s="230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3" t="str">
        <f t="shared" si="32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3">
        <v>26</v>
      </c>
      <c r="AQ35" s="42" t="str">
        <f t="shared" si="18"/>
        <v/>
      </c>
      <c r="AR35" s="42" t="str">
        <f t="shared" si="19"/>
        <v/>
      </c>
      <c r="AS35" s="42" t="str">
        <f t="shared" si="20"/>
        <v/>
      </c>
      <c r="AT35" s="246"/>
      <c r="AU35" s="6"/>
      <c r="AV35" s="6"/>
      <c r="AW35" s="6"/>
      <c r="AX35" s="230"/>
      <c r="AY35" s="230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3" t="str">
        <f t="shared" si="32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3">
        <v>27</v>
      </c>
      <c r="AQ36" s="42" t="str">
        <f t="shared" si="18"/>
        <v/>
      </c>
      <c r="AR36" s="42" t="str">
        <f t="shared" si="19"/>
        <v/>
      </c>
      <c r="AS36" s="42" t="str">
        <f t="shared" si="20"/>
        <v/>
      </c>
      <c r="AT36" s="246"/>
      <c r="AU36" s="6"/>
      <c r="AV36" s="6"/>
      <c r="AW36" s="6"/>
      <c r="AX36" s="230"/>
      <c r="AY36" s="230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3" t="str">
        <f t="shared" si="32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3">
        <v>28</v>
      </c>
      <c r="AQ37" s="42" t="str">
        <f t="shared" si="18"/>
        <v/>
      </c>
      <c r="AR37" s="42" t="str">
        <f t="shared" si="19"/>
        <v/>
      </c>
      <c r="AS37" s="42" t="str">
        <f t="shared" si="20"/>
        <v/>
      </c>
      <c r="AT37" s="246"/>
      <c r="AU37" s="6"/>
      <c r="AV37" s="6"/>
      <c r="AW37" s="6"/>
      <c r="AX37" s="230"/>
      <c r="AY37" s="230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3" t="str">
        <f t="shared" si="32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510">
        <v>29</v>
      </c>
      <c r="AQ38" s="42" t="str">
        <f t="shared" si="18"/>
        <v/>
      </c>
      <c r="AR38" s="42" t="str">
        <f t="shared" si="19"/>
        <v/>
      </c>
      <c r="AS38" s="42" t="str">
        <f t="shared" si="20"/>
        <v/>
      </c>
      <c r="AT38" s="246"/>
      <c r="AU38" s="6"/>
      <c r="AV38" s="6"/>
      <c r="AW38" s="6"/>
      <c r="AX38" s="230"/>
      <c r="AY38" s="230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3" t="str">
        <f t="shared" si="32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3">
        <v>30</v>
      </c>
      <c r="AQ39" s="42" t="str">
        <f t="shared" si="18"/>
        <v/>
      </c>
      <c r="AR39" s="42" t="str">
        <f t="shared" si="19"/>
        <v/>
      </c>
      <c r="AS39" s="42" t="str">
        <f t="shared" si="20"/>
        <v/>
      </c>
      <c r="AT39" s="246"/>
      <c r="AU39" s="6"/>
      <c r="AV39" s="6"/>
      <c r="AW39" s="6"/>
      <c r="AX39" s="230"/>
      <c r="AY39" s="230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3" t="str">
        <f t="shared" si="32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3">
        <v>31</v>
      </c>
      <c r="AQ40" s="42" t="str">
        <f t="shared" si="18"/>
        <v/>
      </c>
      <c r="AR40" s="42" t="str">
        <f t="shared" si="19"/>
        <v/>
      </c>
      <c r="AS40" s="42" t="str">
        <f t="shared" si="20"/>
        <v/>
      </c>
      <c r="AT40" s="246"/>
      <c r="AU40" s="6"/>
      <c r="AV40" s="6"/>
      <c r="AW40" s="6"/>
      <c r="AX40" s="230"/>
      <c r="AY40" s="230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3" t="str">
        <f t="shared" si="32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3">
        <v>32</v>
      </c>
      <c r="AQ41" s="42" t="str">
        <f t="shared" si="18"/>
        <v/>
      </c>
      <c r="AR41" s="42" t="str">
        <f t="shared" si="19"/>
        <v/>
      </c>
      <c r="AS41" s="42" t="str">
        <f t="shared" si="20"/>
        <v/>
      </c>
      <c r="AT41" s="246"/>
      <c r="AU41" s="6"/>
      <c r="AV41" s="6"/>
      <c r="AW41" s="6"/>
      <c r="AX41" s="230"/>
      <c r="AY41" s="230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3" t="str">
        <f t="shared" si="32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3">
        <v>33</v>
      </c>
      <c r="AQ42" s="42" t="str">
        <f t="shared" si="18"/>
        <v/>
      </c>
      <c r="AR42" s="42" t="str">
        <f t="shared" si="19"/>
        <v/>
      </c>
      <c r="AS42" s="42" t="str">
        <f t="shared" si="20"/>
        <v/>
      </c>
      <c r="AT42" s="246"/>
      <c r="AU42" s="6"/>
      <c r="AV42" s="6"/>
      <c r="AW42" s="6"/>
      <c r="AX42" s="230"/>
      <c r="AY42" s="230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3" t="str">
        <f t="shared" si="32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3">
        <v>34</v>
      </c>
      <c r="AQ43" s="42" t="str">
        <f t="shared" si="18"/>
        <v/>
      </c>
      <c r="AR43" s="42" t="str">
        <f t="shared" si="19"/>
        <v/>
      </c>
      <c r="AS43" s="42" t="str">
        <f t="shared" si="20"/>
        <v/>
      </c>
      <c r="AT43" s="246"/>
      <c r="AU43" s="6"/>
      <c r="AV43" s="6"/>
      <c r="AW43" s="6"/>
      <c r="AX43" s="230"/>
      <c r="AY43" s="230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3" t="str">
        <f t="shared" si="32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510">
        <v>35</v>
      </c>
      <c r="AQ44" s="42" t="str">
        <f t="shared" si="18"/>
        <v/>
      </c>
      <c r="AR44" s="42" t="str">
        <f t="shared" si="19"/>
        <v/>
      </c>
      <c r="AS44" s="42" t="str">
        <f t="shared" si="20"/>
        <v/>
      </c>
      <c r="AT44" s="246"/>
      <c r="AU44" s="6"/>
      <c r="AV44" s="6"/>
      <c r="AW44" s="6"/>
      <c r="AX44" s="230"/>
      <c r="AY44" s="230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3" t="str">
        <f t="shared" si="32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3">
        <v>36</v>
      </c>
      <c r="AQ45" s="42" t="str">
        <f t="shared" si="18"/>
        <v/>
      </c>
      <c r="AR45" s="42" t="str">
        <f t="shared" si="19"/>
        <v/>
      </c>
      <c r="AS45" s="42" t="str">
        <f t="shared" si="20"/>
        <v/>
      </c>
      <c r="AT45" s="246"/>
      <c r="AU45" s="6"/>
      <c r="AV45" s="6"/>
      <c r="AW45" s="6"/>
      <c r="AX45" s="230"/>
      <c r="AY45" s="230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3" t="str">
        <f t="shared" si="32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3">
        <v>37</v>
      </c>
      <c r="AQ46" s="42" t="str">
        <f t="shared" si="18"/>
        <v/>
      </c>
      <c r="AR46" s="42" t="str">
        <f t="shared" si="19"/>
        <v/>
      </c>
      <c r="AS46" s="42" t="str">
        <f t="shared" si="20"/>
        <v/>
      </c>
      <c r="AT46" s="246"/>
      <c r="AU46" s="6"/>
      <c r="AV46" s="6"/>
      <c r="AW46" s="6"/>
      <c r="AX46" s="230"/>
      <c r="AY46" s="230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3" t="str">
        <f t="shared" si="32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3">
        <v>38</v>
      </c>
      <c r="AQ47" s="42" t="str">
        <f t="shared" si="18"/>
        <v/>
      </c>
      <c r="AR47" s="42" t="str">
        <f t="shared" si="19"/>
        <v/>
      </c>
      <c r="AS47" s="42" t="str">
        <f t="shared" si="20"/>
        <v/>
      </c>
      <c r="AT47" s="246"/>
      <c r="AU47" s="6"/>
      <c r="AV47" s="6"/>
      <c r="AW47" s="6"/>
      <c r="AX47" s="230"/>
      <c r="AY47" s="230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3" t="str">
        <f t="shared" si="32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3">
        <v>39</v>
      </c>
      <c r="AQ48" s="42" t="str">
        <f t="shared" si="18"/>
        <v/>
      </c>
      <c r="AR48" s="42" t="str">
        <f t="shared" si="19"/>
        <v/>
      </c>
      <c r="AS48" s="42" t="str">
        <f t="shared" si="20"/>
        <v/>
      </c>
      <c r="AT48" s="246"/>
      <c r="AU48" s="6"/>
      <c r="AV48" s="6"/>
      <c r="AW48" s="6"/>
      <c r="AX48" s="230"/>
      <c r="AY48" s="230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3" t="str">
        <f t="shared" si="32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3">
        <v>40</v>
      </c>
      <c r="AQ49" s="42" t="str">
        <f t="shared" si="18"/>
        <v/>
      </c>
      <c r="AR49" s="42" t="str">
        <f t="shared" si="19"/>
        <v/>
      </c>
      <c r="AS49" s="42" t="str">
        <f t="shared" si="20"/>
        <v/>
      </c>
      <c r="AT49" s="246"/>
      <c r="AU49" s="6"/>
      <c r="AV49" s="6"/>
      <c r="AW49" s="6"/>
      <c r="AX49" s="230"/>
      <c r="AY49" s="230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3" t="str">
        <f t="shared" si="32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510">
        <v>41</v>
      </c>
      <c r="AQ50" s="42" t="str">
        <f t="shared" si="18"/>
        <v/>
      </c>
      <c r="AR50" s="42" t="str">
        <f t="shared" si="19"/>
        <v/>
      </c>
      <c r="AS50" s="42" t="str">
        <f t="shared" si="20"/>
        <v/>
      </c>
      <c r="AT50" s="246"/>
      <c r="AU50" s="6"/>
      <c r="AV50" s="6"/>
      <c r="AW50" s="6"/>
      <c r="AX50" s="230"/>
      <c r="AY50" s="230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3" t="str">
        <f t="shared" si="32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3">
        <v>42</v>
      </c>
      <c r="AQ51" s="42" t="str">
        <f t="shared" si="18"/>
        <v/>
      </c>
      <c r="AR51" s="42" t="str">
        <f t="shared" si="19"/>
        <v/>
      </c>
      <c r="AS51" s="42" t="str">
        <f t="shared" si="20"/>
        <v/>
      </c>
      <c r="AT51" s="246"/>
      <c r="AU51" s="6"/>
      <c r="AV51" s="6"/>
      <c r="AW51" s="6"/>
      <c r="AX51" s="230"/>
      <c r="AY51" s="230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3" t="str">
        <f t="shared" si="32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3">
        <v>43</v>
      </c>
      <c r="AQ52" s="42" t="str">
        <f t="shared" si="18"/>
        <v/>
      </c>
      <c r="AR52" s="42" t="str">
        <f t="shared" si="19"/>
        <v/>
      </c>
      <c r="AS52" s="42" t="str">
        <f t="shared" si="20"/>
        <v/>
      </c>
      <c r="AT52" s="246"/>
      <c r="AU52" s="6"/>
      <c r="AV52" s="6"/>
      <c r="AW52" s="6"/>
      <c r="AX52" s="230"/>
      <c r="AY52" s="230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3" t="str">
        <f t="shared" si="32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3">
        <v>44</v>
      </c>
      <c r="AQ53" s="42" t="str">
        <f t="shared" si="18"/>
        <v/>
      </c>
      <c r="AR53" s="42" t="str">
        <f t="shared" si="19"/>
        <v/>
      </c>
      <c r="AS53" s="42" t="str">
        <f t="shared" si="20"/>
        <v/>
      </c>
      <c r="AT53" s="246"/>
      <c r="AU53" s="6"/>
      <c r="AV53" s="6"/>
      <c r="AW53" s="6"/>
      <c r="AX53" s="230"/>
      <c r="AY53" s="230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3" t="str">
        <f t="shared" si="32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3">
        <v>45</v>
      </c>
      <c r="AQ54" s="42" t="str">
        <f t="shared" si="18"/>
        <v/>
      </c>
      <c r="AR54" s="42" t="str">
        <f t="shared" si="19"/>
        <v/>
      </c>
      <c r="AS54" s="42" t="str">
        <f t="shared" si="20"/>
        <v/>
      </c>
      <c r="AT54" s="246"/>
      <c r="AU54" s="6"/>
      <c r="AV54" s="6"/>
      <c r="AW54" s="6"/>
      <c r="AX54" s="230"/>
      <c r="AY54" s="230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3" t="str">
        <f t="shared" si="32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3">
        <v>46</v>
      </c>
      <c r="AQ55" s="42" t="str">
        <f t="shared" si="18"/>
        <v/>
      </c>
      <c r="AR55" s="42" t="str">
        <f t="shared" si="19"/>
        <v/>
      </c>
      <c r="AS55" s="42" t="str">
        <f t="shared" si="20"/>
        <v/>
      </c>
      <c r="AT55" s="246"/>
      <c r="AU55" s="6"/>
      <c r="AV55" s="6"/>
      <c r="AW55" s="6"/>
      <c r="AX55" s="230"/>
      <c r="AY55" s="230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3" t="str">
        <f t="shared" si="32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510">
        <v>47</v>
      </c>
      <c r="AQ56" s="42" t="str">
        <f t="shared" si="18"/>
        <v/>
      </c>
      <c r="AR56" s="42" t="str">
        <f t="shared" si="19"/>
        <v/>
      </c>
      <c r="AS56" s="42" t="str">
        <f t="shared" si="20"/>
        <v/>
      </c>
      <c r="AT56" s="246"/>
      <c r="AU56" s="6"/>
      <c r="AV56" s="6"/>
      <c r="AW56" s="6"/>
      <c r="AX56" s="230"/>
      <c r="AY56" s="230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3" t="str">
        <f t="shared" si="32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3">
        <v>48</v>
      </c>
      <c r="AQ57" s="42" t="str">
        <f t="shared" si="18"/>
        <v/>
      </c>
      <c r="AR57" s="42" t="str">
        <f t="shared" si="19"/>
        <v/>
      </c>
      <c r="AS57" s="42" t="str">
        <f t="shared" si="20"/>
        <v/>
      </c>
      <c r="AT57" s="246"/>
      <c r="AU57" s="6"/>
      <c r="AV57" s="6"/>
      <c r="AW57" s="6"/>
      <c r="AX57" s="230"/>
      <c r="AY57" s="230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3" t="str">
        <f t="shared" si="32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3">
        <v>49</v>
      </c>
      <c r="AQ58" s="42" t="str">
        <f t="shared" si="18"/>
        <v/>
      </c>
      <c r="AR58" s="42" t="str">
        <f t="shared" si="19"/>
        <v/>
      </c>
      <c r="AS58" s="42" t="str">
        <f t="shared" si="20"/>
        <v/>
      </c>
      <c r="AT58" s="246"/>
      <c r="AU58" s="6"/>
      <c r="AV58" s="6"/>
      <c r="AW58" s="6"/>
      <c r="AX58" s="230"/>
      <c r="AY58" s="230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3" t="str">
        <f t="shared" si="32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3">
        <v>50</v>
      </c>
      <c r="AQ59" s="42" t="str">
        <f t="shared" si="18"/>
        <v/>
      </c>
      <c r="AR59" s="42" t="str">
        <f t="shared" si="19"/>
        <v/>
      </c>
      <c r="AS59" s="42" t="str">
        <f t="shared" si="20"/>
        <v/>
      </c>
      <c r="AT59" s="246"/>
      <c r="AU59" s="6"/>
      <c r="AV59" s="6"/>
      <c r="AW59" s="6"/>
      <c r="AX59" s="230"/>
      <c r="AY59" s="230"/>
      <c r="AZ59" s="6"/>
      <c r="BA59" s="6"/>
      <c r="BB59" s="6"/>
    </row>
    <row r="60" spans="2:57" x14ac:dyDescent="0.3">
      <c r="B60" s="144" t="s">
        <v>269</v>
      </c>
      <c r="C60" s="145">
        <f>AVERAGE(C10:C59)</f>
        <v>31.958333333333332</v>
      </c>
      <c r="D60" s="144"/>
      <c r="E60" s="144"/>
      <c r="F60" s="144"/>
      <c r="G60" s="144"/>
      <c r="H60" s="144"/>
      <c r="I60" s="144"/>
      <c r="J60" s="144"/>
      <c r="K60" s="145">
        <f>AVERAGE(K10:K59)</f>
        <v>337.94469166666664</v>
      </c>
      <c r="L60" s="145"/>
      <c r="M60" s="144"/>
      <c r="N60" s="144"/>
      <c r="O60" s="144"/>
      <c r="P60" s="144"/>
      <c r="Q60" s="144"/>
      <c r="R60" s="144"/>
      <c r="S60" s="145" t="str">
        <f t="shared" si="32"/>
        <v/>
      </c>
      <c r="T60" s="144"/>
      <c r="U60" s="219">
        <f>AVERAGE(U10:U59)</f>
        <v>0.83300555555555555</v>
      </c>
      <c r="V60" s="219">
        <f t="shared" ref="V60:W60" si="33">AVERAGE(V10:V59)</f>
        <v>0.68310555555555552</v>
      </c>
      <c r="W60" s="219">
        <f t="shared" si="33"/>
        <v>8.7142055555555551</v>
      </c>
      <c r="X60" s="219">
        <f>AVERAGE(X10:X59)</f>
        <v>0.78045502597973604</v>
      </c>
      <c r="Y60" s="219">
        <f t="shared" ref="Y60:Z60" si="34">AVERAGE(Y10:Y59)</f>
        <v>0.62709344776163578</v>
      </c>
      <c r="Z60" s="219">
        <f t="shared" si="34"/>
        <v>7.8946687819048167</v>
      </c>
      <c r="AA60" s="144"/>
      <c r="AB60" s="144"/>
      <c r="AC60" s="219">
        <f>AVERAGE(AC10:AC15)</f>
        <v>9.4020833333333345E-2</v>
      </c>
      <c r="AD60" s="219">
        <f t="shared" ref="AD60:AE60" si="35">AVERAGE(AD10:AD15)</f>
        <v>0.22333333333333333</v>
      </c>
      <c r="AE60" s="219">
        <f t="shared" si="35"/>
        <v>7.2572916666666671</v>
      </c>
      <c r="AF60" s="219">
        <f>AVERAGE(AF10:AF15)</f>
        <v>2.4833333333333332E-2</v>
      </c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251">
        <f>AVERAGE(AQ10:AQ15)</f>
        <v>0.85972080147741303</v>
      </c>
      <c r="AR60" s="251">
        <f t="shared" ref="AR60:AS60" si="36">AVERAGE(AR10:AR15)</f>
        <v>0.73359626478454232</v>
      </c>
      <c r="AS60" s="251">
        <f t="shared" si="36"/>
        <v>0.32756248136973554</v>
      </c>
      <c r="AT60" s="247"/>
      <c r="AU60" s="218"/>
      <c r="AV60" s="218"/>
      <c r="AW60" s="218"/>
      <c r="AX60" s="231"/>
      <c r="AY60" s="231"/>
      <c r="AZ60" s="234"/>
      <c r="BA60" s="234"/>
      <c r="BB60" s="234"/>
    </row>
    <row r="61" spans="2:57" x14ac:dyDescent="0.3">
      <c r="B61" s="144" t="s">
        <v>18</v>
      </c>
      <c r="C61" s="145">
        <f>SUM(C10:C59)</f>
        <v>191.75</v>
      </c>
      <c r="D61" s="144"/>
      <c r="E61" s="144"/>
      <c r="F61" s="144"/>
      <c r="G61" s="144"/>
      <c r="H61" s="144"/>
      <c r="I61" s="144"/>
      <c r="J61" s="144"/>
      <c r="K61" s="145">
        <f>SUM(K10:K11)+SUM(L12:L59)</f>
        <v>1800.59159275</v>
      </c>
      <c r="L61" s="145"/>
      <c r="M61" s="144"/>
      <c r="N61" s="144"/>
      <c r="O61" s="144"/>
      <c r="P61" s="144"/>
      <c r="Q61" s="144"/>
      <c r="R61" s="144"/>
      <c r="S61" s="145" t="str">
        <f t="shared" si="32"/>
        <v/>
      </c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218"/>
      <c r="AS61" s="218"/>
      <c r="AT61" s="247"/>
      <c r="AU61" s="218"/>
      <c r="AV61" s="218"/>
      <c r="AW61" s="218"/>
      <c r="AX61" s="231"/>
      <c r="AY61" s="231"/>
      <c r="AZ61" s="237">
        <f>SUM(AZ10:AZ15)</f>
        <v>1067.6963160188195</v>
      </c>
      <c r="BA61" s="237">
        <f t="shared" ref="BA61:BB61" si="37">SUM(BA10:BA15)</f>
        <v>759.89922527560441</v>
      </c>
      <c r="BB61" s="237">
        <f t="shared" si="37"/>
        <v>4190.7143760871895</v>
      </c>
      <c r="BC61" s="47">
        <f>SUM(AZ61:BB61)</f>
        <v>6018.3099173816136</v>
      </c>
      <c r="BD61" s="15"/>
      <c r="BE61" s="15"/>
    </row>
    <row r="62" spans="2:57" x14ac:dyDescent="0.3">
      <c r="K62" s="13"/>
      <c r="S62" s="43" t="str">
        <f t="shared" si="32"/>
        <v/>
      </c>
      <c r="T62" s="1" t="s">
        <v>206</v>
      </c>
      <c r="U62" s="266">
        <f>MEDIAN(U10:U59)</f>
        <v>0.90955555555555556</v>
      </c>
      <c r="V62" s="266">
        <f t="shared" ref="V62:W62" si="38">MEDIAN(V10:V59)</f>
        <v>0.69555555555555548</v>
      </c>
      <c r="W62" s="266">
        <f t="shared" si="38"/>
        <v>9.0688888888888908</v>
      </c>
      <c r="X62" s="266">
        <f>MEDIAN(X10:X59)</f>
        <v>0.78704795642184766</v>
      </c>
      <c r="Y62" s="266">
        <f t="shared" ref="Y62:Z62" si="39">MEDIAN(Y10:Y59)</f>
        <v>0.66263131436274558</v>
      </c>
      <c r="Z62" s="266">
        <f t="shared" si="39"/>
        <v>8.2686001166323138</v>
      </c>
      <c r="AZ62" s="6"/>
      <c r="BA62" s="6"/>
      <c r="BB62" s="6"/>
      <c r="BC62" s="12">
        <f>AZ61/BC61</f>
        <v>0.17740799837096827</v>
      </c>
      <c r="BD62" s="12">
        <f>BA61/BC61</f>
        <v>0.12626455528335667</v>
      </c>
      <c r="BE62" s="12">
        <f>BB61/BC61</f>
        <v>0.69632744634567501</v>
      </c>
    </row>
    <row r="63" spans="2:57" x14ac:dyDescent="0.3">
      <c r="S63" s="43" t="str">
        <f t="shared" si="32"/>
        <v/>
      </c>
      <c r="AI63" s="1">
        <f>(U60*K61)*AQ60</f>
        <v>1289.4976373949464</v>
      </c>
    </row>
    <row r="64" spans="2:57" x14ac:dyDescent="0.3">
      <c r="V64" s="146"/>
    </row>
    <row r="65" spans="9:52" x14ac:dyDescent="0.3">
      <c r="AL65" s="758" t="s">
        <v>315</v>
      </c>
      <c r="AM65" s="758"/>
      <c r="AN65" s="758"/>
      <c r="AO65" s="758"/>
      <c r="AP65" s="272"/>
      <c r="AZ65" s="47">
        <f>BC61/2.7</f>
        <v>2229.003673104301</v>
      </c>
    </row>
    <row r="66" spans="9:52" x14ac:dyDescent="0.3">
      <c r="I66" s="240" t="s">
        <v>310</v>
      </c>
      <c r="J66" s="240" t="s">
        <v>311</v>
      </c>
      <c r="K66" s="240" t="s">
        <v>312</v>
      </c>
      <c r="L66" s="240"/>
      <c r="M66" s="240" t="s">
        <v>313</v>
      </c>
      <c r="N66" s="240"/>
      <c r="O66" s="240"/>
      <c r="P66" s="240"/>
      <c r="Q66" s="240"/>
      <c r="R66" s="240" t="s">
        <v>314</v>
      </c>
      <c r="AL66" s="240"/>
      <c r="AM66" s="240" t="s">
        <v>254</v>
      </c>
      <c r="AN66" s="240" t="s">
        <v>255</v>
      </c>
      <c r="AO66" s="240" t="s">
        <v>256</v>
      </c>
      <c r="AP66" s="272"/>
    </row>
    <row r="67" spans="9:52" x14ac:dyDescent="0.3">
      <c r="I67" s="43">
        <f>SUM(C10:C15)</f>
        <v>191.75</v>
      </c>
      <c r="J67" s="43">
        <f>'Milling Down Time Hours'!L59</f>
        <v>159.78333333333333</v>
      </c>
      <c r="K67" s="43">
        <f>K61/I67</f>
        <v>9.3903081760104303</v>
      </c>
      <c r="L67" s="43"/>
      <c r="M67" s="43">
        <f>(K61/I68)</f>
        <v>225.36739622425034</v>
      </c>
      <c r="N67" s="43"/>
      <c r="O67" s="43"/>
      <c r="P67" s="43"/>
      <c r="Q67" s="43"/>
      <c r="R67" s="43">
        <f>(I67+J67)/24</f>
        <v>14.64722222222222</v>
      </c>
      <c r="AL67" s="16" t="s">
        <v>339</v>
      </c>
      <c r="AM67" s="143">
        <f>AVERAGE(U10:U15)</f>
        <v>0.83300555555555555</v>
      </c>
      <c r="AN67" s="143">
        <f t="shared" ref="AN67:AO67" si="40">AVERAGE(V10:V15)</f>
        <v>0.68310555555555552</v>
      </c>
      <c r="AO67" s="143">
        <f t="shared" si="40"/>
        <v>8.7142055555555551</v>
      </c>
      <c r="AP67" s="266"/>
    </row>
    <row r="68" spans="9:52" x14ac:dyDescent="0.3">
      <c r="I68" s="47">
        <f>I67/24</f>
        <v>7.989583333333333</v>
      </c>
      <c r="AA68" s="744" t="s">
        <v>261</v>
      </c>
      <c r="AB68" s="744"/>
      <c r="AC68" s="744"/>
      <c r="AD68" s="744"/>
      <c r="AE68" s="744"/>
      <c r="AL68" s="16" t="s">
        <v>202</v>
      </c>
      <c r="AM68" s="143">
        <f>MEDIAN(U10:U15)</f>
        <v>0.90955555555555556</v>
      </c>
      <c r="AN68" s="143">
        <f t="shared" ref="AN68:AO68" si="41">MEDIAN(V10:V15)</f>
        <v>0.69555555555555548</v>
      </c>
      <c r="AO68" s="143">
        <f t="shared" si="41"/>
        <v>9.0688888888888908</v>
      </c>
      <c r="AP68" s="266"/>
    </row>
    <row r="69" spans="9:52" x14ac:dyDescent="0.3">
      <c r="AA69" s="843" t="s">
        <v>260</v>
      </c>
      <c r="AB69" s="843" t="s">
        <v>500</v>
      </c>
      <c r="AC69" s="744" t="s">
        <v>262</v>
      </c>
      <c r="AD69" s="744"/>
      <c r="AE69" s="744"/>
      <c r="AL69" s="16" t="s">
        <v>204</v>
      </c>
      <c r="AM69" s="143">
        <f>MIN(U10:U15)</f>
        <v>0.68400000000000005</v>
      </c>
      <c r="AN69" s="143">
        <f t="shared" ref="AN69:AO69" si="42">MIN(V10:V15)</f>
        <v>0.53525</v>
      </c>
      <c r="AO69" s="143">
        <f t="shared" si="42"/>
        <v>7.2224166666666676</v>
      </c>
      <c r="AP69" s="266"/>
    </row>
    <row r="70" spans="9:52" x14ac:dyDescent="0.3">
      <c r="I70" s="154" t="s">
        <v>310</v>
      </c>
      <c r="J70" s="70">
        <f>I67</f>
        <v>191.75</v>
      </c>
      <c r="L70" s="13"/>
      <c r="AA70" s="843"/>
      <c r="AB70" s="843"/>
      <c r="AC70" s="140" t="s">
        <v>254</v>
      </c>
      <c r="AD70" s="140" t="s">
        <v>255</v>
      </c>
      <c r="AE70" s="140" t="s">
        <v>256</v>
      </c>
      <c r="AL70" s="16" t="s">
        <v>203</v>
      </c>
      <c r="AM70" s="143">
        <f>MAX(U10:U15)</f>
        <v>0.93455555555555547</v>
      </c>
      <c r="AN70" s="143">
        <f t="shared" ref="AN70:AO70" si="43">MAX(V10:V15)</f>
        <v>0.79333333333333333</v>
      </c>
      <c r="AO70" s="143">
        <f t="shared" si="43"/>
        <v>9.1508333333333347</v>
      </c>
      <c r="AP70" s="266"/>
    </row>
    <row r="71" spans="9:52" x14ac:dyDescent="0.3">
      <c r="I71" s="154" t="s">
        <v>311</v>
      </c>
      <c r="J71" s="70">
        <f>J67</f>
        <v>159.78333333333333</v>
      </c>
      <c r="AA71" s="16">
        <v>1</v>
      </c>
      <c r="AB71" s="16">
        <v>2</v>
      </c>
      <c r="AC71" s="461">
        <v>0.70799999999999996</v>
      </c>
      <c r="AD71" s="461">
        <v>0.53525</v>
      </c>
      <c r="AE71" s="461">
        <v>7.2224166666666676</v>
      </c>
    </row>
    <row r="72" spans="9:52" x14ac:dyDescent="0.3">
      <c r="I72" s="154" t="s">
        <v>318</v>
      </c>
      <c r="J72" s="70">
        <f>SUM(J70:J71)</f>
        <v>351.5333333333333</v>
      </c>
      <c r="AA72" s="16">
        <v>2</v>
      </c>
      <c r="AB72" s="16">
        <v>3</v>
      </c>
      <c r="AC72" s="461">
        <v>0.68400000000000005</v>
      </c>
      <c r="AD72" s="461">
        <v>0.79333333333333333</v>
      </c>
      <c r="AE72" s="461">
        <v>9.051111111111112</v>
      </c>
    </row>
    <row r="73" spans="9:52" x14ac:dyDescent="0.3">
      <c r="I73" s="154" t="s">
        <v>319</v>
      </c>
      <c r="J73" s="67">
        <f>J70/J72</f>
        <v>0.54546747582021626</v>
      </c>
    </row>
    <row r="74" spans="9:52" x14ac:dyDescent="0.3">
      <c r="I74" s="154" t="s">
        <v>37</v>
      </c>
      <c r="J74" s="244">
        <f>K67</f>
        <v>9.3903081760104303</v>
      </c>
    </row>
    <row r="75" spans="9:52" x14ac:dyDescent="0.3">
      <c r="I75" s="154" t="s">
        <v>82</v>
      </c>
      <c r="J75" s="70">
        <f>M67</f>
        <v>225.36739622425034</v>
      </c>
    </row>
    <row r="76" spans="9:52" x14ac:dyDescent="0.3">
      <c r="I76" s="154" t="s">
        <v>314</v>
      </c>
      <c r="J76" s="70">
        <f>R67</f>
        <v>14.64722222222222</v>
      </c>
    </row>
    <row r="77" spans="9:52" x14ac:dyDescent="0.3">
      <c r="I77" s="154" t="s">
        <v>338</v>
      </c>
      <c r="J77" s="67">
        <f>J67/(I67+J67)</f>
        <v>0.45453252417978385</v>
      </c>
    </row>
    <row r="92" spans="9:20" x14ac:dyDescent="0.3">
      <c r="I92" s="140" t="s">
        <v>260</v>
      </c>
      <c r="J92" s="140" t="s">
        <v>323</v>
      </c>
      <c r="K92" s="140" t="s">
        <v>324</v>
      </c>
      <c r="L92" s="744" t="s">
        <v>330</v>
      </c>
      <c r="M92" s="744"/>
      <c r="N92" s="744"/>
      <c r="O92" s="471"/>
      <c r="P92" s="471"/>
      <c r="Q92" s="471"/>
      <c r="R92" s="852" t="s">
        <v>333</v>
      </c>
      <c r="S92" s="853"/>
      <c r="T92" s="854"/>
    </row>
    <row r="93" spans="9:20" x14ac:dyDescent="0.3">
      <c r="I93" s="140" t="s">
        <v>329</v>
      </c>
      <c r="J93" s="140" t="s">
        <v>25</v>
      </c>
      <c r="K93" s="140"/>
      <c r="L93" s="140" t="s">
        <v>254</v>
      </c>
      <c r="M93" s="140" t="s">
        <v>255</v>
      </c>
      <c r="N93" s="140" t="s">
        <v>256</v>
      </c>
      <c r="O93" s="140"/>
      <c r="P93" s="140"/>
      <c r="Q93" s="140"/>
      <c r="R93" s="140" t="s">
        <v>254</v>
      </c>
      <c r="S93" s="140" t="s">
        <v>255</v>
      </c>
      <c r="T93" s="140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43">
        <f>U10</f>
        <v>0.70799999999999996</v>
      </c>
      <c r="M94" s="143">
        <f t="shared" ref="M94:N98" si="44">V10</f>
        <v>0.53525</v>
      </c>
      <c r="N94" s="143">
        <f t="shared" si="44"/>
        <v>7.2224166666666676</v>
      </c>
      <c r="O94" s="143"/>
      <c r="P94" s="143"/>
      <c r="Q94" s="143"/>
      <c r="R94" s="143">
        <f>AC10</f>
        <v>0.11299999999999999</v>
      </c>
      <c r="S94" s="143">
        <f t="shared" ref="S94:T98" si="45">AD10</f>
        <v>0.17</v>
      </c>
      <c r="T94" s="143">
        <f t="shared" si="45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43">
        <f t="shared" ref="L95:L98" si="46">U11</f>
        <v>0.68400000000000005</v>
      </c>
      <c r="M95" s="143">
        <f t="shared" si="44"/>
        <v>0.79333333333333333</v>
      </c>
      <c r="N95" s="143">
        <f t="shared" si="44"/>
        <v>9.051111111111112</v>
      </c>
      <c r="O95" s="143"/>
      <c r="P95" s="143"/>
      <c r="Q95" s="143"/>
      <c r="R95" s="143">
        <f t="shared" ref="R95:R98" si="47">AC11</f>
        <v>5.5749999999999994E-2</v>
      </c>
      <c r="S95" s="143">
        <f t="shared" si="45"/>
        <v>0.25</v>
      </c>
      <c r="T95" s="143">
        <f t="shared" si="45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43">
        <f t="shared" si="46"/>
        <v>0.93455555555555547</v>
      </c>
      <c r="M96" s="143">
        <f t="shared" si="44"/>
        <v>0.65888888888888886</v>
      </c>
      <c r="N96" s="143">
        <f t="shared" si="44"/>
        <v>9.0688888888888908</v>
      </c>
      <c r="O96" s="143"/>
      <c r="P96" s="143"/>
      <c r="Q96" s="143"/>
      <c r="R96" s="143">
        <f t="shared" si="47"/>
        <v>9.816666666666668E-2</v>
      </c>
      <c r="S96" s="143">
        <f t="shared" si="45"/>
        <v>0.23333333333333331</v>
      </c>
      <c r="T96" s="143">
        <f t="shared" si="45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8">L13</f>
        <v>316.93530000000004</v>
      </c>
      <c r="L97" s="143">
        <f t="shared" si="46"/>
        <v>0.92891666666666661</v>
      </c>
      <c r="M97" s="143">
        <f t="shared" si="44"/>
        <v>0.73249999999999993</v>
      </c>
      <c r="N97" s="143">
        <f t="shared" si="44"/>
        <v>9.1508333333333347</v>
      </c>
      <c r="O97" s="143"/>
      <c r="P97" s="143"/>
      <c r="Q97" s="143"/>
      <c r="R97" s="143">
        <f t="shared" si="47"/>
        <v>0.10916666666666668</v>
      </c>
      <c r="S97" s="143">
        <f t="shared" si="45"/>
        <v>0.24</v>
      </c>
      <c r="T97" s="143">
        <f t="shared" si="45"/>
        <v>5.1633333333333331</v>
      </c>
    </row>
    <row r="98" spans="9:20" x14ac:dyDescent="0.3">
      <c r="I98" s="16">
        <v>5</v>
      </c>
      <c r="J98" s="16">
        <v>2</v>
      </c>
      <c r="K98" s="43">
        <f t="shared" si="48"/>
        <v>266.98580000000004</v>
      </c>
      <c r="L98" s="143">
        <f t="shared" si="46"/>
        <v>0.90955555555555556</v>
      </c>
      <c r="M98" s="143">
        <f t="shared" si="44"/>
        <v>0.69555555555555548</v>
      </c>
      <c r="N98" s="143">
        <f t="shared" si="44"/>
        <v>9.0777777777777775</v>
      </c>
      <c r="O98" s="143"/>
      <c r="P98" s="143"/>
      <c r="Q98" s="143"/>
      <c r="R98" s="143">
        <f t="shared" si="47"/>
        <v>0</v>
      </c>
      <c r="S98" s="143">
        <f t="shared" si="45"/>
        <v>0</v>
      </c>
      <c r="T98" s="143">
        <f t="shared" si="45"/>
        <v>0</v>
      </c>
    </row>
    <row r="99" spans="9:20" x14ac:dyDescent="0.3">
      <c r="I99" s="17" t="s">
        <v>331</v>
      </c>
      <c r="J99" s="17"/>
      <c r="K99" s="253"/>
      <c r="L99" s="263">
        <f>AVERAGE(L94:L98)</f>
        <v>0.83300555555555555</v>
      </c>
      <c r="M99" s="263">
        <f t="shared" ref="M99:N99" si="49">AVERAGE(M94:M98)</f>
        <v>0.68310555555555552</v>
      </c>
      <c r="N99" s="263">
        <f t="shared" si="49"/>
        <v>8.7142055555555551</v>
      </c>
      <c r="O99" s="263"/>
      <c r="P99" s="263"/>
      <c r="Q99" s="263"/>
      <c r="R99" s="263">
        <f>AVERAGE(R94:R98)</f>
        <v>7.5216666666666682E-2</v>
      </c>
      <c r="S99" s="263">
        <f t="shared" ref="S99:T99" si="50">AVERAGE(S94:S98)</f>
        <v>0.17866666666666667</v>
      </c>
      <c r="T99" s="263">
        <f t="shared" si="50"/>
        <v>5.8058333333333341</v>
      </c>
    </row>
    <row r="100" spans="9:20" x14ac:dyDescent="0.3">
      <c r="I100" s="17" t="s">
        <v>332</v>
      </c>
      <c r="J100" s="17"/>
      <c r="K100" s="253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zoomScale="79" zoomScaleNormal="80" workbookViewId="0">
      <pane ySplit="4" topLeftCell="A23" activePane="bottomLeft" state="frozen"/>
      <selection pane="bottomLeft" activeCell="H29" sqref="H29"/>
    </sheetView>
  </sheetViews>
  <sheetFormatPr defaultColWidth="8.77734375" defaultRowHeight="14.4" x14ac:dyDescent="0.3"/>
  <cols>
    <col min="1" max="1" width="8.77734375" style="648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2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5" t="s">
        <v>168</v>
      </c>
      <c r="C2" s="135" t="s">
        <v>169</v>
      </c>
      <c r="D2" s="570"/>
      <c r="E2" s="570"/>
      <c r="H2" s="812" t="s">
        <v>33</v>
      </c>
      <c r="I2" s="812"/>
      <c r="J2" s="812"/>
      <c r="K2" s="812"/>
      <c r="O2" s="1">
        <f>720+180</f>
        <v>900</v>
      </c>
    </row>
    <row r="4" spans="1:33" ht="29.4" thickBot="1" x14ac:dyDescent="0.35">
      <c r="A4" s="649" t="s">
        <v>558</v>
      </c>
      <c r="B4" s="820" t="s">
        <v>1</v>
      </c>
      <c r="C4" s="822"/>
      <c r="D4" s="25" t="s">
        <v>2</v>
      </c>
      <c r="E4" s="25" t="s">
        <v>177</v>
      </c>
      <c r="F4" s="26" t="s">
        <v>27</v>
      </c>
      <c r="G4" s="26" t="s">
        <v>34</v>
      </c>
      <c r="H4" s="463" t="s">
        <v>282</v>
      </c>
      <c r="I4" s="463" t="s">
        <v>451</v>
      </c>
      <c r="J4" s="463" t="s">
        <v>456</v>
      </c>
      <c r="K4" s="26" t="s">
        <v>35</v>
      </c>
      <c r="L4" s="463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63" t="s">
        <v>156</v>
      </c>
      <c r="W4" s="18" t="s">
        <v>220</v>
      </c>
      <c r="X4" s="18" t="s">
        <v>221</v>
      </c>
      <c r="Y4" s="18" t="s">
        <v>222</v>
      </c>
      <c r="Z4" s="383" t="s">
        <v>525</v>
      </c>
    </row>
    <row r="5" spans="1:33" ht="16.2" thickBot="1" x14ac:dyDescent="0.35">
      <c r="A5" s="913">
        <v>1</v>
      </c>
      <c r="B5" s="881">
        <v>46265</v>
      </c>
      <c r="C5" s="882"/>
      <c r="D5" s="579" t="s">
        <v>453</v>
      </c>
      <c r="E5" s="579" t="s">
        <v>452</v>
      </c>
      <c r="F5" s="622" t="s">
        <v>13</v>
      </c>
      <c r="G5" s="580">
        <v>0.2271</v>
      </c>
      <c r="H5" s="581">
        <v>116.84</v>
      </c>
      <c r="I5" s="521">
        <f t="shared" ref="I5:I11" si="0">H5/((720-R5)/60)</f>
        <v>11.198722044728434</v>
      </c>
      <c r="J5" s="521">
        <f>H5</f>
        <v>116.84</v>
      </c>
      <c r="K5" s="582">
        <v>1.135</v>
      </c>
      <c r="L5" s="520">
        <v>0.68</v>
      </c>
      <c r="M5" s="521">
        <f>H5*K5*G5</f>
        <v>30.116503140000003</v>
      </c>
      <c r="N5" s="874">
        <f>SUM(M5:M6)</f>
        <v>74.069659139999999</v>
      </c>
      <c r="O5" s="521">
        <f t="shared" ref="O5:O11" si="1">M5/((720-R5)/60)</f>
        <v>2.8865657961661344</v>
      </c>
      <c r="P5" s="887">
        <f>'Milling Down Time Hours'!M5</f>
        <v>22.433333333333334</v>
      </c>
      <c r="Q5" s="544"/>
      <c r="R5" s="526">
        <f>'Milling Down Time Hours'!L5</f>
        <v>94</v>
      </c>
      <c r="S5" s="874">
        <f>SUM(M5:M8)</f>
        <v>292.31360000000001</v>
      </c>
      <c r="T5" s="528">
        <f>AVERAGE('LT Ball Mill'!F4:F6)</f>
        <v>0.96699999999999997</v>
      </c>
      <c r="U5" s="528">
        <f>AVERAGE('LT Ball Mill'!G4:G6)</f>
        <v>0.41</v>
      </c>
      <c r="V5" s="528">
        <f>AVERAGE('LT Ball Mill'!H4:H6)</f>
        <v>6.1096666666666666</v>
      </c>
      <c r="W5" s="529">
        <f t="shared" ref="W5:W45" si="2">T5*M5</f>
        <v>29.122658536380001</v>
      </c>
      <c r="X5" s="615">
        <f t="shared" ref="X5:X45" si="3">M5*U5</f>
        <v>12.347766287400001</v>
      </c>
      <c r="Y5" s="615">
        <f t="shared" ref="Y5:Y45" si="4">M5*V5</f>
        <v>184.00179535102001</v>
      </c>
      <c r="Z5" s="496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913"/>
      <c r="B6" s="883"/>
      <c r="C6" s="884"/>
      <c r="D6" s="583" t="s">
        <v>454</v>
      </c>
      <c r="E6" s="579" t="s">
        <v>452</v>
      </c>
      <c r="F6" s="623" t="s">
        <v>14</v>
      </c>
      <c r="G6" s="567">
        <v>0.36</v>
      </c>
      <c r="H6" s="584">
        <f>J6-H5</f>
        <v>98.859999999999985</v>
      </c>
      <c r="I6" s="521">
        <f t="shared" si="0"/>
        <v>8.2383333333333315</v>
      </c>
      <c r="J6" s="566">
        <v>215.7</v>
      </c>
      <c r="K6" s="585">
        <v>1.2350000000000001</v>
      </c>
      <c r="L6" s="523">
        <v>0.68</v>
      </c>
      <c r="M6" s="521">
        <f>H6*K6*G6</f>
        <v>43.953155999999993</v>
      </c>
      <c r="N6" s="875"/>
      <c r="O6" s="521">
        <f t="shared" si="1"/>
        <v>3.6627629999999995</v>
      </c>
      <c r="P6" s="888"/>
      <c r="Q6" s="586"/>
      <c r="R6" s="526">
        <v>0</v>
      </c>
      <c r="S6" s="916"/>
      <c r="T6" s="530">
        <f>AVERAGE('LT Ball Mill'!F7:F9)</f>
        <v>0.60899999999999999</v>
      </c>
      <c r="U6" s="530">
        <f>AVERAGE('LT Ball Mill'!G7:G9)</f>
        <v>0.52833333333333343</v>
      </c>
      <c r="V6" s="530">
        <f>AVERAGE('LT Ball Mill'!H7:H9)</f>
        <v>7.623333333333334</v>
      </c>
      <c r="W6" s="529">
        <f t="shared" si="2"/>
        <v>26.767472003999995</v>
      </c>
      <c r="X6" s="615">
        <f t="shared" si="3"/>
        <v>23.22191742</v>
      </c>
      <c r="Y6" s="615">
        <f t="shared" si="4"/>
        <v>335.06955923999999</v>
      </c>
      <c r="Z6" s="168">
        <f>W6*$AF$6</f>
        <v>66918680.00999999</v>
      </c>
      <c r="AA6" s="28"/>
      <c r="AB6" s="29"/>
      <c r="AC6" s="29"/>
      <c r="AD6" s="29"/>
      <c r="AF6" s="168">
        <v>2500000</v>
      </c>
      <c r="AG6" s="168"/>
    </row>
    <row r="7" spans="1:33" s="468" customFormat="1" ht="16.2" thickBot="1" x14ac:dyDescent="0.35">
      <c r="A7" s="913"/>
      <c r="B7" s="881">
        <v>46266</v>
      </c>
      <c r="C7" s="882"/>
      <c r="D7" s="579" t="s">
        <v>453</v>
      </c>
      <c r="E7" s="579" t="s">
        <v>452</v>
      </c>
      <c r="F7" s="622" t="s">
        <v>13</v>
      </c>
      <c r="G7" s="520">
        <v>0.38790000000000002</v>
      </c>
      <c r="H7" s="587">
        <f>J7-SUM(H5:H6)</f>
        <v>143.30000000000001</v>
      </c>
      <c r="I7" s="521">
        <f t="shared" si="0"/>
        <v>12.371223021582734</v>
      </c>
      <c r="J7" s="521">
        <v>359</v>
      </c>
      <c r="K7" s="522">
        <v>1.2549999999999999</v>
      </c>
      <c r="L7" s="520">
        <v>0.7</v>
      </c>
      <c r="M7" s="521">
        <f>(K7*J7*G7)-(SUM(M5:M6))</f>
        <v>100.69674635999999</v>
      </c>
      <c r="N7" s="874">
        <f>SUM(M7:M8)</f>
        <v>218.24394086000001</v>
      </c>
      <c r="O7" s="521">
        <f t="shared" si="1"/>
        <v>8.6932442900719415</v>
      </c>
      <c r="P7" s="885">
        <f>'Milling Down Time Hours'!M6</f>
        <v>22.9</v>
      </c>
      <c r="Q7" s="566"/>
      <c r="R7" s="526">
        <v>25</v>
      </c>
      <c r="S7" s="916"/>
      <c r="T7" s="528">
        <f>AVERAGE('LT Ball Mill'!F10:F12)</f>
        <v>0.64699999999999991</v>
      </c>
      <c r="U7" s="528">
        <f>AVERAGE('LT Ball Mill'!G10:G12)</f>
        <v>0.67433333333333334</v>
      </c>
      <c r="V7" s="528">
        <f>AVERAGE('LT Ball Mill'!H10:H12)</f>
        <v>7.5333333333333341</v>
      </c>
      <c r="W7" s="529">
        <f t="shared" si="2"/>
        <v>65.150794894919983</v>
      </c>
      <c r="X7" s="615">
        <f t="shared" si="3"/>
        <v>67.903172628759989</v>
      </c>
      <c r="Y7" s="615">
        <f t="shared" si="4"/>
        <v>758.58215591199996</v>
      </c>
      <c r="Z7" s="168">
        <f>W7*$AF$6</f>
        <v>162876987.23729995</v>
      </c>
      <c r="AA7" s="467"/>
      <c r="AB7" s="467"/>
      <c r="AC7" s="467"/>
      <c r="AD7" s="467"/>
    </row>
    <row r="8" spans="1:33" s="468" customFormat="1" ht="16.2" thickBot="1" x14ac:dyDescent="0.35">
      <c r="A8" s="913"/>
      <c r="B8" s="883"/>
      <c r="C8" s="884"/>
      <c r="D8" s="572" t="s">
        <v>454</v>
      </c>
      <c r="E8" s="571" t="s">
        <v>455</v>
      </c>
      <c r="F8" s="623" t="s">
        <v>14</v>
      </c>
      <c r="G8" s="523">
        <v>0.41</v>
      </c>
      <c r="H8" s="588">
        <f>J8-SUM(H5:H7)</f>
        <v>198</v>
      </c>
      <c r="I8" s="521">
        <f t="shared" si="0"/>
        <v>17.496318114874818</v>
      </c>
      <c r="J8" s="566">
        <v>557</v>
      </c>
      <c r="K8" s="524">
        <v>1.28</v>
      </c>
      <c r="L8" s="523">
        <v>0.7</v>
      </c>
      <c r="M8" s="521">
        <f>(K8*J8*G8)-(SUM(M5:M7))</f>
        <v>117.54719450000002</v>
      </c>
      <c r="N8" s="875"/>
      <c r="O8" s="521">
        <f t="shared" si="1"/>
        <v>10.387086406480119</v>
      </c>
      <c r="P8" s="886"/>
      <c r="Q8" s="566"/>
      <c r="R8" s="526">
        <v>41</v>
      </c>
      <c r="S8" s="875"/>
      <c r="T8" s="530">
        <f>AVERAGE('LT Ball Mill'!F13:F15)</f>
        <v>0.60899999999999999</v>
      </c>
      <c r="U8" s="530">
        <f>AVERAGE('LT Ball Mill'!G13:G15)</f>
        <v>0.52833333333333343</v>
      </c>
      <c r="V8" s="530">
        <f>AVERAGE('LT Ball Mill'!H13:H15)</f>
        <v>7.623333333333334</v>
      </c>
      <c r="W8" s="529">
        <f t="shared" si="2"/>
        <v>71.586241450500012</v>
      </c>
      <c r="X8" s="615">
        <f t="shared" si="3"/>
        <v>62.104101094166687</v>
      </c>
      <c r="Y8" s="615">
        <f t="shared" si="4"/>
        <v>896.10144607166683</v>
      </c>
      <c r="Z8" s="168">
        <f>W8*$AF$6</f>
        <v>178965603.62625003</v>
      </c>
      <c r="AA8" s="467"/>
      <c r="AB8" s="467" t="s">
        <v>40</v>
      </c>
      <c r="AC8" s="469">
        <v>1210</v>
      </c>
      <c r="AD8" s="467" t="s">
        <v>41</v>
      </c>
      <c r="AF8" s="484"/>
    </row>
    <row r="9" spans="1:33" ht="16.2" thickBot="1" x14ac:dyDescent="0.35">
      <c r="A9" s="914">
        <v>2</v>
      </c>
      <c r="B9" s="866">
        <v>46267</v>
      </c>
      <c r="C9" s="867"/>
      <c r="D9" s="575" t="s">
        <v>453</v>
      </c>
      <c r="E9" s="575" t="s">
        <v>458</v>
      </c>
      <c r="F9" s="624" t="s">
        <v>13</v>
      </c>
      <c r="G9" s="540">
        <v>0.39</v>
      </c>
      <c r="H9" s="541">
        <f>J9</f>
        <v>215</v>
      </c>
      <c r="I9" s="538">
        <f t="shared" si="0"/>
        <v>21.5</v>
      </c>
      <c r="J9" s="541">
        <v>215</v>
      </c>
      <c r="K9" s="541">
        <v>1.26</v>
      </c>
      <c r="L9" s="540">
        <v>0.72</v>
      </c>
      <c r="M9" s="537">
        <f>H9*K9*G9</f>
        <v>105.651</v>
      </c>
      <c r="N9" s="872">
        <f>SUM(M9:M10)</f>
        <v>209.804</v>
      </c>
      <c r="O9" s="538">
        <f t="shared" si="1"/>
        <v>10.565099999999999</v>
      </c>
      <c r="P9" s="877">
        <f>'Milling Down Time Hours'!M7</f>
        <v>22</v>
      </c>
      <c r="Q9" s="553"/>
      <c r="R9" s="531">
        <f>'Milling Down Time Hours'!L7</f>
        <v>120.00000000000001</v>
      </c>
      <c r="S9" s="872">
        <f>SUM(M9:M11)</f>
        <v>300.14215000000002</v>
      </c>
      <c r="T9" s="589">
        <f>AVERAGE('LT Ball Mill'!F16:F18)</f>
        <v>0.7446666666666667</v>
      </c>
      <c r="U9" s="589">
        <f>AVERAGE('LT Ball Mill'!G16:G18)</f>
        <v>0.59</v>
      </c>
      <c r="V9" s="589">
        <f>AVERAGE('LT Ball Mill'!H16:H18)</f>
        <v>9.8400000000000016</v>
      </c>
      <c r="W9" s="532">
        <f t="shared" si="2"/>
        <v>78.674778000000003</v>
      </c>
      <c r="X9" s="546">
        <f t="shared" si="3"/>
        <v>62.334089999999996</v>
      </c>
      <c r="Y9" s="546">
        <f t="shared" si="4"/>
        <v>1039.6058400000002</v>
      </c>
      <c r="Z9" s="168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914"/>
      <c r="B10" s="889"/>
      <c r="C10" s="890"/>
      <c r="D10" s="577" t="s">
        <v>457</v>
      </c>
      <c r="E10" s="578"/>
      <c r="F10" s="625" t="s">
        <v>14</v>
      </c>
      <c r="G10" s="536">
        <v>0.4</v>
      </c>
      <c r="H10" s="539">
        <f>J10-H9</f>
        <v>198</v>
      </c>
      <c r="I10" s="538">
        <f t="shared" si="0"/>
        <v>16.5</v>
      </c>
      <c r="J10" s="539">
        <v>413</v>
      </c>
      <c r="K10" s="539">
        <v>1.27</v>
      </c>
      <c r="L10" s="540">
        <v>0.72</v>
      </c>
      <c r="M10" s="537">
        <f>K10*J10*G10-SUM(M9)</f>
        <v>104.15300000000001</v>
      </c>
      <c r="N10" s="873"/>
      <c r="O10" s="538">
        <f t="shared" si="1"/>
        <v>8.6794166666666666</v>
      </c>
      <c r="P10" s="878"/>
      <c r="Q10" s="553"/>
      <c r="R10" s="531">
        <v>0</v>
      </c>
      <c r="S10" s="927"/>
      <c r="T10" s="535">
        <f>AVERAGE('LT Ball Mill'!F19:F21)</f>
        <v>0.64600000000000002</v>
      </c>
      <c r="U10" s="535">
        <f>AVERAGE('LT Ball Mill'!G19:G21)</f>
        <v>1.0666666666666667</v>
      </c>
      <c r="V10" s="535">
        <f>AVERAGE('LT Ball Mill'!H19:H21)</f>
        <v>9.2566666666666659</v>
      </c>
      <c r="W10" s="532">
        <f t="shared" si="2"/>
        <v>67.282838000000012</v>
      </c>
      <c r="X10" s="546">
        <f t="shared" si="3"/>
        <v>111.09653333333334</v>
      </c>
      <c r="Y10" s="546">
        <f t="shared" si="4"/>
        <v>964.10960333333333</v>
      </c>
      <c r="Z10" s="168">
        <f t="shared" si="5"/>
        <v>168207095.00000003</v>
      </c>
      <c r="AA10" s="33"/>
      <c r="AB10" s="33" t="s">
        <v>44</v>
      </c>
      <c r="AC10" s="36">
        <f>+AC8/AC9</f>
        <v>1.21</v>
      </c>
      <c r="AD10" s="33" t="s">
        <v>45</v>
      </c>
    </row>
    <row r="11" spans="1:33" s="468" customFormat="1" ht="16.2" thickBot="1" x14ac:dyDescent="0.35">
      <c r="A11" s="914"/>
      <c r="B11" s="866">
        <v>46268</v>
      </c>
      <c r="C11" s="867"/>
      <c r="D11" s="575" t="s">
        <v>453</v>
      </c>
      <c r="E11" s="590" t="s">
        <v>484</v>
      </c>
      <c r="F11" s="624" t="s">
        <v>13</v>
      </c>
      <c r="G11" s="540">
        <v>0.43</v>
      </c>
      <c r="H11" s="539">
        <f>J11-H10-H9</f>
        <v>126</v>
      </c>
      <c r="I11" s="538">
        <f t="shared" si="0"/>
        <v>11.454545454545455</v>
      </c>
      <c r="J11" s="541">
        <v>539</v>
      </c>
      <c r="K11" s="541">
        <v>1.2949999999999999</v>
      </c>
      <c r="L11" s="540">
        <v>0.71</v>
      </c>
      <c r="M11" s="537">
        <f>J11*K11*G11-SUM(M9:M10)</f>
        <v>90.338150000000013</v>
      </c>
      <c r="N11" s="872">
        <f>SUM(M11:M12)</f>
        <v>90.338150000000013</v>
      </c>
      <c r="O11" s="538">
        <f t="shared" si="1"/>
        <v>8.2125590909090924</v>
      </c>
      <c r="P11" s="917">
        <f>'Milling Down Time Hours'!M8</f>
        <v>11.016666666666667</v>
      </c>
      <c r="Q11" s="591"/>
      <c r="R11" s="553">
        <v>60</v>
      </c>
      <c r="S11" s="927"/>
      <c r="T11" s="589">
        <f>AVERAGE('LT Ball Mill'!F22:F24)</f>
        <v>0.66133333333333333</v>
      </c>
      <c r="U11" s="589">
        <f>AVERAGE('LT Ball Mill'!G22:G24)</f>
        <v>0.72333333333333327</v>
      </c>
      <c r="V11" s="589">
        <f>AVERAGE('LT Ball Mill'!H22:H24)</f>
        <v>8.0566666666666666</v>
      </c>
      <c r="W11" s="532">
        <f t="shared" si="2"/>
        <v>59.743629866666673</v>
      </c>
      <c r="X11" s="546">
        <f t="shared" si="3"/>
        <v>65.344595166666664</v>
      </c>
      <c r="Y11" s="546">
        <f t="shared" si="4"/>
        <v>727.82436183333346</v>
      </c>
      <c r="Z11" s="168">
        <f t="shared" si="5"/>
        <v>149359074.66666669</v>
      </c>
      <c r="AA11" s="467"/>
      <c r="AB11" s="467" t="s">
        <v>46</v>
      </c>
      <c r="AC11" s="477">
        <f>2.1</f>
        <v>2.1</v>
      </c>
      <c r="AD11" s="467" t="s">
        <v>45</v>
      </c>
    </row>
    <row r="12" spans="1:33" s="468" customFormat="1" ht="16.2" thickBot="1" x14ac:dyDescent="0.35">
      <c r="A12" s="914"/>
      <c r="B12" s="889"/>
      <c r="C12" s="890"/>
      <c r="D12" s="577" t="s">
        <v>457</v>
      </c>
      <c r="E12" s="592" t="s">
        <v>480</v>
      </c>
      <c r="F12" s="625" t="s">
        <v>14</v>
      </c>
      <c r="G12" s="552"/>
      <c r="H12" s="539"/>
      <c r="I12" s="538"/>
      <c r="J12" s="539"/>
      <c r="K12" s="539"/>
      <c r="L12" s="536"/>
      <c r="M12" s="537">
        <f t="shared" ref="M12:M40" si="6">H12*K12*G12</f>
        <v>0</v>
      </c>
      <c r="N12" s="873"/>
      <c r="O12" s="538"/>
      <c r="P12" s="918"/>
      <c r="Q12" s="593"/>
      <c r="R12" s="551">
        <v>720</v>
      </c>
      <c r="S12" s="928"/>
      <c r="T12" s="595"/>
      <c r="U12" s="595"/>
      <c r="V12" s="596"/>
      <c r="W12" s="532">
        <f t="shared" si="2"/>
        <v>0</v>
      </c>
      <c r="X12" s="546">
        <f t="shared" si="3"/>
        <v>0</v>
      </c>
      <c r="Y12" s="546">
        <f t="shared" si="4"/>
        <v>0</v>
      </c>
      <c r="Z12" s="168">
        <f t="shared" si="5"/>
        <v>0</v>
      </c>
      <c r="AA12" s="467"/>
      <c r="AB12" s="467" t="s">
        <v>47</v>
      </c>
      <c r="AC12" s="477">
        <v>1</v>
      </c>
      <c r="AD12" s="467" t="s">
        <v>45</v>
      </c>
    </row>
    <row r="13" spans="1:33" ht="16.2" thickBot="1" x14ac:dyDescent="0.35">
      <c r="A13" s="914"/>
      <c r="B13" s="866">
        <v>46269</v>
      </c>
      <c r="C13" s="867"/>
      <c r="D13" s="891" t="s">
        <v>497</v>
      </c>
      <c r="E13" s="597"/>
      <c r="F13" s="626" t="s">
        <v>13</v>
      </c>
      <c r="G13" s="549"/>
      <c r="H13" s="550"/>
      <c r="I13" s="538"/>
      <c r="J13" s="550"/>
      <c r="K13" s="550"/>
      <c r="L13" s="550"/>
      <c r="M13" s="537">
        <f t="shared" si="6"/>
        <v>0</v>
      </c>
      <c r="N13" s="537"/>
      <c r="O13" s="550"/>
      <c r="P13" s="877">
        <f>'Milling Down Time Hours'!M9</f>
        <v>3.3333333333333333E-2</v>
      </c>
      <c r="Q13" s="576"/>
      <c r="R13" s="877">
        <f>'Milling Down Time Hours'!L9</f>
        <v>1438</v>
      </c>
      <c r="S13" s="531"/>
      <c r="T13" s="589"/>
      <c r="U13" s="589"/>
      <c r="V13" s="598"/>
      <c r="W13" s="532">
        <f t="shared" si="2"/>
        <v>0</v>
      </c>
      <c r="X13" s="546">
        <f t="shared" si="3"/>
        <v>0</v>
      </c>
      <c r="Y13" s="546">
        <f t="shared" si="4"/>
        <v>0</v>
      </c>
      <c r="Z13" s="168">
        <f t="shared" si="5"/>
        <v>0</v>
      </c>
      <c r="AA13" s="33"/>
      <c r="AB13" s="33" t="s">
        <v>48</v>
      </c>
      <c r="AC13" s="45">
        <f>+(AC10-1)/(AC10-AC10/AC11)</f>
        <v>0.33132982719759574</v>
      </c>
      <c r="AD13" s="33"/>
      <c r="AE13" s="12"/>
      <c r="AF13" s="8"/>
    </row>
    <row r="14" spans="1:33" ht="15.6" x14ac:dyDescent="0.3">
      <c r="A14" s="914"/>
      <c r="B14" s="896"/>
      <c r="C14" s="897"/>
      <c r="D14" s="892"/>
      <c r="E14" s="599"/>
      <c r="F14" s="627" t="s">
        <v>14</v>
      </c>
      <c r="G14" s="600"/>
      <c r="H14" s="601"/>
      <c r="I14" s="576"/>
      <c r="J14" s="601"/>
      <c r="K14" s="601"/>
      <c r="L14" s="600"/>
      <c r="M14" s="554">
        <f t="shared" si="6"/>
        <v>0</v>
      </c>
      <c r="N14" s="554"/>
      <c r="O14" s="554">
        <f>(N14/SUM(P5:P14))</f>
        <v>0</v>
      </c>
      <c r="P14" s="919"/>
      <c r="Q14" s="553"/>
      <c r="R14" s="920"/>
      <c r="S14" s="601"/>
      <c r="T14" s="603"/>
      <c r="U14" s="603"/>
      <c r="V14" s="604"/>
      <c r="W14" s="605">
        <f t="shared" si="2"/>
        <v>0</v>
      </c>
      <c r="X14" s="616">
        <f t="shared" si="3"/>
        <v>0</v>
      </c>
      <c r="Y14" s="616">
        <f t="shared" si="4"/>
        <v>0</v>
      </c>
      <c r="Z14" s="168">
        <f t="shared" si="5"/>
        <v>0</v>
      </c>
      <c r="AA14" s="33"/>
      <c r="AB14" s="33" t="s">
        <v>49</v>
      </c>
      <c r="AC14" s="46">
        <f>+AC13*AC8</f>
        <v>400.90909090909082</v>
      </c>
      <c r="AD14" s="33" t="s">
        <v>41</v>
      </c>
      <c r="AE14" s="12"/>
      <c r="AF14" s="8"/>
    </row>
    <row r="15" spans="1:33" ht="15.6" x14ac:dyDescent="0.3">
      <c r="B15" s="925">
        <v>46270</v>
      </c>
      <c r="C15" s="926"/>
      <c r="D15" s="573"/>
      <c r="E15" s="573" t="s">
        <v>498</v>
      </c>
      <c r="F15" s="453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65">
        <v>0</v>
      </c>
      <c r="Q15" s="165">
        <f>720-R15</f>
        <v>0</v>
      </c>
      <c r="R15" s="43">
        <v>720</v>
      </c>
      <c r="S15" s="16"/>
      <c r="T15" s="495"/>
      <c r="U15" s="495"/>
      <c r="V15" s="495"/>
      <c r="W15" s="170">
        <f t="shared" si="2"/>
        <v>0</v>
      </c>
      <c r="X15" s="165">
        <f t="shared" si="3"/>
        <v>0</v>
      </c>
      <c r="Y15" s="165">
        <f t="shared" si="4"/>
        <v>0</v>
      </c>
      <c r="Z15" s="168">
        <f t="shared" si="5"/>
        <v>0</v>
      </c>
      <c r="AA15" s="33"/>
      <c r="AB15" s="33" t="s">
        <v>50</v>
      </c>
      <c r="AC15" s="46">
        <f>(AC8-AC14)</f>
        <v>809.09090909090924</v>
      </c>
      <c r="AD15" s="33" t="s">
        <v>41</v>
      </c>
      <c r="AE15" s="12"/>
      <c r="AF15" s="8"/>
    </row>
    <row r="16" spans="1:33" ht="15.6" x14ac:dyDescent="0.3">
      <c r="A16" s="915">
        <v>3</v>
      </c>
      <c r="B16" s="835">
        <v>46270</v>
      </c>
      <c r="C16" s="835"/>
      <c r="D16" s="606" t="s">
        <v>454</v>
      </c>
      <c r="E16" s="633" t="s">
        <v>499</v>
      </c>
      <c r="F16" s="628" t="s">
        <v>14</v>
      </c>
      <c r="G16" s="542">
        <v>0.38</v>
      </c>
      <c r="H16" s="526">
        <f>J16-'Au Cal Leaching Tank'!$Q$10</f>
        <v>62.150000000000006</v>
      </c>
      <c r="I16" s="526">
        <v>5.57</v>
      </c>
      <c r="J16" s="543">
        <v>170</v>
      </c>
      <c r="K16" s="543">
        <v>1.25</v>
      </c>
      <c r="L16" s="542"/>
      <c r="M16" s="526">
        <f>(J16*K16*G16)-'Au Cal Leaching Tank'!$R$10</f>
        <v>26.314330250000005</v>
      </c>
      <c r="N16" s="545">
        <f>SUM(M15:M16)</f>
        <v>26.314330250000005</v>
      </c>
      <c r="O16" s="526">
        <f t="shared" ref="O16:O23" si="7">M16/P16</f>
        <v>2.325272187039765</v>
      </c>
      <c r="P16" s="615">
        <f>Q16/60</f>
        <v>11.316666666666666</v>
      </c>
      <c r="Q16" s="615">
        <f>720-R16</f>
        <v>679</v>
      </c>
      <c r="R16" s="526">
        <v>41</v>
      </c>
      <c r="S16" s="887">
        <f>SUM(M16:M19)</f>
        <v>326.97083025000006</v>
      </c>
      <c r="T16" s="617">
        <f>AVERAGE('LT Ball Mill'!F25:F27)</f>
        <v>1.087</v>
      </c>
      <c r="U16" s="617">
        <f>AVERAGE('LT Ball Mill'!G25:G27)</f>
        <v>0.77333333333333332</v>
      </c>
      <c r="V16" s="617">
        <f>AVERAGE('LT Ball Mill'!H25:H27)</f>
        <v>8.1166666666666671</v>
      </c>
      <c r="W16" s="529">
        <f t="shared" ref="W16:W24" si="8">T16*M16</f>
        <v>28.603676981750006</v>
      </c>
      <c r="X16" s="615">
        <f t="shared" ref="X16:X24" si="9">M16*U16</f>
        <v>20.349748726666668</v>
      </c>
      <c r="Y16" s="615">
        <f t="shared" ref="Y16:Y24" si="10">M16*V16</f>
        <v>213.58464719583338</v>
      </c>
      <c r="Z16" s="168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915"/>
      <c r="B17" s="835">
        <v>46271</v>
      </c>
      <c r="C17" s="835"/>
      <c r="D17" s="667" t="s">
        <v>454</v>
      </c>
      <c r="E17" s="667" t="s">
        <v>519</v>
      </c>
      <c r="F17" s="629" t="s">
        <v>13</v>
      </c>
      <c r="G17" s="568">
        <v>0.47</v>
      </c>
      <c r="H17" s="526">
        <f>J17-SUM(H16)-'Au Cal Leaching Tank'!$Q$10</f>
        <v>45</v>
      </c>
      <c r="I17" s="608">
        <f t="shared" ref="I17:I22" si="11">H17/((720-R17)/60)</f>
        <v>4.5762711864406773</v>
      </c>
      <c r="J17" s="569">
        <v>215</v>
      </c>
      <c r="K17" s="569">
        <v>1.33</v>
      </c>
      <c r="L17" s="568">
        <v>0.65</v>
      </c>
      <c r="M17" s="527">
        <f>J17*K17*G17-SUM(M16)-'Au Cal Leaching Tank'!$R$10</f>
        <v>53.646499999999968</v>
      </c>
      <c r="N17" s="893">
        <f>SUM(M17:M18)</f>
        <v>173.32450000000003</v>
      </c>
      <c r="O17" s="526">
        <f t="shared" si="7"/>
        <v>5.4555762711864366</v>
      </c>
      <c r="P17" s="526">
        <f>(720-R17)/60</f>
        <v>9.8333333333333339</v>
      </c>
      <c r="Q17" s="615">
        <f t="shared" ref="Q17" si="12">720-R17</f>
        <v>590</v>
      </c>
      <c r="R17" s="526">
        <f>'Milling Down Time Hours'!L11</f>
        <v>130</v>
      </c>
      <c r="S17" s="921"/>
      <c r="T17" s="618">
        <f>AVERAGE('LT Ball Mill'!F28:F30)</f>
        <v>0.90233333333333332</v>
      </c>
      <c r="U17" s="618">
        <f>AVERAGE('LT Ball Mill'!G28:G30)</f>
        <v>0.56999999999999995</v>
      </c>
      <c r="V17" s="618">
        <f>AVERAGE('LT Ball Mill'!H28:H30)</f>
        <v>9.6533333333333342</v>
      </c>
      <c r="W17" s="619">
        <f t="shared" si="8"/>
        <v>48.407025166666635</v>
      </c>
      <c r="X17" s="586">
        <f t="shared" si="9"/>
        <v>30.578504999999979</v>
      </c>
      <c r="Y17" s="586">
        <f t="shared" si="10"/>
        <v>517.86754666666639</v>
      </c>
      <c r="Z17" s="168">
        <f>W17*$AF$6</f>
        <v>121017562.91666658</v>
      </c>
      <c r="AE17" s="47"/>
      <c r="AF17" s="8"/>
    </row>
    <row r="18" spans="1:32" ht="15" thickBot="1" x14ac:dyDescent="0.35">
      <c r="A18" s="915"/>
      <c r="B18" s="835"/>
      <c r="C18" s="835"/>
      <c r="D18" s="667" t="s">
        <v>453</v>
      </c>
      <c r="E18" s="668"/>
      <c r="F18" s="623" t="s">
        <v>14</v>
      </c>
      <c r="G18" s="567">
        <v>0.45</v>
      </c>
      <c r="H18" s="526">
        <f>J18-SUM(H16:H17)-'Au Cal Leaching Tank'!$Q$10</f>
        <v>216.00000000000003</v>
      </c>
      <c r="I18" s="521">
        <f t="shared" si="11"/>
        <v>18.000000000000004</v>
      </c>
      <c r="J18" s="524">
        <v>431</v>
      </c>
      <c r="K18" s="524">
        <v>1.31</v>
      </c>
      <c r="L18" s="523">
        <v>0.65</v>
      </c>
      <c r="M18" s="527">
        <f>J18*K18*G18-SUM(M16:M17)-'Au Cal Leaching Tank'!$R$10</f>
        <v>119.67800000000005</v>
      </c>
      <c r="N18" s="893"/>
      <c r="O18" s="526">
        <f t="shared" si="7"/>
        <v>9.9731666666666712</v>
      </c>
      <c r="P18" s="526">
        <f>(720-R18)/60</f>
        <v>12</v>
      </c>
      <c r="Q18" s="615">
        <f>720-R18</f>
        <v>720</v>
      </c>
      <c r="R18" s="526">
        <v>0</v>
      </c>
      <c r="S18" s="921"/>
      <c r="T18" s="530">
        <f>AVERAGE('LT Ball Mill'!F31:F33)</f>
        <v>0.81433333333333335</v>
      </c>
      <c r="U18" s="530">
        <f>AVERAGE('LT Ball Mill'!G31:G33)</f>
        <v>0.6333333333333333</v>
      </c>
      <c r="V18" s="530">
        <f>AVERAGE('LT Ball Mill'!H31:H33)</f>
        <v>9.4366666666666674</v>
      </c>
      <c r="W18" s="529">
        <f t="shared" si="8"/>
        <v>97.457784666666711</v>
      </c>
      <c r="X18" s="615">
        <f t="shared" si="9"/>
        <v>75.796066666666704</v>
      </c>
      <c r="Y18" s="615">
        <f t="shared" si="10"/>
        <v>1129.361393333334</v>
      </c>
      <c r="Z18" s="186"/>
      <c r="AA18" s="124"/>
      <c r="AC18" s="1">
        <f>1490-180</f>
        <v>1310</v>
      </c>
    </row>
    <row r="19" spans="1:32" ht="15" thickBot="1" x14ac:dyDescent="0.35">
      <c r="A19" s="915"/>
      <c r="B19" s="883">
        <v>46272</v>
      </c>
      <c r="C19" s="884"/>
      <c r="D19" s="607" t="s">
        <v>170</v>
      </c>
      <c r="E19" s="609" t="s">
        <v>531</v>
      </c>
      <c r="F19" s="629" t="s">
        <v>13</v>
      </c>
      <c r="G19" s="568">
        <v>0.45</v>
      </c>
      <c r="H19" s="526">
        <f>J19-SUM(H16:H18)-'Au Cal Leaching Tank'!$Q$10</f>
        <v>215.99999999999997</v>
      </c>
      <c r="I19" s="521">
        <f t="shared" si="11"/>
        <v>19.31445603576751</v>
      </c>
      <c r="J19" s="569">
        <v>647</v>
      </c>
      <c r="K19" s="569">
        <v>1.31</v>
      </c>
      <c r="L19" s="568">
        <v>0.73</v>
      </c>
      <c r="M19" s="527">
        <f>J19*K19*G19-SUM(M16:M18)-'Au Cal Leaching Tank'!$R$10</f>
        <v>127.33200000000005</v>
      </c>
      <c r="N19" s="894">
        <f>SUM(M19:M20)</f>
        <v>185.59190000000007</v>
      </c>
      <c r="O19" s="526">
        <f t="shared" si="7"/>
        <v>8.9775793184488872</v>
      </c>
      <c r="P19" s="526">
        <f>(900-R19)/60</f>
        <v>14.183333333333334</v>
      </c>
      <c r="Q19" s="526">
        <f>900-R19</f>
        <v>851</v>
      </c>
      <c r="R19" s="526">
        <f>'Milling Down Time Hours'!G13+30</f>
        <v>49</v>
      </c>
      <c r="S19" s="895"/>
      <c r="T19" s="618">
        <f>AVERAGE('LT Ball Mill'!F34:F36)</f>
        <v>0.91199999999999992</v>
      </c>
      <c r="U19" s="618">
        <f>AVERAGE('LT Ball Mill'!G34:G36)</f>
        <v>0.95333333333333325</v>
      </c>
      <c r="V19" s="618">
        <f>AVERAGE('LT Ball Mill'!H34:H36)</f>
        <v>9.3966666666666665</v>
      </c>
      <c r="W19" s="529">
        <f t="shared" si="8"/>
        <v>116.12678400000003</v>
      </c>
      <c r="X19" s="615">
        <f t="shared" si="9"/>
        <v>121.38984000000004</v>
      </c>
      <c r="Y19" s="615">
        <f t="shared" si="10"/>
        <v>1196.4963600000005</v>
      </c>
      <c r="AC19" s="12">
        <f>(AC10-1)/(AC10-AC10/AC11)</f>
        <v>0.33132982719759574</v>
      </c>
    </row>
    <row r="20" spans="1:32" ht="15" thickBot="1" x14ac:dyDescent="0.35">
      <c r="A20" s="914">
        <v>4</v>
      </c>
      <c r="B20" s="923">
        <v>46272</v>
      </c>
      <c r="C20" s="924"/>
      <c r="D20" s="610" t="s">
        <v>522</v>
      </c>
      <c r="E20" s="693" t="s">
        <v>563</v>
      </c>
      <c r="F20" s="630" t="s">
        <v>14</v>
      </c>
      <c r="G20" s="547">
        <v>0.41</v>
      </c>
      <c r="H20" s="531">
        <f>J20-'Au Cal Leaching Tank'!$Q$11</f>
        <v>107.15</v>
      </c>
      <c r="I20" s="538">
        <f>H20/((720-R20)/60)</f>
        <v>9.5103550295857993</v>
      </c>
      <c r="J20" s="548">
        <v>215</v>
      </c>
      <c r="K20" s="548">
        <v>1.28</v>
      </c>
      <c r="L20" s="547">
        <v>0.73</v>
      </c>
      <c r="M20" s="537">
        <f>J20*K20*G20-'Au Cal Leaching Tank'!$R$11</f>
        <v>58.259900000000002</v>
      </c>
      <c r="N20" s="895"/>
      <c r="O20" s="531">
        <f t="shared" si="7"/>
        <v>6.2870395683453237</v>
      </c>
      <c r="P20" s="531">
        <f>(600-R20)/60</f>
        <v>9.2666666666666675</v>
      </c>
      <c r="Q20" s="531">
        <f>600-R20</f>
        <v>556</v>
      </c>
      <c r="R20" s="531">
        <f>'Milling Down Time Hours'!G14-30</f>
        <v>44</v>
      </c>
      <c r="S20" s="922">
        <f>SUM(M20:M23)</f>
        <v>316.93529999999998</v>
      </c>
      <c r="T20" s="647">
        <f>AVERAGE('LT Ball Mill'!F37:F39)</f>
        <v>0.53033333333333343</v>
      </c>
      <c r="U20" s="647">
        <f>AVERAGE('LT Ball Mill'!G37:G39)</f>
        <v>1.07</v>
      </c>
      <c r="V20" s="647">
        <f>AVERAGE('LT Ball Mill'!H37:H39)</f>
        <v>8.9266666666666676</v>
      </c>
      <c r="W20" s="532">
        <f t="shared" si="8"/>
        <v>30.897166966666674</v>
      </c>
      <c r="X20" s="546">
        <f t="shared" si="9"/>
        <v>62.338093000000008</v>
      </c>
      <c r="Y20" s="546">
        <f t="shared" si="10"/>
        <v>520.0667073333334</v>
      </c>
    </row>
    <row r="21" spans="1:32" ht="15" thickBot="1" x14ac:dyDescent="0.35">
      <c r="A21" s="914"/>
      <c r="B21" s="866">
        <v>46273</v>
      </c>
      <c r="C21" s="867"/>
      <c r="D21" s="611" t="s">
        <v>170</v>
      </c>
      <c r="E21" s="611" t="s">
        <v>532</v>
      </c>
      <c r="F21" s="630" t="s">
        <v>13</v>
      </c>
      <c r="G21" s="547">
        <v>0.42</v>
      </c>
      <c r="H21" s="531">
        <f>J21-'Au Cal Leaching Tank'!$Q$11-SUM(H20)</f>
        <v>188.99999999999997</v>
      </c>
      <c r="I21" s="538">
        <f t="shared" si="11"/>
        <v>18.290322580645157</v>
      </c>
      <c r="J21" s="548">
        <v>404</v>
      </c>
      <c r="K21" s="548">
        <v>1.29</v>
      </c>
      <c r="L21" s="547">
        <v>0.75</v>
      </c>
      <c r="M21" s="537">
        <f>J21*K21*G21-'Au Cal Leaching Tank'!$R$11-SUM(M20)</f>
        <v>106.05519999999997</v>
      </c>
      <c r="N21" s="872">
        <f>SUM(M21:M22)</f>
        <v>193.82679999999999</v>
      </c>
      <c r="O21" s="531">
        <f t="shared" si="7"/>
        <v>10.2634064516129</v>
      </c>
      <c r="P21" s="531">
        <f>(720-R21)/60</f>
        <v>10.333333333333334</v>
      </c>
      <c r="Q21" s="531">
        <f>720-R21</f>
        <v>620</v>
      </c>
      <c r="R21" s="531">
        <f>'Milling Down Time Hours'!G15</f>
        <v>100</v>
      </c>
      <c r="S21" s="922"/>
      <c r="T21" s="647">
        <f>AVERAGE('LT Ball Mill'!F40:F42)</f>
        <v>0.64666666666666672</v>
      </c>
      <c r="U21" s="647">
        <f>AVERAGE('LT Ball Mill'!G40:G42)</f>
        <v>0.96333333333333326</v>
      </c>
      <c r="V21" s="647">
        <f>AVERAGE('LT Ball Mill'!H40:H42)</f>
        <v>9.1033333333333335</v>
      </c>
      <c r="W21" s="532">
        <f t="shared" si="8"/>
        <v>68.582362666666654</v>
      </c>
      <c r="X21" s="546">
        <f t="shared" si="9"/>
        <v>102.16650933333329</v>
      </c>
      <c r="Y21" s="546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8*1.2</f>
        <v>9.6</v>
      </c>
    </row>
    <row r="22" spans="1:32" ht="15" thickBot="1" x14ac:dyDescent="0.35">
      <c r="A22" s="914"/>
      <c r="B22" s="889"/>
      <c r="C22" s="890"/>
      <c r="D22" s="612" t="s">
        <v>536</v>
      </c>
      <c r="E22" s="613" t="s">
        <v>542</v>
      </c>
      <c r="F22" s="627" t="s">
        <v>14</v>
      </c>
      <c r="G22" s="600">
        <v>0.42</v>
      </c>
      <c r="H22" s="531">
        <f>J22-'Au Cal Leaching Tank'!$Q$11-SUM(H20:H21)</f>
        <v>162</v>
      </c>
      <c r="I22" s="538">
        <f t="shared" si="11"/>
        <v>17.142857142857146</v>
      </c>
      <c r="J22" s="601">
        <v>566</v>
      </c>
      <c r="K22" s="601">
        <v>1.29</v>
      </c>
      <c r="L22" s="600">
        <v>0.75</v>
      </c>
      <c r="M22" s="537">
        <f>J22*K22*G22-'Au Cal Leaching Tank'!$R$11-SUM(M20:M21)</f>
        <v>87.771600000000035</v>
      </c>
      <c r="N22" s="803"/>
      <c r="O22" s="531">
        <f t="shared" si="7"/>
        <v>9.2880000000000038</v>
      </c>
      <c r="P22" s="531">
        <f>(720-R22)/60</f>
        <v>9.4499999999999993</v>
      </c>
      <c r="Q22" s="531">
        <f>720-R22</f>
        <v>567</v>
      </c>
      <c r="R22" s="531">
        <f>'Milling Down Time Hours'!G16</f>
        <v>153</v>
      </c>
      <c r="S22" s="922"/>
      <c r="T22" s="647">
        <f>AVERAGE('LT Ball Mill'!F43:F45)</f>
        <v>0.6349999999999999</v>
      </c>
      <c r="U22" s="647">
        <f>AVERAGE('LT Ball Mill'!G43:G45)</f>
        <v>1.0333333333333334</v>
      </c>
      <c r="V22" s="647">
        <f>AVERAGE('LT Ball Mill'!H43:H45)</f>
        <v>7.81</v>
      </c>
      <c r="W22" s="532">
        <f t="shared" si="8"/>
        <v>55.734966000000014</v>
      </c>
      <c r="X22" s="546">
        <f t="shared" si="9"/>
        <v>90.697320000000047</v>
      </c>
      <c r="Y22" s="546">
        <f t="shared" si="10"/>
        <v>685.49619600000028</v>
      </c>
      <c r="AA22" s="16" t="s">
        <v>216</v>
      </c>
      <c r="AB22" s="16">
        <v>9.3000000000000007</v>
      </c>
      <c r="AC22" s="6" t="s">
        <v>217</v>
      </c>
    </row>
    <row r="23" spans="1:32" ht="29.4" thickBot="1" x14ac:dyDescent="0.35">
      <c r="A23" s="914"/>
      <c r="B23" s="866">
        <v>46274</v>
      </c>
      <c r="C23" s="867"/>
      <c r="D23" s="614" t="s">
        <v>170</v>
      </c>
      <c r="E23" s="634" t="s">
        <v>534</v>
      </c>
      <c r="F23" s="624" t="s">
        <v>13</v>
      </c>
      <c r="G23" s="540">
        <v>0.44</v>
      </c>
      <c r="H23" s="531">
        <f>J23-'Au Cal Leaching Tank'!$Q$11-SUM(H20:H22)</f>
        <v>81</v>
      </c>
      <c r="I23" s="538">
        <f>H23/((720-R23)/60)</f>
        <v>27</v>
      </c>
      <c r="J23" s="541">
        <v>647</v>
      </c>
      <c r="K23" s="541">
        <v>1.3049999999999999</v>
      </c>
      <c r="L23" s="540">
        <v>0.75</v>
      </c>
      <c r="M23" s="537">
        <f>J23*K23*G23-'Au Cal Leaching Tank'!$R$11-SUM(M20:M22)</f>
        <v>64.848599999999976</v>
      </c>
      <c r="N23" s="546">
        <f>SUM(M23:M24)</f>
        <v>64.848599999999976</v>
      </c>
      <c r="O23" s="531">
        <f t="shared" si="7"/>
        <v>21.616199999999992</v>
      </c>
      <c r="P23" s="531">
        <f>(720-R23)/60</f>
        <v>3</v>
      </c>
      <c r="Q23" s="531">
        <f>720-R23</f>
        <v>180</v>
      </c>
      <c r="R23" s="531">
        <f>'Milling Down Time Hours'!G17</f>
        <v>540</v>
      </c>
      <c r="S23" s="922"/>
      <c r="T23" s="647">
        <f>AVERAGE('LT Ball Mill'!F46:F48)</f>
        <v>0.59233333333333327</v>
      </c>
      <c r="U23" s="647">
        <f>AVERAGE('LT Ball Mill'!G46:G48)</f>
        <v>0.66666666666666663</v>
      </c>
      <c r="V23" s="647">
        <f>AVERAGE('LT Ball Mill'!H46:H48)</f>
        <v>7.2399999999999993</v>
      </c>
      <c r="W23" s="532">
        <f t="shared" si="8"/>
        <v>38.41198739999998</v>
      </c>
      <c r="X23" s="546">
        <f t="shared" si="9"/>
        <v>43.232399999999984</v>
      </c>
      <c r="Y23" s="546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64">
        <v>46274</v>
      </c>
      <c r="C24" s="865"/>
      <c r="D24" s="505" t="s">
        <v>536</v>
      </c>
      <c r="E24" s="692" t="s">
        <v>562</v>
      </c>
      <c r="F24" s="631" t="s">
        <v>14</v>
      </c>
      <c r="G24" s="221"/>
      <c r="H24" s="101"/>
      <c r="I24" s="256"/>
      <c r="J24" s="101"/>
      <c r="K24" s="101"/>
      <c r="L24" s="221"/>
      <c r="M24" s="222">
        <f>H24*K24*G24</f>
        <v>0</v>
      </c>
      <c r="N24" s="635"/>
      <c r="O24" s="465" t="str">
        <f>IFERROR(M24/P24,"")</f>
        <v/>
      </c>
      <c r="P24" s="465">
        <f>(720-R24)/60</f>
        <v>0</v>
      </c>
      <c r="Q24" s="465">
        <f>720-R24</f>
        <v>0</v>
      </c>
      <c r="R24" s="465">
        <f>'Milling Down Time Hours'!G18</f>
        <v>720</v>
      </c>
      <c r="S24" s="508"/>
      <c r="T24" s="644"/>
      <c r="U24" s="644"/>
      <c r="V24" s="645"/>
      <c r="W24" s="646">
        <f t="shared" si="8"/>
        <v>0</v>
      </c>
      <c r="X24" s="508">
        <f t="shared" si="9"/>
        <v>0</v>
      </c>
      <c r="Y24" s="508">
        <f t="shared" si="10"/>
        <v>0</v>
      </c>
      <c r="AA24" s="16" t="s">
        <v>219</v>
      </c>
      <c r="AB24" s="461">
        <f>3.14*AB23*AB23*AB22</f>
        <v>835.83424500000001</v>
      </c>
      <c r="AC24" s="6"/>
    </row>
    <row r="25" spans="1:32" x14ac:dyDescent="0.3">
      <c r="A25" s="913">
        <v>5</v>
      </c>
      <c r="B25" s="881">
        <v>46275</v>
      </c>
      <c r="C25" s="882"/>
      <c r="D25" s="639" t="s">
        <v>170</v>
      </c>
      <c r="E25" s="640" t="s">
        <v>535</v>
      </c>
      <c r="F25" s="628" t="s">
        <v>13</v>
      </c>
      <c r="G25" s="542">
        <v>0.44</v>
      </c>
      <c r="H25" s="526">
        <f>J25-'Au Cal Leaching Tank'!$Q$14</f>
        <v>215.15</v>
      </c>
      <c r="I25" s="526">
        <f t="shared" ref="I25:I28" si="13">H25/((720-R25)/60)</f>
        <v>20.361198738170348</v>
      </c>
      <c r="J25" s="543">
        <v>323</v>
      </c>
      <c r="K25" s="543">
        <v>1.3</v>
      </c>
      <c r="L25" s="542">
        <v>0.75</v>
      </c>
      <c r="M25" s="526">
        <f>J25*K25*G25-'Au Cal Leaching Tank'!$R$12</f>
        <v>123.06580000000004</v>
      </c>
      <c r="N25" s="870">
        <f>SUM(M25:M26)</f>
        <v>262.08779999999996</v>
      </c>
      <c r="O25" s="526">
        <f t="shared" ref="O25:O26" si="14">M25/P25</f>
        <v>11.646605678233442</v>
      </c>
      <c r="P25" s="526">
        <f t="shared" ref="P25:P26" si="15">(720-R25)/60</f>
        <v>10.566666666666666</v>
      </c>
      <c r="Q25" s="526">
        <f t="shared" ref="Q25:Q26" si="16">720-R25</f>
        <v>634</v>
      </c>
      <c r="R25" s="526">
        <f>'Milling Down Time Hours'!G19</f>
        <v>86</v>
      </c>
      <c r="S25" s="870">
        <f>SUM(N25:N27)</f>
        <v>267.08779999999996</v>
      </c>
      <c r="T25" s="617">
        <f>AVERAGE('LT Ball Mill'!F54)</f>
        <v>0.73</v>
      </c>
      <c r="U25" s="617">
        <f>AVERAGE('LT Ball Mill'!G54)</f>
        <v>0.63</v>
      </c>
      <c r="V25" s="617">
        <f>AVERAGE('LT Ball Mill'!H54)</f>
        <v>8.57</v>
      </c>
      <c r="W25" s="529">
        <f t="shared" si="2"/>
        <v>89.838034000000022</v>
      </c>
      <c r="X25" s="615">
        <f t="shared" si="3"/>
        <v>77.531454000000025</v>
      </c>
      <c r="Y25" s="615">
        <f t="shared" si="4"/>
        <v>1054.6739060000004</v>
      </c>
      <c r="AA25" s="15" t="s">
        <v>449</v>
      </c>
      <c r="AB25" s="238">
        <f>AB24*AC10*AC13</f>
        <v>335.09354731363629</v>
      </c>
    </row>
    <row r="26" spans="1:32" ht="15" thickBot="1" x14ac:dyDescent="0.35">
      <c r="A26" s="913"/>
      <c r="B26" s="883"/>
      <c r="C26" s="884"/>
      <c r="D26" s="641" t="s">
        <v>555</v>
      </c>
      <c r="E26" s="642"/>
      <c r="F26" s="628" t="s">
        <v>14</v>
      </c>
      <c r="G26" s="542">
        <v>0.42</v>
      </c>
      <c r="H26" s="526">
        <f>J26-'Au Cal Leaching Tank'!$Q$14-SUM(H25)</f>
        <v>270</v>
      </c>
      <c r="I26" s="526">
        <f t="shared" si="13"/>
        <v>25.796178343949045</v>
      </c>
      <c r="J26" s="543">
        <v>593</v>
      </c>
      <c r="K26" s="543">
        <v>1.3</v>
      </c>
      <c r="L26" s="542">
        <v>0.75</v>
      </c>
      <c r="M26" s="526">
        <f>(J26*K26*G26-'Au Cal Leaching Tank'!$R$12)-M25</f>
        <v>139.02199999999993</v>
      </c>
      <c r="N26" s="871"/>
      <c r="O26" s="526">
        <f t="shared" si="14"/>
        <v>13.282356687898083</v>
      </c>
      <c r="P26" s="526">
        <f t="shared" si="15"/>
        <v>10.466666666666667</v>
      </c>
      <c r="Q26" s="526">
        <f t="shared" si="16"/>
        <v>628</v>
      </c>
      <c r="R26" s="526">
        <f>'Milling Down Time Hours'!G20</f>
        <v>92.000000000000014</v>
      </c>
      <c r="S26" s="870"/>
      <c r="T26" s="617"/>
      <c r="U26" s="617"/>
      <c r="V26" s="617"/>
      <c r="W26" s="529">
        <f t="shared" si="2"/>
        <v>0</v>
      </c>
      <c r="X26" s="615">
        <f t="shared" si="3"/>
        <v>0</v>
      </c>
      <c r="Y26" s="615">
        <f t="shared" si="4"/>
        <v>0</v>
      </c>
      <c r="AA26" s="15"/>
      <c r="AB26" s="238">
        <f>AB25-33.43</f>
        <v>301.66354731363629</v>
      </c>
    </row>
    <row r="27" spans="1:32" ht="29.4" thickBot="1" x14ac:dyDescent="0.35">
      <c r="A27" s="913"/>
      <c r="B27" s="881">
        <v>46276</v>
      </c>
      <c r="C27" s="882"/>
      <c r="D27" s="641" t="s">
        <v>554</v>
      </c>
      <c r="E27" s="729" t="s">
        <v>590</v>
      </c>
      <c r="F27" s="628" t="s">
        <v>13</v>
      </c>
      <c r="G27" s="542">
        <v>0.4</v>
      </c>
      <c r="H27" s="526">
        <f>J27-'Au Cal Leaching Tank'!$Q$14-SUM(H25:H26)</f>
        <v>54</v>
      </c>
      <c r="I27" s="526">
        <f t="shared" si="13"/>
        <v>4.9165402124430964</v>
      </c>
      <c r="J27" s="526">
        <v>647</v>
      </c>
      <c r="K27" s="543">
        <v>1.27</v>
      </c>
      <c r="L27" s="542">
        <v>0.75</v>
      </c>
      <c r="M27" s="526">
        <f>(J27*K27*G27-'Au Cal Leaching Tank'!$R$12)-SUM(M25:M26)</f>
        <v>4.8980000000000814</v>
      </c>
      <c r="N27" s="615">
        <v>5</v>
      </c>
      <c r="O27" s="526">
        <f>M27/P27</f>
        <v>0.9828762541806183</v>
      </c>
      <c r="P27" s="526">
        <f>(360-R27)/60</f>
        <v>4.9833333333333334</v>
      </c>
      <c r="Q27" s="526">
        <f>360-R27</f>
        <v>299</v>
      </c>
      <c r="R27" s="526">
        <f>'Milling Down Time Hours'!G21</f>
        <v>61</v>
      </c>
      <c r="S27" s="870"/>
      <c r="T27" s="617"/>
      <c r="U27" s="617"/>
      <c r="V27" s="617"/>
      <c r="W27" s="529">
        <f>T27*M27</f>
        <v>0</v>
      </c>
      <c r="X27" s="615">
        <f>M27*U27</f>
        <v>0</v>
      </c>
      <c r="Y27" s="615">
        <f>M27*V27</f>
        <v>0</v>
      </c>
      <c r="AD27" s="494"/>
    </row>
    <row r="28" spans="1:32" ht="43.8" thickBot="1" x14ac:dyDescent="0.35">
      <c r="A28" s="914">
        <v>6</v>
      </c>
      <c r="B28" s="866">
        <v>46276</v>
      </c>
      <c r="C28" s="867"/>
      <c r="D28" s="620" t="s">
        <v>564</v>
      </c>
      <c r="E28" s="691" t="s">
        <v>561</v>
      </c>
      <c r="F28" s="636" t="s">
        <v>14</v>
      </c>
      <c r="G28" s="549">
        <v>0.45</v>
      </c>
      <c r="H28" s="602">
        <f>J28-'Au Cal Leaching Tank'!$Q$15</f>
        <v>179.15</v>
      </c>
      <c r="I28" s="602">
        <f t="shared" si="13"/>
        <v>89.575000000000003</v>
      </c>
      <c r="J28" s="550">
        <v>287</v>
      </c>
      <c r="K28" s="550">
        <v>1.29</v>
      </c>
      <c r="L28" s="549">
        <v>0.75</v>
      </c>
      <c r="M28" s="551">
        <f>(G28*J28*K28)-'Au Cal Leaching Tank'!$R$13</f>
        <v>110.22491250000003</v>
      </c>
      <c r="N28" s="534">
        <f>M28</f>
        <v>110.22491250000003</v>
      </c>
      <c r="O28" s="602">
        <f>M28/P28</f>
        <v>13.778114062500004</v>
      </c>
      <c r="P28" s="602">
        <f>(1080-R28)/60</f>
        <v>8</v>
      </c>
      <c r="Q28" s="602">
        <f>1080-R28</f>
        <v>480</v>
      </c>
      <c r="R28" s="602">
        <f>'Milling Down Time Hours'!G22</f>
        <v>600</v>
      </c>
      <c r="S28" s="602">
        <f>N28</f>
        <v>110.22491250000003</v>
      </c>
      <c r="T28" s="637"/>
      <c r="U28" s="637"/>
      <c r="V28" s="637"/>
      <c r="W28" s="638">
        <f>T28*M28</f>
        <v>0</v>
      </c>
      <c r="X28" s="594">
        <f>M28*U28</f>
        <v>0</v>
      </c>
      <c r="Y28" s="594">
        <f>M28*V28</f>
        <v>0</v>
      </c>
      <c r="AB28" s="32">
        <f>AB25-62</f>
        <v>273.09354731363629</v>
      </c>
    </row>
    <row r="29" spans="1:32" ht="29.4" thickBot="1" x14ac:dyDescent="0.35">
      <c r="A29" s="914"/>
      <c r="B29" s="866">
        <v>46277</v>
      </c>
      <c r="C29" s="867"/>
      <c r="D29" s="694" t="s">
        <v>565</v>
      </c>
      <c r="E29" s="695" t="s">
        <v>566</v>
      </c>
      <c r="F29" s="624" t="s">
        <v>13</v>
      </c>
      <c r="G29" s="536">
        <v>0</v>
      </c>
      <c r="H29" s="539">
        <v>0</v>
      </c>
      <c r="I29" s="539">
        <v>0</v>
      </c>
      <c r="J29" s="539">
        <v>0</v>
      </c>
      <c r="K29" s="539">
        <v>0</v>
      </c>
      <c r="L29" s="539">
        <v>0</v>
      </c>
      <c r="M29" s="537">
        <f t="shared" si="6"/>
        <v>0</v>
      </c>
      <c r="N29" s="533"/>
      <c r="O29" s="602" t="str">
        <f>IFERROR(M29/P29,"")</f>
        <v/>
      </c>
      <c r="P29" s="602">
        <f>(720-R29)/60</f>
        <v>0</v>
      </c>
      <c r="Q29" s="602">
        <f>720-R29</f>
        <v>0</v>
      </c>
      <c r="R29" s="602">
        <f>'Milling Down Time Hours'!G23</f>
        <v>720</v>
      </c>
      <c r="S29" s="539"/>
      <c r="T29" s="535"/>
      <c r="U29" s="589"/>
      <c r="V29" s="589"/>
      <c r="W29" s="532">
        <f t="shared" si="2"/>
        <v>0</v>
      </c>
      <c r="X29" s="546">
        <f t="shared" si="3"/>
        <v>0</v>
      </c>
      <c r="Y29" s="546">
        <f t="shared" si="4"/>
        <v>0</v>
      </c>
    </row>
    <row r="30" spans="1:32" ht="15" thickBot="1" x14ac:dyDescent="0.35">
      <c r="A30" s="914"/>
      <c r="B30" s="889"/>
      <c r="C30" s="890"/>
      <c r="D30" s="9"/>
      <c r="E30" s="449"/>
      <c r="F30" s="631" t="s">
        <v>14</v>
      </c>
      <c r="G30" s="176"/>
      <c r="H30" s="176"/>
      <c r="I30" s="176"/>
      <c r="J30" s="176"/>
      <c r="K30" s="176"/>
      <c r="L30" s="27"/>
      <c r="M30" s="30">
        <f t="shared" si="6"/>
        <v>0</v>
      </c>
      <c r="N30" s="243"/>
      <c r="O30" s="682" t="str">
        <f t="shared" ref="O30:O42" si="17">IFERROR(M30/P30,"")</f>
        <v/>
      </c>
      <c r="P30" s="876">
        <f>'Milling Down Time Hours'!M18</f>
        <v>0</v>
      </c>
      <c r="Q30" s="256"/>
      <c r="R30" s="876">
        <f>'Milling Down Time Hours'!L18</f>
        <v>1440</v>
      </c>
      <c r="S30" s="555"/>
      <c r="T30" s="450"/>
      <c r="U30" s="450"/>
      <c r="V30" s="451"/>
      <c r="W30" s="170">
        <f t="shared" si="2"/>
        <v>0</v>
      </c>
      <c r="X30" s="165">
        <f t="shared" si="3"/>
        <v>0</v>
      </c>
      <c r="Y30" s="165">
        <f t="shared" si="4"/>
        <v>0</v>
      </c>
      <c r="AA30" s="146"/>
      <c r="AB30" s="32"/>
    </row>
    <row r="31" spans="1:32" ht="15" thickBot="1" x14ac:dyDescent="0.35">
      <c r="B31" s="862">
        <v>46278</v>
      </c>
      <c r="C31" s="863"/>
      <c r="D31" s="10"/>
      <c r="E31" s="10"/>
      <c r="F31" s="632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43"/>
      <c r="O31" s="682" t="str">
        <f t="shared" si="17"/>
        <v/>
      </c>
      <c r="P31" s="869"/>
      <c r="Q31" s="239"/>
      <c r="R31" s="869"/>
      <c r="S31" s="556"/>
      <c r="T31" s="164"/>
      <c r="U31" s="164"/>
      <c r="V31" s="169"/>
      <c r="W31" s="170">
        <f t="shared" si="2"/>
        <v>0</v>
      </c>
      <c r="X31" s="165">
        <f t="shared" si="3"/>
        <v>0</v>
      </c>
      <c r="Y31" s="165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864"/>
      <c r="C32" s="865"/>
      <c r="D32" s="37"/>
      <c r="E32" s="37"/>
      <c r="F32" s="631" t="s">
        <v>14</v>
      </c>
      <c r="G32" s="175"/>
      <c r="H32" s="38"/>
      <c r="I32" s="38"/>
      <c r="J32" s="38"/>
      <c r="K32" s="38"/>
      <c r="L32" s="34"/>
      <c r="M32" s="30">
        <f t="shared" si="6"/>
        <v>0</v>
      </c>
      <c r="N32" s="243"/>
      <c r="O32" s="682">
        <f t="shared" si="17"/>
        <v>0</v>
      </c>
      <c r="P32" s="876">
        <f>'Milling Down Time Hours'!M19</f>
        <v>12</v>
      </c>
      <c r="Q32" s="465"/>
      <c r="R32" s="868">
        <f>'Milling Down Time Hours'!L19</f>
        <v>720</v>
      </c>
      <c r="S32" s="38"/>
      <c r="T32" s="177"/>
      <c r="U32" s="177"/>
      <c r="V32" s="178"/>
      <c r="W32" s="170">
        <f t="shared" si="2"/>
        <v>0</v>
      </c>
      <c r="X32" s="165">
        <f t="shared" si="3"/>
        <v>0</v>
      </c>
      <c r="Y32" s="165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862">
        <v>46279</v>
      </c>
      <c r="C33" s="863"/>
      <c r="D33" s="40"/>
      <c r="E33" s="40"/>
      <c r="F33" s="632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43"/>
      <c r="O33" s="682" t="str">
        <f t="shared" si="17"/>
        <v/>
      </c>
      <c r="P33" s="869"/>
      <c r="Q33" s="239"/>
      <c r="R33" s="869"/>
      <c r="S33" s="16"/>
      <c r="T33" s="164"/>
      <c r="U33" s="164"/>
      <c r="V33" s="169"/>
      <c r="W33" s="170">
        <f t="shared" si="2"/>
        <v>0</v>
      </c>
      <c r="X33" s="165">
        <f t="shared" si="3"/>
        <v>0</v>
      </c>
      <c r="Y33" s="165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864"/>
      <c r="C34" s="865"/>
      <c r="D34" s="40"/>
      <c r="E34" s="40"/>
      <c r="F34" s="631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43"/>
      <c r="O34" s="682">
        <f t="shared" si="17"/>
        <v>0</v>
      </c>
      <c r="P34" s="868">
        <f>'Milling Down Time Hours'!M20</f>
        <v>22.983333333333334</v>
      </c>
      <c r="Q34" s="256"/>
      <c r="R34" s="868">
        <f>'Milling Down Time Hours'!L20</f>
        <v>61</v>
      </c>
      <c r="S34" s="16"/>
      <c r="T34" s="177"/>
      <c r="U34" s="177"/>
      <c r="V34" s="178"/>
      <c r="W34" s="170">
        <f t="shared" si="2"/>
        <v>0</v>
      </c>
      <c r="X34" s="165">
        <f t="shared" si="3"/>
        <v>0</v>
      </c>
      <c r="Y34" s="165">
        <f t="shared" si="4"/>
        <v>0</v>
      </c>
      <c r="AA34" s="13">
        <f>AA33-AA32</f>
        <v>20.771271720000016</v>
      </c>
    </row>
    <row r="35" spans="2:32" ht="15" thickBot="1" x14ac:dyDescent="0.35">
      <c r="B35" s="862">
        <v>46280</v>
      </c>
      <c r="C35" s="863"/>
      <c r="D35" s="40"/>
      <c r="E35" s="255"/>
      <c r="F35" s="632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43"/>
      <c r="O35" s="682" t="str">
        <f t="shared" si="17"/>
        <v/>
      </c>
      <c r="P35" s="869"/>
      <c r="Q35" s="239"/>
      <c r="R35" s="869"/>
      <c r="S35" s="16"/>
      <c r="T35" s="164"/>
      <c r="U35" s="164"/>
      <c r="V35" s="169"/>
      <c r="W35" s="170">
        <f t="shared" si="2"/>
        <v>0</v>
      </c>
      <c r="X35" s="165">
        <f t="shared" si="3"/>
        <v>0</v>
      </c>
      <c r="Y35" s="165">
        <f t="shared" si="4"/>
        <v>0</v>
      </c>
      <c r="AA35" s="13"/>
    </row>
    <row r="36" spans="2:32" ht="15" thickBot="1" x14ac:dyDescent="0.35">
      <c r="B36" s="864"/>
      <c r="C36" s="865"/>
      <c r="D36" s="452"/>
      <c r="E36" s="452"/>
      <c r="F36" s="631" t="s">
        <v>14</v>
      </c>
      <c r="G36" s="454"/>
      <c r="H36" s="453"/>
      <c r="I36" s="453"/>
      <c r="J36" s="453"/>
      <c r="K36" s="453"/>
      <c r="L36" s="454"/>
      <c r="M36" s="30">
        <f t="shared" si="6"/>
        <v>0</v>
      </c>
      <c r="N36" s="455"/>
      <c r="O36" s="682">
        <f t="shared" si="17"/>
        <v>0</v>
      </c>
      <c r="P36" s="696">
        <f>'Milling Down Time Hours'!M21</f>
        <v>24</v>
      </c>
      <c r="Q36" s="488"/>
      <c r="R36" s="696">
        <f>'Milling Down Time Hours'!L21</f>
        <v>0</v>
      </c>
      <c r="S36" s="453"/>
      <c r="T36" s="456"/>
      <c r="U36" s="456"/>
      <c r="V36" s="457"/>
      <c r="W36" s="170">
        <f t="shared" si="2"/>
        <v>0</v>
      </c>
      <c r="X36" s="165">
        <f t="shared" si="3"/>
        <v>0</v>
      </c>
      <c r="Y36" s="165">
        <f t="shared" si="4"/>
        <v>0</v>
      </c>
      <c r="AA36" s="1">
        <f>269.92*1.28*41.76%</f>
        <v>144.27979776000001</v>
      </c>
    </row>
    <row r="37" spans="2:32" ht="15" thickBot="1" x14ac:dyDescent="0.35">
      <c r="B37" s="862">
        <v>46281</v>
      </c>
      <c r="C37" s="863"/>
      <c r="D37" s="452"/>
      <c r="E37" s="452"/>
      <c r="F37" s="632" t="s">
        <v>13</v>
      </c>
      <c r="G37" s="454"/>
      <c r="H37" s="453"/>
      <c r="I37" s="453"/>
      <c r="J37" s="453"/>
      <c r="K37" s="453"/>
      <c r="L37" s="454"/>
      <c r="M37" s="30">
        <f t="shared" si="6"/>
        <v>0</v>
      </c>
      <c r="N37" s="455"/>
      <c r="O37" s="682" t="str">
        <f t="shared" si="17"/>
        <v/>
      </c>
      <c r="P37" s="697"/>
      <c r="Q37" s="489"/>
      <c r="R37" s="697"/>
      <c r="S37" s="453"/>
      <c r="T37" s="458"/>
      <c r="U37" s="458"/>
      <c r="V37" s="459"/>
      <c r="W37" s="170">
        <f t="shared" si="2"/>
        <v>0</v>
      </c>
      <c r="X37" s="165">
        <f t="shared" si="3"/>
        <v>0</v>
      </c>
      <c r="Y37" s="165">
        <f t="shared" si="4"/>
        <v>0</v>
      </c>
      <c r="AA37" s="1">
        <f>323.55*1.29*42.92%</f>
        <v>179.13928140000002</v>
      </c>
    </row>
    <row r="38" spans="2:32" ht="15" thickBot="1" x14ac:dyDescent="0.35">
      <c r="B38" s="864"/>
      <c r="C38" s="865"/>
      <c r="D38" s="40"/>
      <c r="E38" s="254"/>
      <c r="F38" s="631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682">
        <f t="shared" si="17"/>
        <v>0</v>
      </c>
      <c r="P38" s="868">
        <f>'Milling Down Time Hours'!M22</f>
        <v>24</v>
      </c>
      <c r="Q38" s="256"/>
      <c r="R38" s="868">
        <f>'Milling Down Time Hours'!L22</f>
        <v>0</v>
      </c>
      <c r="S38" s="16"/>
      <c r="T38" s="898"/>
      <c r="U38" s="898"/>
      <c r="V38" s="879"/>
      <c r="W38" s="170">
        <f t="shared" si="2"/>
        <v>0</v>
      </c>
      <c r="X38" s="165">
        <f t="shared" si="3"/>
        <v>0</v>
      </c>
      <c r="Y38" s="165">
        <f t="shared" si="4"/>
        <v>0</v>
      </c>
      <c r="AA38" s="1">
        <f>AA37-AA36</f>
        <v>34.859483640000008</v>
      </c>
    </row>
    <row r="39" spans="2:32" ht="15" thickBot="1" x14ac:dyDescent="0.35">
      <c r="B39" s="862">
        <v>46282</v>
      </c>
      <c r="C39" s="863"/>
      <c r="D39" s="16"/>
      <c r="E39" s="16"/>
      <c r="F39" s="632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82" t="str">
        <f t="shared" si="17"/>
        <v/>
      </c>
      <c r="P39" s="869"/>
      <c r="Q39" s="239"/>
      <c r="R39" s="869"/>
      <c r="S39" s="16"/>
      <c r="T39" s="899"/>
      <c r="U39" s="899"/>
      <c r="V39" s="880"/>
      <c r="W39" s="170">
        <f t="shared" si="2"/>
        <v>0</v>
      </c>
      <c r="X39" s="165">
        <f t="shared" si="3"/>
        <v>0</v>
      </c>
      <c r="Y39" s="165">
        <f t="shared" si="4"/>
        <v>0</v>
      </c>
      <c r="AA39" s="146" t="s">
        <v>520</v>
      </c>
      <c r="AF39" s="1">
        <f>53-6-17</f>
        <v>30</v>
      </c>
    </row>
    <row r="40" spans="2:32" ht="15" thickBot="1" x14ac:dyDescent="0.35">
      <c r="B40" s="864"/>
      <c r="C40" s="865"/>
      <c r="D40" s="40"/>
      <c r="E40" s="254"/>
      <c r="F40" s="631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682">
        <f t="shared" si="17"/>
        <v>0</v>
      </c>
      <c r="P40" s="868">
        <f>'Milling Down Time Hours'!M23</f>
        <v>24</v>
      </c>
      <c r="Q40" s="256"/>
      <c r="R40" s="868">
        <f>'Milling Down Time Hours'!L23</f>
        <v>0</v>
      </c>
      <c r="S40" s="16"/>
      <c r="T40" s="177"/>
      <c r="U40" s="177"/>
      <c r="V40" s="178"/>
      <c r="W40" s="170">
        <f t="shared" si="2"/>
        <v>0</v>
      </c>
      <c r="X40" s="165">
        <f t="shared" si="3"/>
        <v>0</v>
      </c>
      <c r="Y40" s="165">
        <f t="shared" si="4"/>
        <v>0</v>
      </c>
      <c r="AA40" s="146"/>
      <c r="AD40" s="146"/>
      <c r="AE40" s="146"/>
    </row>
    <row r="41" spans="2:32" ht="15" thickBot="1" x14ac:dyDescent="0.35">
      <c r="B41" s="862">
        <v>46283</v>
      </c>
      <c r="C41" s="863"/>
      <c r="D41" s="16"/>
      <c r="E41" s="16"/>
      <c r="F41" s="632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682" t="str">
        <f t="shared" si="17"/>
        <v/>
      </c>
      <c r="P41" s="869"/>
      <c r="Q41" s="239"/>
      <c r="R41" s="869"/>
      <c r="S41" s="16"/>
      <c r="T41" s="187"/>
      <c r="U41" s="187"/>
      <c r="V41" s="257"/>
      <c r="W41" s="170">
        <f t="shared" si="2"/>
        <v>0</v>
      </c>
      <c r="X41" s="165">
        <f t="shared" si="3"/>
        <v>0</v>
      </c>
      <c r="Y41" s="165">
        <f t="shared" si="4"/>
        <v>0</v>
      </c>
    </row>
    <row r="42" spans="2:32" ht="15" thickBot="1" x14ac:dyDescent="0.35">
      <c r="B42" s="864"/>
      <c r="C42" s="865"/>
      <c r="D42" s="40"/>
      <c r="E42" s="40"/>
      <c r="F42" s="631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682">
        <f t="shared" si="17"/>
        <v>0</v>
      </c>
      <c r="P42" s="256">
        <f>'Milling Down Time Hours'!M24</f>
        <v>12</v>
      </c>
      <c r="Q42" s="256"/>
      <c r="R42" s="256">
        <f>'Milling Down Time Hours'!L24</f>
        <v>720</v>
      </c>
      <c r="S42" s="16"/>
      <c r="T42" s="177"/>
      <c r="U42" s="177"/>
      <c r="V42" s="178"/>
      <c r="W42" s="170">
        <f t="shared" si="2"/>
        <v>0</v>
      </c>
      <c r="X42" s="165">
        <f t="shared" si="3"/>
        <v>0</v>
      </c>
      <c r="Y42" s="165">
        <f t="shared" si="4"/>
        <v>0</v>
      </c>
    </row>
    <row r="43" spans="2:32" ht="15" thickBot="1" x14ac:dyDescent="0.35">
      <c r="B43" s="862">
        <v>46284</v>
      </c>
      <c r="C43" s="863"/>
      <c r="D43" s="16"/>
      <c r="E43" s="16"/>
      <c r="F43" s="632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39"/>
      <c r="Q43" s="265"/>
      <c r="R43" s="239"/>
      <c r="S43" s="16"/>
      <c r="T43" s="258"/>
      <c r="U43" s="187"/>
      <c r="V43" s="257"/>
      <c r="W43" s="170">
        <f t="shared" si="2"/>
        <v>0</v>
      </c>
      <c r="X43" s="165">
        <f t="shared" si="3"/>
        <v>0</v>
      </c>
      <c r="Y43" s="165">
        <f t="shared" si="4"/>
        <v>0</v>
      </c>
    </row>
    <row r="44" spans="2:32" ht="15" thickBot="1" x14ac:dyDescent="0.35">
      <c r="B44" s="864"/>
      <c r="C44" s="865"/>
      <c r="D44" s="40"/>
      <c r="E44" s="40"/>
      <c r="F44" s="631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868">
        <f>'Milling Down Time Hours'!M25</f>
        <v>12</v>
      </c>
      <c r="Q44" s="256"/>
      <c r="R44" s="868">
        <f>'Milling Down Time Hours'!L25</f>
        <v>720</v>
      </c>
      <c r="S44" s="16"/>
      <c r="T44" s="177"/>
      <c r="U44" s="177"/>
      <c r="V44" s="178"/>
      <c r="W44" s="170">
        <f t="shared" si="2"/>
        <v>0</v>
      </c>
      <c r="X44" s="165">
        <f t="shared" si="3"/>
        <v>0</v>
      </c>
      <c r="Y44" s="165">
        <f t="shared" si="4"/>
        <v>0</v>
      </c>
    </row>
    <row r="45" spans="2:32" ht="15" thickBot="1" x14ac:dyDescent="0.35">
      <c r="B45" s="862">
        <v>46285</v>
      </c>
      <c r="C45" s="863"/>
      <c r="D45" s="16"/>
      <c r="E45" s="16"/>
      <c r="F45" s="632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869"/>
      <c r="Q45" s="239"/>
      <c r="R45" s="869"/>
      <c r="S45" s="16"/>
      <c r="T45" s="258"/>
      <c r="U45" s="258"/>
      <c r="V45" s="259"/>
      <c r="W45" s="170">
        <f t="shared" si="2"/>
        <v>0</v>
      </c>
      <c r="X45" s="165">
        <f t="shared" si="3"/>
        <v>0</v>
      </c>
      <c r="Y45" s="165">
        <f t="shared" si="4"/>
        <v>0</v>
      </c>
    </row>
    <row r="46" spans="2:32" ht="15" thickBot="1" x14ac:dyDescent="0.35">
      <c r="B46" s="864"/>
      <c r="C46" s="865"/>
      <c r="D46" s="40"/>
      <c r="E46" s="40"/>
      <c r="F46" s="631" t="s">
        <v>14</v>
      </c>
      <c r="G46" s="264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868">
        <f>'Milling Down Time Hours'!M26</f>
        <v>24</v>
      </c>
      <c r="Q46" s="256"/>
      <c r="R46" s="868">
        <f>'Milling Down Time Hours'!L26</f>
        <v>0</v>
      </c>
      <c r="S46" s="16"/>
      <c r="T46" s="898"/>
      <c r="U46" s="898"/>
      <c r="V46" s="879"/>
      <c r="W46" s="170"/>
      <c r="X46" s="165"/>
      <c r="Y46" s="165"/>
    </row>
    <row r="47" spans="2:32" ht="15" thickBot="1" x14ac:dyDescent="0.35">
      <c r="B47" s="862">
        <v>46286</v>
      </c>
      <c r="C47" s="863"/>
      <c r="D47" s="16"/>
      <c r="E47" s="16"/>
      <c r="F47" s="632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869"/>
      <c r="Q47" s="239"/>
      <c r="R47" s="869"/>
      <c r="S47" s="16"/>
      <c r="T47" s="899"/>
      <c r="U47" s="899"/>
      <c r="V47" s="880"/>
      <c r="W47" s="170"/>
      <c r="X47" s="165"/>
      <c r="Y47" s="165"/>
    </row>
    <row r="48" spans="2:32" ht="15" thickBot="1" x14ac:dyDescent="0.35">
      <c r="B48" s="864"/>
      <c r="C48" s="865"/>
      <c r="D48" s="40"/>
      <c r="E48" s="268"/>
      <c r="F48" s="631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68">
        <f>'Milling Down Time Hours'!M54</f>
        <v>0</v>
      </c>
      <c r="Q48" s="256"/>
      <c r="R48" s="868">
        <f>'Milling Down Time Hours'!L54</f>
        <v>0</v>
      </c>
      <c r="S48" s="16"/>
      <c r="T48" s="898"/>
      <c r="U48" s="898"/>
      <c r="V48" s="879"/>
      <c r="W48" s="170"/>
      <c r="X48" s="165"/>
      <c r="Y48" s="165"/>
    </row>
    <row r="49" spans="2:28" ht="15" thickBot="1" x14ac:dyDescent="0.35">
      <c r="B49" s="862">
        <v>46287</v>
      </c>
      <c r="C49" s="863"/>
      <c r="D49" s="16"/>
      <c r="E49" s="16"/>
      <c r="F49" s="632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69"/>
      <c r="Q49" s="239"/>
      <c r="R49" s="869"/>
      <c r="S49" s="16"/>
      <c r="T49" s="899"/>
      <c r="U49" s="899"/>
      <c r="V49" s="880"/>
      <c r="W49" s="170"/>
      <c r="X49" s="165"/>
      <c r="Y49" s="165"/>
    </row>
    <row r="50" spans="2:28" ht="15" thickBot="1" x14ac:dyDescent="0.35">
      <c r="B50" s="864"/>
      <c r="C50" s="865"/>
      <c r="D50" s="40"/>
      <c r="E50" s="268"/>
      <c r="F50" s="631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68">
        <f>'Milling Down Time Hours'!M56</f>
        <v>0</v>
      </c>
      <c r="Q50" s="256"/>
      <c r="R50" s="868">
        <f>'Milling Down Time Hours'!L56</f>
        <v>0</v>
      </c>
      <c r="S50" s="16"/>
      <c r="T50" s="898"/>
      <c r="U50" s="898"/>
      <c r="V50" s="879"/>
      <c r="W50" s="170"/>
      <c r="X50" s="165"/>
      <c r="Y50" s="165"/>
    </row>
    <row r="51" spans="2:28" ht="15" thickBot="1" x14ac:dyDescent="0.35">
      <c r="B51" s="862">
        <v>46288</v>
      </c>
      <c r="C51" s="863"/>
      <c r="D51" s="16"/>
      <c r="E51" s="16"/>
      <c r="F51" s="632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69"/>
      <c r="Q51" s="239"/>
      <c r="R51" s="869"/>
      <c r="S51" s="16"/>
      <c r="T51" s="899"/>
      <c r="U51" s="899"/>
      <c r="V51" s="880"/>
      <c r="W51" s="170"/>
      <c r="X51" s="165"/>
      <c r="Y51" s="165"/>
    </row>
    <row r="52" spans="2:28" ht="15" thickBot="1" x14ac:dyDescent="0.35">
      <c r="B52" s="864"/>
      <c r="C52" s="865"/>
      <c r="D52" s="40"/>
      <c r="E52" s="40"/>
      <c r="F52" s="631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68"/>
      <c r="Q52" s="256"/>
      <c r="R52" s="868"/>
      <c r="S52" s="16"/>
      <c r="T52" s="898"/>
      <c r="U52" s="898"/>
      <c r="V52" s="879"/>
      <c r="W52" s="170"/>
      <c r="X52" s="165"/>
      <c r="Y52" s="165"/>
    </row>
    <row r="53" spans="2:28" ht="15" thickBot="1" x14ac:dyDescent="0.35">
      <c r="B53" s="862">
        <v>46289</v>
      </c>
      <c r="C53" s="863"/>
      <c r="D53" s="16"/>
      <c r="E53" s="16"/>
      <c r="F53" s="632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69"/>
      <c r="Q53" s="239"/>
      <c r="R53" s="869"/>
      <c r="S53" s="16"/>
      <c r="T53" s="899"/>
      <c r="U53" s="899"/>
      <c r="V53" s="880"/>
      <c r="W53" s="170"/>
      <c r="X53" s="165"/>
      <c r="Y53" s="165"/>
      <c r="AB53" s="1">
        <v>9570</v>
      </c>
    </row>
    <row r="54" spans="2:28" ht="15" thickBot="1" x14ac:dyDescent="0.35">
      <c r="B54" s="864"/>
      <c r="C54" s="865"/>
      <c r="D54" s="40"/>
      <c r="E54" s="40"/>
      <c r="F54" s="631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868">
        <f>'Milling Down Time Hours'!M60</f>
        <v>14.542361111111109</v>
      </c>
      <c r="Q54" s="256"/>
      <c r="R54" s="868">
        <f>'Milling Down Time Hours'!L60</f>
        <v>0</v>
      </c>
      <c r="S54" s="16"/>
      <c r="T54" s="898"/>
      <c r="U54" s="898"/>
      <c r="V54" s="879"/>
      <c r="W54" s="170"/>
      <c r="X54" s="165"/>
      <c r="Y54" s="165"/>
      <c r="AB54" s="1">
        <v>8795</v>
      </c>
    </row>
    <row r="55" spans="2:28" ht="15" thickBot="1" x14ac:dyDescent="0.35">
      <c r="B55" s="862">
        <v>46290</v>
      </c>
      <c r="C55" s="863"/>
      <c r="D55" s="16"/>
      <c r="E55" s="16"/>
      <c r="F55" s="632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69"/>
      <c r="Q55" s="239"/>
      <c r="R55" s="869"/>
      <c r="S55" s="16"/>
      <c r="T55" s="899"/>
      <c r="U55" s="899"/>
      <c r="V55" s="880"/>
      <c r="W55" s="170"/>
      <c r="X55" s="165"/>
      <c r="Y55" s="165"/>
      <c r="AB55" s="1">
        <f>(AB53-AB54)/AB53</f>
        <v>8.0982236154649945E-2</v>
      </c>
    </row>
    <row r="56" spans="2:28" ht="15" thickBot="1" x14ac:dyDescent="0.35">
      <c r="B56" s="864"/>
      <c r="C56" s="865"/>
      <c r="D56" s="40"/>
      <c r="E56" s="40"/>
      <c r="F56" s="631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868">
        <f>'Milling Down Time Hours'!M62</f>
        <v>0</v>
      </c>
      <c r="Q56" s="256"/>
      <c r="R56" s="868">
        <f>'Milling Down Time Hours'!L62</f>
        <v>0</v>
      </c>
      <c r="S56" s="16"/>
      <c r="T56" s="898"/>
      <c r="U56" s="898"/>
      <c r="V56" s="879"/>
      <c r="W56" s="170"/>
      <c r="X56" s="165"/>
      <c r="Y56" s="165"/>
    </row>
    <row r="57" spans="2:28" ht="15" thickBot="1" x14ac:dyDescent="0.35">
      <c r="B57" s="862">
        <v>46291</v>
      </c>
      <c r="C57" s="863"/>
      <c r="D57" s="16"/>
      <c r="E57" s="16"/>
      <c r="F57" s="632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869"/>
      <c r="Q57" s="239"/>
      <c r="R57" s="869"/>
      <c r="S57" s="16"/>
      <c r="T57" s="899"/>
      <c r="U57" s="899"/>
      <c r="V57" s="880"/>
      <c r="W57" s="170"/>
      <c r="X57" s="165"/>
      <c r="Y57" s="165"/>
    </row>
    <row r="58" spans="2:28" ht="15" thickBot="1" x14ac:dyDescent="0.35">
      <c r="B58" s="864"/>
      <c r="C58" s="865"/>
      <c r="D58" s="40"/>
      <c r="E58" s="40"/>
      <c r="F58" s="631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68">
        <f>'Milling Down Time Hours'!M64</f>
        <v>0</v>
      </c>
      <c r="Q58" s="256"/>
      <c r="R58" s="868">
        <f>'Milling Down Time Hours'!L64</f>
        <v>0</v>
      </c>
      <c r="S58" s="16"/>
      <c r="T58" s="898"/>
      <c r="U58" s="898"/>
      <c r="V58" s="879"/>
      <c r="W58" s="170"/>
      <c r="X58" s="165"/>
      <c r="Y58" s="165"/>
    </row>
    <row r="59" spans="2:28" ht="15" thickBot="1" x14ac:dyDescent="0.35">
      <c r="B59" s="862">
        <v>46292</v>
      </c>
      <c r="C59" s="863"/>
      <c r="D59" s="16"/>
      <c r="E59" s="16"/>
      <c r="F59" s="632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69"/>
      <c r="Q59" s="239"/>
      <c r="R59" s="869"/>
      <c r="S59" s="16"/>
      <c r="T59" s="899"/>
      <c r="U59" s="899"/>
      <c r="V59" s="880"/>
      <c r="W59" s="170"/>
      <c r="X59" s="165"/>
      <c r="Y59" s="165"/>
    </row>
    <row r="60" spans="2:28" ht="15" thickBot="1" x14ac:dyDescent="0.35">
      <c r="B60" s="864"/>
      <c r="C60" s="865"/>
      <c r="D60" s="40"/>
      <c r="E60" s="40"/>
      <c r="F60" s="631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68">
        <f>'Milling Down Time Hours'!M66</f>
        <v>0</v>
      </c>
      <c r="Q60" s="256"/>
      <c r="R60" s="868">
        <f>'Milling Down Time Hours'!L66</f>
        <v>0</v>
      </c>
      <c r="S60" s="16"/>
      <c r="T60" s="898"/>
      <c r="U60" s="898"/>
      <c r="V60" s="879"/>
      <c r="W60" s="170"/>
      <c r="X60" s="165"/>
      <c r="Y60" s="165"/>
    </row>
    <row r="61" spans="2:28" ht="15" thickBot="1" x14ac:dyDescent="0.35">
      <c r="B61" s="862">
        <v>46293</v>
      </c>
      <c r="C61" s="863"/>
      <c r="D61" s="16"/>
      <c r="E61" s="16"/>
      <c r="F61" s="632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69"/>
      <c r="Q61" s="239"/>
      <c r="R61" s="869"/>
      <c r="S61" s="16"/>
      <c r="T61" s="899"/>
      <c r="U61" s="899"/>
      <c r="V61" s="880"/>
      <c r="W61" s="170"/>
      <c r="X61" s="165"/>
      <c r="Y61" s="165"/>
    </row>
    <row r="62" spans="2:28" ht="15" thickBot="1" x14ac:dyDescent="0.35">
      <c r="B62" s="864"/>
      <c r="C62" s="865"/>
      <c r="D62" s="40"/>
      <c r="E62" s="40"/>
      <c r="F62" s="631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868">
        <f>'Milling Down Time Hours'!M34</f>
        <v>24</v>
      </c>
      <c r="Q62" s="256"/>
      <c r="R62" s="868">
        <f>'Milling Down Time Hours'!L68</f>
        <v>0</v>
      </c>
      <c r="S62" s="16"/>
      <c r="T62" s="900"/>
      <c r="U62" s="900"/>
      <c r="V62" s="902"/>
      <c r="W62" s="170">
        <f t="shared" ref="W62:W97" si="19">T62*M62</f>
        <v>0</v>
      </c>
      <c r="X62" s="165">
        <f t="shared" ref="X62:X97" si="20">M62*U62</f>
        <v>0</v>
      </c>
      <c r="Y62" s="165">
        <f t="shared" ref="Y62:Y97" si="21">M62*V62</f>
        <v>0</v>
      </c>
    </row>
    <row r="63" spans="2:28" ht="15" thickBot="1" x14ac:dyDescent="0.35">
      <c r="B63" s="862">
        <v>46294</v>
      </c>
      <c r="C63" s="863"/>
      <c r="D63" s="16"/>
      <c r="E63" s="16"/>
      <c r="F63" s="632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869"/>
      <c r="Q63" s="239"/>
      <c r="R63" s="869"/>
      <c r="S63" s="16"/>
      <c r="T63" s="901"/>
      <c r="U63" s="901"/>
      <c r="V63" s="903"/>
      <c r="W63" s="170">
        <f t="shared" si="19"/>
        <v>0</v>
      </c>
      <c r="X63" s="165">
        <f t="shared" si="20"/>
        <v>0</v>
      </c>
      <c r="Y63" s="165">
        <f t="shared" si="21"/>
        <v>0</v>
      </c>
    </row>
    <row r="64" spans="2:28" ht="15" thickBot="1" x14ac:dyDescent="0.35">
      <c r="B64" s="864"/>
      <c r="C64" s="865"/>
      <c r="D64" s="40"/>
      <c r="E64" s="40"/>
      <c r="F64" s="631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68">
        <f>'Milling Down Time Hours'!M35</f>
        <v>24</v>
      </c>
      <c r="Q64" s="256"/>
      <c r="R64" s="868">
        <f>'Milling Down Time Hours'!L70</f>
        <v>0</v>
      </c>
      <c r="S64" s="16"/>
      <c r="T64" s="900"/>
      <c r="U64" s="900"/>
      <c r="V64" s="904"/>
      <c r="W64" s="170">
        <f t="shared" si="19"/>
        <v>0</v>
      </c>
      <c r="X64" s="165">
        <f t="shared" si="20"/>
        <v>0</v>
      </c>
      <c r="Y64" s="165">
        <f t="shared" si="21"/>
        <v>0</v>
      </c>
    </row>
    <row r="65" spans="2:30" ht="15" thickBot="1" x14ac:dyDescent="0.35">
      <c r="B65" s="862">
        <v>46295</v>
      </c>
      <c r="C65" s="863"/>
      <c r="D65" s="16"/>
      <c r="E65" s="16"/>
      <c r="F65" s="632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69"/>
      <c r="Q65" s="239"/>
      <c r="R65" s="869"/>
      <c r="S65" s="16"/>
      <c r="T65" s="901"/>
      <c r="U65" s="901"/>
      <c r="V65" s="905"/>
      <c r="W65" s="170">
        <f t="shared" si="19"/>
        <v>0</v>
      </c>
      <c r="X65" s="165">
        <f t="shared" si="20"/>
        <v>0</v>
      </c>
      <c r="Y65" s="165">
        <f t="shared" si="21"/>
        <v>0</v>
      </c>
    </row>
    <row r="66" spans="2:30" ht="15" thickBot="1" x14ac:dyDescent="0.35">
      <c r="B66" s="864"/>
      <c r="C66" s="865"/>
      <c r="D66" s="40"/>
      <c r="E66" s="40"/>
      <c r="F66" s="631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908"/>
      <c r="Q66" s="486"/>
      <c r="R66" s="868">
        <f>'Milling Down Time Hours'!L72</f>
        <v>0</v>
      </c>
      <c r="S66" s="16"/>
      <c r="T66" s="900"/>
      <c r="U66" s="900"/>
      <c r="V66" s="904"/>
      <c r="W66" s="170">
        <f t="shared" si="19"/>
        <v>0</v>
      </c>
      <c r="X66" s="165">
        <f t="shared" si="20"/>
        <v>0</v>
      </c>
      <c r="Y66" s="165">
        <f t="shared" si="21"/>
        <v>0</v>
      </c>
    </row>
    <row r="67" spans="2:30" ht="15" thickBot="1" x14ac:dyDescent="0.35">
      <c r="B67" s="862">
        <v>46296</v>
      </c>
      <c r="C67" s="863"/>
      <c r="D67" s="16"/>
      <c r="E67" s="16"/>
      <c r="F67" s="632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909"/>
      <c r="Q67" s="487"/>
      <c r="R67" s="869"/>
      <c r="S67" s="16"/>
      <c r="T67" s="901"/>
      <c r="U67" s="901"/>
      <c r="V67" s="905"/>
      <c r="W67" s="170">
        <f t="shared" si="19"/>
        <v>0</v>
      </c>
      <c r="X67" s="165">
        <f t="shared" si="20"/>
        <v>0</v>
      </c>
      <c r="Y67" s="165">
        <f t="shared" si="21"/>
        <v>0</v>
      </c>
    </row>
    <row r="68" spans="2:30" ht="15" thickBot="1" x14ac:dyDescent="0.35">
      <c r="B68" s="864"/>
      <c r="C68" s="865"/>
      <c r="D68" s="40"/>
      <c r="E68" s="40"/>
      <c r="F68" s="631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868">
        <f>'Milling Down Time Hours'!M37</f>
        <v>24</v>
      </c>
      <c r="Q68" s="256"/>
      <c r="R68" s="868">
        <f>'Milling Down Time Hours'!L74</f>
        <v>0</v>
      </c>
      <c r="S68" s="16"/>
      <c r="T68" s="900"/>
      <c r="U68" s="900"/>
      <c r="V68" s="902"/>
      <c r="W68" s="170">
        <f t="shared" si="19"/>
        <v>0</v>
      </c>
      <c r="X68" s="165">
        <f t="shared" si="20"/>
        <v>0</v>
      </c>
      <c r="Y68" s="165">
        <f t="shared" si="21"/>
        <v>0</v>
      </c>
    </row>
    <row r="69" spans="2:30" ht="15" thickBot="1" x14ac:dyDescent="0.35">
      <c r="B69" s="862">
        <v>46297</v>
      </c>
      <c r="C69" s="863"/>
      <c r="D69" s="16"/>
      <c r="E69" s="16"/>
      <c r="F69" s="632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69"/>
      <c r="Q69" s="239"/>
      <c r="R69" s="869"/>
      <c r="S69" s="16"/>
      <c r="T69" s="901"/>
      <c r="U69" s="901"/>
      <c r="V69" s="903"/>
      <c r="W69" s="170">
        <f t="shared" si="19"/>
        <v>0</v>
      </c>
      <c r="X69" s="165">
        <f t="shared" si="20"/>
        <v>0</v>
      </c>
      <c r="Y69" s="165">
        <f t="shared" si="21"/>
        <v>0</v>
      </c>
    </row>
    <row r="70" spans="2:30" ht="15" thickBot="1" x14ac:dyDescent="0.35">
      <c r="B70" s="864"/>
      <c r="C70" s="865"/>
      <c r="D70" s="40"/>
      <c r="E70" s="40"/>
      <c r="F70" s="631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868">
        <f>'Milling Down Time Hours'!M38</f>
        <v>24</v>
      </c>
      <c r="Q70" s="256"/>
      <c r="R70" s="868">
        <f>'Milling Down Time Hours'!L76</f>
        <v>0</v>
      </c>
      <c r="S70" s="16"/>
      <c r="T70" s="900"/>
      <c r="U70" s="900"/>
      <c r="V70" s="902"/>
      <c r="W70" s="170">
        <f t="shared" si="19"/>
        <v>0</v>
      </c>
      <c r="X70" s="165">
        <f t="shared" si="20"/>
        <v>0</v>
      </c>
      <c r="Y70" s="165">
        <f t="shared" si="21"/>
        <v>0</v>
      </c>
    </row>
    <row r="71" spans="2:30" ht="15" thickBot="1" x14ac:dyDescent="0.35">
      <c r="B71" s="862">
        <v>46298</v>
      </c>
      <c r="C71" s="863"/>
      <c r="D71" s="16"/>
      <c r="E71" s="16"/>
      <c r="F71" s="632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869"/>
      <c r="Q71" s="239"/>
      <c r="R71" s="869"/>
      <c r="S71" s="16"/>
      <c r="T71" s="901"/>
      <c r="U71" s="901"/>
      <c r="V71" s="903"/>
      <c r="W71" s="170">
        <f t="shared" si="19"/>
        <v>0</v>
      </c>
      <c r="X71" s="165">
        <f t="shared" si="20"/>
        <v>0</v>
      </c>
      <c r="Y71" s="165">
        <f t="shared" si="21"/>
        <v>0</v>
      </c>
    </row>
    <row r="72" spans="2:30" ht="15" thickBot="1" x14ac:dyDescent="0.35">
      <c r="B72" s="864"/>
      <c r="C72" s="865"/>
      <c r="D72" s="40"/>
      <c r="E72" s="40"/>
      <c r="F72" s="631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868">
        <f>'Milling Down Time Hours'!M39</f>
        <v>24</v>
      </c>
      <c r="Q72" s="256"/>
      <c r="R72" s="868">
        <f>'Milling Down Time Hours'!L78</f>
        <v>0</v>
      </c>
      <c r="S72" s="16"/>
      <c r="T72" s="900"/>
      <c r="U72" s="900"/>
      <c r="V72" s="902"/>
      <c r="W72" s="170">
        <f t="shared" si="19"/>
        <v>0</v>
      </c>
      <c r="X72" s="165">
        <f t="shared" si="20"/>
        <v>0</v>
      </c>
      <c r="Y72" s="165">
        <f t="shared" si="21"/>
        <v>0</v>
      </c>
    </row>
    <row r="73" spans="2:30" ht="15" thickBot="1" x14ac:dyDescent="0.35">
      <c r="B73" s="862">
        <v>46299</v>
      </c>
      <c r="C73" s="863"/>
      <c r="D73" s="16"/>
      <c r="E73" s="16"/>
      <c r="F73" s="632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869"/>
      <c r="Q73" s="239"/>
      <c r="R73" s="869"/>
      <c r="S73" s="16"/>
      <c r="T73" s="901"/>
      <c r="U73" s="901"/>
      <c r="V73" s="903"/>
      <c r="W73" s="170">
        <f t="shared" si="19"/>
        <v>0</v>
      </c>
      <c r="X73" s="165">
        <f t="shared" si="20"/>
        <v>0</v>
      </c>
      <c r="Y73" s="165">
        <f t="shared" si="21"/>
        <v>0</v>
      </c>
      <c r="AD73" s="1">
        <v>0.41899999999999998</v>
      </c>
    </row>
    <row r="74" spans="2:30" ht="15" thickBot="1" x14ac:dyDescent="0.35">
      <c r="B74" s="864"/>
      <c r="C74" s="865"/>
      <c r="D74" s="40"/>
      <c r="E74" s="40"/>
      <c r="F74" s="631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68">
        <f>'Milling Down Time Hours'!M40</f>
        <v>24</v>
      </c>
      <c r="Q74" s="256"/>
      <c r="R74" s="868">
        <f>'Milling Down Time Hours'!L80</f>
        <v>0</v>
      </c>
      <c r="S74" s="16"/>
      <c r="T74" s="898"/>
      <c r="U74" s="898"/>
      <c r="V74" s="879"/>
      <c r="W74" s="170">
        <f t="shared" si="19"/>
        <v>0</v>
      </c>
      <c r="X74" s="165">
        <f t="shared" si="20"/>
        <v>0</v>
      </c>
      <c r="Y74" s="165">
        <f t="shared" si="21"/>
        <v>0</v>
      </c>
      <c r="AD74" s="1">
        <v>0.41299999999999998</v>
      </c>
    </row>
    <row r="75" spans="2:30" ht="15" thickBot="1" x14ac:dyDescent="0.35">
      <c r="B75" s="862">
        <v>46300</v>
      </c>
      <c r="C75" s="863"/>
      <c r="D75" s="16"/>
      <c r="E75" s="16"/>
      <c r="F75" s="632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69"/>
      <c r="Q75" s="239"/>
      <c r="R75" s="869"/>
      <c r="S75" s="16"/>
      <c r="T75" s="899"/>
      <c r="U75" s="899"/>
      <c r="V75" s="880"/>
      <c r="W75" s="170">
        <f t="shared" si="19"/>
        <v>0</v>
      </c>
      <c r="X75" s="165">
        <f t="shared" si="20"/>
        <v>0</v>
      </c>
      <c r="Y75" s="165">
        <f t="shared" si="21"/>
        <v>0</v>
      </c>
      <c r="AD75" s="1">
        <v>0.40400000000000003</v>
      </c>
    </row>
    <row r="76" spans="2:30" ht="15" thickBot="1" x14ac:dyDescent="0.35">
      <c r="B76" s="864"/>
      <c r="C76" s="865"/>
      <c r="D76" s="40"/>
      <c r="E76" s="40"/>
      <c r="F76" s="631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868">
        <f>'Milling Down Time Hours'!M41</f>
        <v>24</v>
      </c>
      <c r="Q76" s="256"/>
      <c r="R76" s="868">
        <f>'Milling Down Time Hours'!L82</f>
        <v>0</v>
      </c>
      <c r="S76" s="16"/>
      <c r="T76" s="900"/>
      <c r="U76" s="900"/>
      <c r="V76" s="902"/>
      <c r="W76" s="170">
        <f t="shared" si="19"/>
        <v>0</v>
      </c>
      <c r="X76" s="165">
        <f t="shared" si="20"/>
        <v>0</v>
      </c>
      <c r="Y76" s="165">
        <f t="shared" si="21"/>
        <v>0</v>
      </c>
      <c r="AD76" s="1">
        <v>0.47</v>
      </c>
    </row>
    <row r="77" spans="2:30" ht="15" thickBot="1" x14ac:dyDescent="0.35">
      <c r="B77" s="862">
        <v>46301</v>
      </c>
      <c r="C77" s="863"/>
      <c r="D77" s="16"/>
      <c r="E77" s="16"/>
      <c r="F77" s="632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869"/>
      <c r="Q77" s="239"/>
      <c r="R77" s="869"/>
      <c r="S77" s="16"/>
      <c r="T77" s="901"/>
      <c r="U77" s="901"/>
      <c r="V77" s="903"/>
      <c r="W77" s="170">
        <f t="shared" si="19"/>
        <v>0</v>
      </c>
      <c r="X77" s="165">
        <f t="shared" si="20"/>
        <v>0</v>
      </c>
      <c r="Y77" s="165">
        <f t="shared" si="21"/>
        <v>0</v>
      </c>
      <c r="AD77" s="1">
        <v>0.46500000000000002</v>
      </c>
    </row>
    <row r="78" spans="2:30" ht="14.55" hidden="1" customHeight="1" thickBot="1" x14ac:dyDescent="0.35">
      <c r="B78" s="910"/>
      <c r="C78" s="911"/>
      <c r="D78" s="40"/>
      <c r="E78" s="40"/>
      <c r="F78" s="631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868">
        <f>'Milling Down Time Hours'!M42</f>
        <v>24</v>
      </c>
      <c r="Q78" s="256"/>
      <c r="R78" s="868">
        <f>'Milling Down Time Hours'!L84</f>
        <v>0</v>
      </c>
      <c r="S78" s="16"/>
      <c r="T78" s="900">
        <v>0.35699999999999998</v>
      </c>
      <c r="U78" s="900">
        <v>1.056</v>
      </c>
      <c r="V78" s="902">
        <v>32.25</v>
      </c>
      <c r="W78" s="170">
        <f t="shared" si="19"/>
        <v>0</v>
      </c>
      <c r="X78" s="165">
        <f t="shared" si="20"/>
        <v>0</v>
      </c>
      <c r="Y78" s="165">
        <f t="shared" si="21"/>
        <v>0</v>
      </c>
      <c r="AD78" s="1">
        <v>0.51600000000000001</v>
      </c>
    </row>
    <row r="79" spans="2:30" ht="15" hidden="1" customHeight="1" thickBot="1" x14ac:dyDescent="0.35">
      <c r="B79" s="910"/>
      <c r="C79" s="911"/>
      <c r="D79" s="16"/>
      <c r="E79" s="16"/>
      <c r="F79" s="632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869"/>
      <c r="Q79" s="239"/>
      <c r="R79" s="869"/>
      <c r="S79" s="16"/>
      <c r="T79" s="901"/>
      <c r="U79" s="901"/>
      <c r="V79" s="903"/>
      <c r="W79" s="170">
        <f t="shared" si="19"/>
        <v>0</v>
      </c>
      <c r="X79" s="165">
        <f t="shared" si="20"/>
        <v>0</v>
      </c>
      <c r="Y79" s="165">
        <f t="shared" si="21"/>
        <v>0</v>
      </c>
      <c r="AD79" s="124">
        <f>AVERAGE(AD73:AD78)</f>
        <v>0.44783333333333331</v>
      </c>
    </row>
    <row r="80" spans="2:30" ht="14.55" hidden="1" customHeight="1" thickBot="1" x14ac:dyDescent="0.35">
      <c r="B80" s="910"/>
      <c r="C80" s="911"/>
      <c r="D80" s="40"/>
      <c r="E80" s="40"/>
      <c r="F80" s="631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68">
        <f>'Milling Down Time Hours'!M86</f>
        <v>0</v>
      </c>
      <c r="Q80" s="256"/>
      <c r="R80" s="868">
        <f>'Milling Down Time Hours'!L86</f>
        <v>0</v>
      </c>
      <c r="S80" s="16"/>
      <c r="T80" s="898" t="e">
        <f>SUM(#REF!)</f>
        <v>#REF!</v>
      </c>
      <c r="U80" s="898" t="e">
        <f t="shared" ref="U80" si="23">SUM(T80:T82)</f>
        <v>#REF!</v>
      </c>
      <c r="V80" s="879" t="e">
        <f t="shared" ref="V80" si="24">SUM(U80:U82)</f>
        <v>#REF!</v>
      </c>
      <c r="W80" s="170" t="e">
        <f t="shared" si="19"/>
        <v>#REF!</v>
      </c>
      <c r="X80" s="165" t="e">
        <f t="shared" si="20"/>
        <v>#REF!</v>
      </c>
      <c r="Y80" s="165" t="e">
        <f t="shared" si="21"/>
        <v>#REF!</v>
      </c>
    </row>
    <row r="81" spans="2:25" ht="15" hidden="1" customHeight="1" thickBot="1" x14ac:dyDescent="0.35">
      <c r="B81" s="910"/>
      <c r="C81" s="911"/>
      <c r="D81" s="16"/>
      <c r="E81" s="16"/>
      <c r="F81" s="632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69"/>
      <c r="Q81" s="239"/>
      <c r="R81" s="869"/>
      <c r="S81" s="16"/>
      <c r="T81" s="899"/>
      <c r="U81" s="899"/>
      <c r="V81" s="880"/>
      <c r="W81" s="170">
        <f t="shared" si="19"/>
        <v>0</v>
      </c>
      <c r="X81" s="165">
        <f t="shared" si="20"/>
        <v>0</v>
      </c>
      <c r="Y81" s="165">
        <f t="shared" si="21"/>
        <v>0</v>
      </c>
    </row>
    <row r="82" spans="2:25" ht="14.55" hidden="1" customHeight="1" thickBot="1" x14ac:dyDescent="0.35">
      <c r="B82" s="910"/>
      <c r="C82" s="911"/>
      <c r="D82" s="40"/>
      <c r="E82" s="40"/>
      <c r="F82" s="631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68">
        <f>'Milling Down Time Hours'!M88</f>
        <v>0</v>
      </c>
      <c r="Q82" s="256"/>
      <c r="R82" s="868">
        <f>'Milling Down Time Hours'!L88</f>
        <v>0</v>
      </c>
      <c r="S82" s="16"/>
      <c r="T82" s="898" t="e">
        <f>SUM(#REF!)</f>
        <v>#REF!</v>
      </c>
      <c r="U82" s="898" t="e">
        <f t="shared" ref="U82" si="25">SUM(T82:T84)</f>
        <v>#REF!</v>
      </c>
      <c r="V82" s="879" t="e">
        <f t="shared" ref="V82" si="26">SUM(U82:U84)</f>
        <v>#REF!</v>
      </c>
      <c r="W82" s="170" t="e">
        <f t="shared" si="19"/>
        <v>#REF!</v>
      </c>
      <c r="X82" s="165" t="e">
        <f t="shared" si="20"/>
        <v>#REF!</v>
      </c>
      <c r="Y82" s="165" t="e">
        <f t="shared" si="21"/>
        <v>#REF!</v>
      </c>
    </row>
    <row r="83" spans="2:25" ht="15" hidden="1" customHeight="1" thickBot="1" x14ac:dyDescent="0.35">
      <c r="B83" s="910"/>
      <c r="C83" s="911"/>
      <c r="D83" s="16"/>
      <c r="E83" s="16"/>
      <c r="F83" s="632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69"/>
      <c r="Q83" s="239"/>
      <c r="R83" s="869"/>
      <c r="S83" s="16"/>
      <c r="T83" s="899"/>
      <c r="U83" s="899"/>
      <c r="V83" s="880"/>
      <c r="W83" s="170">
        <f t="shared" si="19"/>
        <v>0</v>
      </c>
      <c r="X83" s="165">
        <f t="shared" si="20"/>
        <v>0</v>
      </c>
      <c r="Y83" s="165">
        <f t="shared" si="21"/>
        <v>0</v>
      </c>
    </row>
    <row r="84" spans="2:25" ht="14.55" hidden="1" customHeight="1" thickBot="1" x14ac:dyDescent="0.35">
      <c r="B84" s="910"/>
      <c r="C84" s="911"/>
      <c r="D84" s="40"/>
      <c r="E84" s="40"/>
      <c r="F84" s="631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68">
        <f>'Milling Down Time Hours'!M90</f>
        <v>0</v>
      </c>
      <c r="Q84" s="256"/>
      <c r="R84" s="868">
        <f>'Milling Down Time Hours'!L90</f>
        <v>0</v>
      </c>
      <c r="S84" s="16"/>
      <c r="T84" s="898" t="e">
        <f>SUM(#REF!)</f>
        <v>#REF!</v>
      </c>
      <c r="U84" s="898" t="e">
        <f t="shared" ref="U84" si="27">SUM(T84:T86)</f>
        <v>#REF!</v>
      </c>
      <c r="V84" s="879" t="e">
        <f t="shared" ref="V84" si="28">SUM(U84:U86)</f>
        <v>#REF!</v>
      </c>
      <c r="W84" s="170" t="e">
        <f t="shared" si="19"/>
        <v>#REF!</v>
      </c>
      <c r="X84" s="165" t="e">
        <f t="shared" si="20"/>
        <v>#REF!</v>
      </c>
      <c r="Y84" s="165" t="e">
        <f t="shared" si="21"/>
        <v>#REF!</v>
      </c>
    </row>
    <row r="85" spans="2:25" ht="15" hidden="1" customHeight="1" thickBot="1" x14ac:dyDescent="0.35">
      <c r="B85" s="910"/>
      <c r="C85" s="911"/>
      <c r="D85" s="16"/>
      <c r="E85" s="16"/>
      <c r="F85" s="632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69"/>
      <c r="Q85" s="239"/>
      <c r="R85" s="869"/>
      <c r="S85" s="16"/>
      <c r="T85" s="899"/>
      <c r="U85" s="899"/>
      <c r="V85" s="880"/>
      <c r="W85" s="170">
        <f t="shared" si="19"/>
        <v>0</v>
      </c>
      <c r="X85" s="165">
        <f t="shared" si="20"/>
        <v>0</v>
      </c>
      <c r="Y85" s="165">
        <f t="shared" si="21"/>
        <v>0</v>
      </c>
    </row>
    <row r="86" spans="2:25" ht="14.55" hidden="1" customHeight="1" thickBot="1" x14ac:dyDescent="0.35">
      <c r="B86" s="910"/>
      <c r="C86" s="911"/>
      <c r="D86" s="40"/>
      <c r="E86" s="40"/>
      <c r="F86" s="631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68">
        <f>'Milling Down Time Hours'!M92</f>
        <v>0</v>
      </c>
      <c r="Q86" s="256"/>
      <c r="R86" s="868">
        <f>'Milling Down Time Hours'!L92</f>
        <v>0</v>
      </c>
      <c r="S86" s="16"/>
      <c r="T86" s="898" t="e">
        <f>SUM(#REF!)</f>
        <v>#REF!</v>
      </c>
      <c r="U86" s="898" t="e">
        <f t="shared" ref="U86" si="29">SUM(T86:T88)</f>
        <v>#REF!</v>
      </c>
      <c r="V86" s="879" t="e">
        <f t="shared" ref="V86" si="30">SUM(U86:U88)</f>
        <v>#REF!</v>
      </c>
      <c r="W86" s="170" t="e">
        <f t="shared" si="19"/>
        <v>#REF!</v>
      </c>
      <c r="X86" s="165" t="e">
        <f t="shared" si="20"/>
        <v>#REF!</v>
      </c>
      <c r="Y86" s="165" t="e">
        <f t="shared" si="21"/>
        <v>#REF!</v>
      </c>
    </row>
    <row r="87" spans="2:25" ht="15" hidden="1" customHeight="1" thickBot="1" x14ac:dyDescent="0.35">
      <c r="B87" s="910"/>
      <c r="C87" s="911"/>
      <c r="D87" s="16"/>
      <c r="E87" s="16"/>
      <c r="F87" s="632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69"/>
      <c r="Q87" s="239"/>
      <c r="R87" s="869"/>
      <c r="S87" s="16"/>
      <c r="T87" s="899"/>
      <c r="U87" s="899"/>
      <c r="V87" s="880"/>
      <c r="W87" s="170">
        <f t="shared" si="19"/>
        <v>0</v>
      </c>
      <c r="X87" s="165">
        <f t="shared" si="20"/>
        <v>0</v>
      </c>
      <c r="Y87" s="165">
        <f t="shared" si="21"/>
        <v>0</v>
      </c>
    </row>
    <row r="88" spans="2:25" ht="14.55" hidden="1" customHeight="1" thickBot="1" x14ac:dyDescent="0.35">
      <c r="B88" s="910"/>
      <c r="C88" s="911"/>
      <c r="D88" s="40"/>
      <c r="E88" s="40"/>
      <c r="F88" s="631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68">
        <f>'Milling Down Time Hours'!M94</f>
        <v>0</v>
      </c>
      <c r="Q88" s="256"/>
      <c r="R88" s="868">
        <f>'Milling Down Time Hours'!L94</f>
        <v>0</v>
      </c>
      <c r="S88" s="16"/>
      <c r="T88" s="898" t="e">
        <f>SUM(#REF!)</f>
        <v>#REF!</v>
      </c>
      <c r="U88" s="898" t="e">
        <f t="shared" ref="U88" si="31">SUM(T88:T90)</f>
        <v>#REF!</v>
      </c>
      <c r="V88" s="879" t="e">
        <f t="shared" ref="V88" si="32">SUM(U88:U90)</f>
        <v>#REF!</v>
      </c>
      <c r="W88" s="170" t="e">
        <f t="shared" si="19"/>
        <v>#REF!</v>
      </c>
      <c r="X88" s="165" t="e">
        <f t="shared" si="20"/>
        <v>#REF!</v>
      </c>
      <c r="Y88" s="165" t="e">
        <f t="shared" si="21"/>
        <v>#REF!</v>
      </c>
    </row>
    <row r="89" spans="2:25" ht="15" hidden="1" customHeight="1" thickBot="1" x14ac:dyDescent="0.35">
      <c r="B89" s="910"/>
      <c r="C89" s="911"/>
      <c r="D89" s="16"/>
      <c r="E89" s="16"/>
      <c r="F89" s="632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69"/>
      <c r="Q89" s="239"/>
      <c r="R89" s="869"/>
      <c r="S89" s="16"/>
      <c r="T89" s="899"/>
      <c r="U89" s="899"/>
      <c r="V89" s="880"/>
      <c r="W89" s="170">
        <f t="shared" si="19"/>
        <v>0</v>
      </c>
      <c r="X89" s="165">
        <f t="shared" si="20"/>
        <v>0</v>
      </c>
      <c r="Y89" s="165">
        <f t="shared" si="21"/>
        <v>0</v>
      </c>
    </row>
    <row r="90" spans="2:25" ht="14.55" hidden="1" customHeight="1" thickBot="1" x14ac:dyDescent="0.35">
      <c r="B90" s="910"/>
      <c r="C90" s="911"/>
      <c r="D90" s="40"/>
      <c r="E90" s="40"/>
      <c r="F90" s="631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68">
        <f>'Milling Down Time Hours'!M96</f>
        <v>0</v>
      </c>
      <c r="Q90" s="256"/>
      <c r="R90" s="868">
        <f>'Milling Down Time Hours'!L96</f>
        <v>0</v>
      </c>
      <c r="S90" s="16"/>
      <c r="T90" s="898" t="e">
        <f>SUM(#REF!)</f>
        <v>#REF!</v>
      </c>
      <c r="U90" s="898" t="e">
        <f t="shared" ref="U90" si="33">SUM(T90:T92)</f>
        <v>#REF!</v>
      </c>
      <c r="V90" s="879" t="e">
        <f t="shared" ref="V90" si="34">SUM(U90:U92)</f>
        <v>#REF!</v>
      </c>
      <c r="W90" s="170" t="e">
        <f t="shared" si="19"/>
        <v>#REF!</v>
      </c>
      <c r="X90" s="165" t="e">
        <f t="shared" si="20"/>
        <v>#REF!</v>
      </c>
      <c r="Y90" s="165" t="e">
        <f t="shared" si="21"/>
        <v>#REF!</v>
      </c>
    </row>
    <row r="91" spans="2:25" ht="15" hidden="1" customHeight="1" thickBot="1" x14ac:dyDescent="0.35">
      <c r="B91" s="910"/>
      <c r="C91" s="911"/>
      <c r="D91" s="16"/>
      <c r="E91" s="16"/>
      <c r="F91" s="632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69"/>
      <c r="Q91" s="239"/>
      <c r="R91" s="869"/>
      <c r="S91" s="16"/>
      <c r="T91" s="899"/>
      <c r="U91" s="899"/>
      <c r="V91" s="880"/>
      <c r="W91" s="170">
        <f t="shared" si="19"/>
        <v>0</v>
      </c>
      <c r="X91" s="165">
        <f t="shared" si="20"/>
        <v>0</v>
      </c>
      <c r="Y91" s="165">
        <f t="shared" si="21"/>
        <v>0</v>
      </c>
    </row>
    <row r="92" spans="2:25" ht="14.55" hidden="1" customHeight="1" thickBot="1" x14ac:dyDescent="0.35">
      <c r="B92" s="910"/>
      <c r="C92" s="911"/>
      <c r="D92" s="40"/>
      <c r="E92" s="40"/>
      <c r="F92" s="631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68">
        <f>'Milling Down Time Hours'!M98</f>
        <v>0</v>
      </c>
      <c r="Q92" s="256"/>
      <c r="R92" s="868">
        <f>'Milling Down Time Hours'!L98</f>
        <v>0</v>
      </c>
      <c r="S92" s="16"/>
      <c r="T92" s="898" t="e">
        <f>SUM(#REF!)</f>
        <v>#REF!</v>
      </c>
      <c r="U92" s="898" t="e">
        <f t="shared" ref="U92" si="35">SUM(T92:T94)</f>
        <v>#REF!</v>
      </c>
      <c r="V92" s="879" t="e">
        <f t="shared" ref="V92" si="36">SUM(U92:U94)</f>
        <v>#REF!</v>
      </c>
      <c r="W92" s="170" t="e">
        <f t="shared" si="19"/>
        <v>#REF!</v>
      </c>
      <c r="X92" s="165" t="e">
        <f t="shared" si="20"/>
        <v>#REF!</v>
      </c>
      <c r="Y92" s="165" t="e">
        <f t="shared" si="21"/>
        <v>#REF!</v>
      </c>
    </row>
    <row r="93" spans="2:25" ht="15" hidden="1" customHeight="1" thickBot="1" x14ac:dyDescent="0.35">
      <c r="B93" s="910"/>
      <c r="C93" s="911"/>
      <c r="D93" s="16"/>
      <c r="E93" s="16"/>
      <c r="F93" s="632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69"/>
      <c r="Q93" s="239"/>
      <c r="R93" s="869"/>
      <c r="S93" s="16"/>
      <c r="T93" s="899"/>
      <c r="U93" s="899"/>
      <c r="V93" s="880"/>
      <c r="W93" s="170">
        <f t="shared" si="19"/>
        <v>0</v>
      </c>
      <c r="X93" s="165">
        <f t="shared" si="20"/>
        <v>0</v>
      </c>
      <c r="Y93" s="165">
        <f t="shared" si="21"/>
        <v>0</v>
      </c>
    </row>
    <row r="94" spans="2:25" ht="14.55" hidden="1" customHeight="1" thickBot="1" x14ac:dyDescent="0.35">
      <c r="B94" s="910"/>
      <c r="C94" s="911"/>
      <c r="D94" s="40"/>
      <c r="E94" s="40"/>
      <c r="F94" s="631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68">
        <f>'Milling Down Time Hours'!M100</f>
        <v>0</v>
      </c>
      <c r="Q94" s="256"/>
      <c r="R94" s="868">
        <f>'Milling Down Time Hours'!L100</f>
        <v>0</v>
      </c>
      <c r="S94" s="16"/>
      <c r="T94" s="898" t="e">
        <f>SUM(#REF!)</f>
        <v>#REF!</v>
      </c>
      <c r="U94" s="898" t="e">
        <f>SUM(T94:T98)</f>
        <v>#REF!</v>
      </c>
      <c r="V94" s="879" t="e">
        <f>SUM(U94:U98)</f>
        <v>#REF!</v>
      </c>
      <c r="W94" s="170" t="e">
        <f t="shared" si="19"/>
        <v>#REF!</v>
      </c>
      <c r="X94" s="165" t="e">
        <f t="shared" si="20"/>
        <v>#REF!</v>
      </c>
      <c r="Y94" s="165" t="e">
        <f t="shared" si="21"/>
        <v>#REF!</v>
      </c>
    </row>
    <row r="95" spans="2:25" ht="14.55" hidden="1" customHeight="1" thickBot="1" x14ac:dyDescent="0.35">
      <c r="B95" s="910"/>
      <c r="C95" s="911"/>
      <c r="D95" s="101"/>
      <c r="E95" s="101"/>
      <c r="F95" s="632" t="s">
        <v>13</v>
      </c>
      <c r="G95" s="190"/>
      <c r="H95" s="190"/>
      <c r="I95" s="190"/>
      <c r="J95" s="190"/>
      <c r="K95" s="190"/>
      <c r="L95" s="101"/>
      <c r="M95" s="30">
        <f t="shared" si="22"/>
        <v>0</v>
      </c>
      <c r="N95" s="101"/>
      <c r="O95" s="190"/>
      <c r="P95" s="876"/>
      <c r="Q95" s="465"/>
      <c r="R95" s="912"/>
      <c r="S95" s="101"/>
      <c r="T95" s="907"/>
      <c r="U95" s="907"/>
      <c r="V95" s="906"/>
      <c r="W95" s="170">
        <f t="shared" si="19"/>
        <v>0</v>
      </c>
      <c r="X95" s="165">
        <f t="shared" si="20"/>
        <v>0</v>
      </c>
      <c r="Y95" s="165">
        <f t="shared" si="21"/>
        <v>0</v>
      </c>
    </row>
    <row r="96" spans="2:25" ht="15" thickBot="1" x14ac:dyDescent="0.35">
      <c r="B96" s="864"/>
      <c r="C96" s="865"/>
      <c r="D96" s="574"/>
      <c r="E96" s="574"/>
      <c r="F96" s="631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65"/>
      <c r="U96" s="165"/>
      <c r="V96" s="460"/>
      <c r="W96" s="170">
        <f t="shared" si="19"/>
        <v>0</v>
      </c>
      <c r="X96" s="165">
        <f t="shared" si="20"/>
        <v>0</v>
      </c>
      <c r="Y96" s="165">
        <f t="shared" si="21"/>
        <v>0</v>
      </c>
    </row>
    <row r="97" spans="2:27" ht="15" thickBot="1" x14ac:dyDescent="0.35">
      <c r="B97" s="497"/>
      <c r="C97" s="498"/>
      <c r="D97" s="574"/>
      <c r="E97" s="574"/>
      <c r="F97" s="632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65"/>
      <c r="U97" s="165"/>
      <c r="V97" s="460"/>
      <c r="W97" s="170">
        <f t="shared" si="19"/>
        <v>0</v>
      </c>
      <c r="X97" s="165">
        <f t="shared" si="20"/>
        <v>0</v>
      </c>
      <c r="Y97" s="165">
        <f t="shared" si="21"/>
        <v>0</v>
      </c>
      <c r="AA97" s="496">
        <f>SUM(Z5:Z17)</f>
        <v>1188347787.2522082</v>
      </c>
    </row>
    <row r="98" spans="2:27" ht="18" x14ac:dyDescent="0.35">
      <c r="B98" s="132" t="s">
        <v>122</v>
      </c>
      <c r="C98" s="133"/>
      <c r="D98" s="525"/>
      <c r="E98" s="525"/>
      <c r="F98" s="133"/>
      <c r="G98" s="133"/>
      <c r="H98" s="133"/>
      <c r="I98" s="133"/>
      <c r="J98" s="133"/>
      <c r="K98" s="133"/>
      <c r="L98" s="153">
        <f>AVERAGE(L5:L97)</f>
        <v>0.68</v>
      </c>
      <c r="M98" s="499">
        <f>SUM(M5:M97)</f>
        <v>1613.5725927500005</v>
      </c>
      <c r="N98" s="153"/>
      <c r="O98" s="133"/>
      <c r="P98" s="134">
        <f>'Milling Down Time Hours'!M58</f>
        <v>189.23333333333329</v>
      </c>
      <c r="Q98" s="134"/>
      <c r="R98" s="525"/>
      <c r="S98" s="525"/>
      <c r="T98" s="125">
        <f>AVERAGE(T5:T26)*0.9</f>
        <v>0.66003750000000005</v>
      </c>
      <c r="U98" s="125">
        <f>AVERAGE(U5:U26)*0.9</f>
        <v>0.66455625000000007</v>
      </c>
      <c r="V98" s="125">
        <f>AVERAGE(V5:V26)*0.9</f>
        <v>7.5541687500000005</v>
      </c>
      <c r="W98" s="126">
        <f>SUM(W5:W16)</f>
        <v>426.93208973421673</v>
      </c>
      <c r="X98" s="126">
        <f>SUM(X5:X16)</f>
        <v>424.70192465699336</v>
      </c>
      <c r="Y98" s="126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N101" s="47">
        <f>MAX(N5:N29)</f>
        <v>262.08779999999996</v>
      </c>
      <c r="Z101" s="1" t="s">
        <v>203</v>
      </c>
      <c r="AA101" s="146">
        <f>MAX(Z5:Z97)</f>
        <v>196686945</v>
      </c>
    </row>
    <row r="102" spans="2:27" x14ac:dyDescent="0.3">
      <c r="W102" s="146"/>
    </row>
  </sheetData>
  <mergeCells count="209">
    <mergeCell ref="S5:S8"/>
    <mergeCell ref="P11:P12"/>
    <mergeCell ref="P13:P14"/>
    <mergeCell ref="R13:R14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R84:R85"/>
    <mergeCell ref="P82:P83"/>
    <mergeCell ref="B35:C36"/>
    <mergeCell ref="B37:C38"/>
    <mergeCell ref="R88:R89"/>
    <mergeCell ref="A5:A8"/>
    <mergeCell ref="A9:A14"/>
    <mergeCell ref="A16:A19"/>
    <mergeCell ref="A20:A23"/>
    <mergeCell ref="A25:A27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B43:C44"/>
    <mergeCell ref="B67:C68"/>
    <mergeCell ref="B69:C70"/>
    <mergeCell ref="A28:A30"/>
    <mergeCell ref="P84:P85"/>
    <mergeCell ref="T46:T47"/>
    <mergeCell ref="T48:T49"/>
    <mergeCell ref="T50:T51"/>
    <mergeCell ref="B75:C76"/>
    <mergeCell ref="B77:C96"/>
    <mergeCell ref="R64:R65"/>
    <mergeCell ref="B45:C46"/>
    <mergeCell ref="B47:C48"/>
    <mergeCell ref="P94:P95"/>
    <mergeCell ref="R94:R95"/>
    <mergeCell ref="T94:T95"/>
    <mergeCell ref="R66:R67"/>
    <mergeCell ref="P78:P79"/>
    <mergeCell ref="P70:P71"/>
    <mergeCell ref="R70:R71"/>
    <mergeCell ref="P72:P73"/>
    <mergeCell ref="R78:R79"/>
    <mergeCell ref="P68:P69"/>
    <mergeCell ref="R68:R69"/>
    <mergeCell ref="R74:R75"/>
    <mergeCell ref="P74:P75"/>
    <mergeCell ref="B71:C72"/>
    <mergeCell ref="B73:C74"/>
    <mergeCell ref="P90:P91"/>
    <mergeCell ref="V74:V75"/>
    <mergeCell ref="T62:T63"/>
    <mergeCell ref="U54:U55"/>
    <mergeCell ref="V54:V55"/>
    <mergeCell ref="V56:V57"/>
    <mergeCell ref="U58:U59"/>
    <mergeCell ref="T82:T83"/>
    <mergeCell ref="V76:V77"/>
    <mergeCell ref="T54:T55"/>
    <mergeCell ref="T56:T57"/>
    <mergeCell ref="T58:T59"/>
    <mergeCell ref="V72:V73"/>
    <mergeCell ref="V60:V61"/>
    <mergeCell ref="T68:T69"/>
    <mergeCell ref="T70:T71"/>
    <mergeCell ref="T72:T73"/>
    <mergeCell ref="T74:T75"/>
    <mergeCell ref="T60:T61"/>
    <mergeCell ref="U72:U73"/>
    <mergeCell ref="P86:P87"/>
    <mergeCell ref="R86:R87"/>
    <mergeCell ref="P88:P89"/>
    <mergeCell ref="U52:U53"/>
    <mergeCell ref="U74:U75"/>
    <mergeCell ref="P92:P93"/>
    <mergeCell ref="R92:R93"/>
    <mergeCell ref="U60:U61"/>
    <mergeCell ref="T66:T67"/>
    <mergeCell ref="P66:P67"/>
    <mergeCell ref="P52:P53"/>
    <mergeCell ref="R90:R91"/>
    <mergeCell ref="T90:T91"/>
    <mergeCell ref="U90:U91"/>
    <mergeCell ref="P64:P65"/>
    <mergeCell ref="P54:P55"/>
    <mergeCell ref="P56:P57"/>
    <mergeCell ref="P58:P59"/>
    <mergeCell ref="P76:P77"/>
    <mergeCell ref="R76:R77"/>
    <mergeCell ref="R72:R73"/>
    <mergeCell ref="P80:P81"/>
    <mergeCell ref="R80:R81"/>
    <mergeCell ref="R82:R83"/>
    <mergeCell ref="U50:U51"/>
    <mergeCell ref="P60:P61"/>
    <mergeCell ref="P62:P63"/>
    <mergeCell ref="R58:R59"/>
    <mergeCell ref="R56:R57"/>
    <mergeCell ref="R62:R63"/>
    <mergeCell ref="R60:R61"/>
    <mergeCell ref="R52:R53"/>
    <mergeCell ref="R54:R55"/>
    <mergeCell ref="R50:R51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V90:V91"/>
    <mergeCell ref="T86:T87"/>
    <mergeCell ref="U86:U87"/>
    <mergeCell ref="V86:V87"/>
    <mergeCell ref="T92:T93"/>
    <mergeCell ref="U92:U93"/>
    <mergeCell ref="V92:V93"/>
    <mergeCell ref="U94:U95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T52:T53"/>
    <mergeCell ref="V46:V47"/>
    <mergeCell ref="T38:T39"/>
    <mergeCell ref="U48:U49"/>
    <mergeCell ref="V48:V49"/>
    <mergeCell ref="T64:T65"/>
    <mergeCell ref="V50:V51"/>
    <mergeCell ref="V52:V53"/>
    <mergeCell ref="V58:V59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N21:N22"/>
    <mergeCell ref="B41:C42"/>
    <mergeCell ref="B39:C40"/>
    <mergeCell ref="B28:C28"/>
    <mergeCell ref="H2:K2"/>
    <mergeCell ref="R34:R35"/>
    <mergeCell ref="R40:R41"/>
    <mergeCell ref="P44:P45"/>
    <mergeCell ref="P46:P47"/>
    <mergeCell ref="P50:P51"/>
    <mergeCell ref="P34:P35"/>
    <mergeCell ref="P38:P39"/>
    <mergeCell ref="P48:P49"/>
    <mergeCell ref="R46:R47"/>
    <mergeCell ref="N25:N26"/>
    <mergeCell ref="N11:N12"/>
    <mergeCell ref="R44:R45"/>
    <mergeCell ref="N7:N8"/>
    <mergeCell ref="R32:R33"/>
    <mergeCell ref="P30:P31"/>
    <mergeCell ref="P32:P33"/>
    <mergeCell ref="R30:R31"/>
    <mergeCell ref="P9:P10"/>
    <mergeCell ref="R38:R39"/>
    <mergeCell ref="R48:R49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topLeftCell="B5" zoomScale="115" zoomScaleNormal="115" workbookViewId="0">
      <selection activeCell="I11" sqref="I1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5546875" style="15" bestFit="1" customWidth="1"/>
    <col min="8" max="9" width="10.44140625" style="15" bestFit="1" customWidth="1"/>
    <col min="10" max="10" width="8.88671875" style="15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850" t="s">
        <v>71</v>
      </c>
      <c r="C3" s="850" t="s">
        <v>292</v>
      </c>
      <c r="D3" s="850" t="s">
        <v>293</v>
      </c>
      <c r="E3" s="235" t="s">
        <v>296</v>
      </c>
      <c r="F3" s="235" t="s">
        <v>297</v>
      </c>
      <c r="G3" s="852" t="s">
        <v>253</v>
      </c>
      <c r="H3" s="853"/>
      <c r="I3" s="853"/>
      <c r="J3" s="854"/>
      <c r="K3" s="843" t="s">
        <v>260</v>
      </c>
    </row>
    <row r="4" spans="2:20" x14ac:dyDescent="0.3">
      <c r="B4" s="858"/>
      <c r="C4" s="858"/>
      <c r="D4" s="858"/>
      <c r="E4" s="236" t="s">
        <v>55</v>
      </c>
      <c r="F4" s="236" t="s">
        <v>298</v>
      </c>
      <c r="G4" s="852" t="s">
        <v>266</v>
      </c>
      <c r="H4" s="853"/>
      <c r="I4" s="854"/>
      <c r="J4" s="140" t="s">
        <v>259</v>
      </c>
      <c r="K4" s="843"/>
      <c r="O4" s="17" t="s">
        <v>492</v>
      </c>
      <c r="P4" s="17" t="s">
        <v>260</v>
      </c>
      <c r="Q4" s="479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851"/>
      <c r="C5" s="851"/>
      <c r="D5" s="851"/>
      <c r="E5" s="216" t="s">
        <v>71</v>
      </c>
      <c r="F5" s="216" t="s">
        <v>71</v>
      </c>
      <c r="G5" s="140" t="s">
        <v>254</v>
      </c>
      <c r="H5" s="140" t="s">
        <v>255</v>
      </c>
      <c r="I5" s="140" t="s">
        <v>256</v>
      </c>
      <c r="J5" s="140" t="s">
        <v>254</v>
      </c>
      <c r="K5" s="843"/>
      <c r="O5" s="543" t="s">
        <v>493</v>
      </c>
      <c r="P5" s="543">
        <v>1</v>
      </c>
      <c r="Q5" s="727">
        <v>46268</v>
      </c>
      <c r="R5" s="543">
        <v>7.8E-2</v>
      </c>
      <c r="S5" s="543">
        <v>0.6</v>
      </c>
      <c r="T5" s="543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43">
        <f>AVERAGE(R5:R10)</f>
        <v>0.11299999999999999</v>
      </c>
      <c r="H6" s="143">
        <f>AVERAGE(S5:S8)</f>
        <v>0.61749999999999994</v>
      </c>
      <c r="I6" s="143">
        <f t="shared" ref="I6" si="0">AVERAGE(T5:T10)</f>
        <v>8.6916666666666664</v>
      </c>
      <c r="J6" s="16">
        <v>0.02</v>
      </c>
      <c r="K6" s="16">
        <v>1</v>
      </c>
      <c r="O6" s="543" t="s">
        <v>494</v>
      </c>
      <c r="P6" s="543">
        <v>1</v>
      </c>
      <c r="Q6" s="727">
        <v>46268</v>
      </c>
      <c r="R6" s="543">
        <v>0.38</v>
      </c>
      <c r="S6" s="543">
        <v>0.59</v>
      </c>
      <c r="T6" s="543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43">
        <f>AVERAGE(R9:R12)</f>
        <v>5.5749999999999994E-2</v>
      </c>
      <c r="H7" s="143">
        <f t="shared" ref="H7:I7" si="1">AVERAGE(S9:S12)</f>
        <v>0.25</v>
      </c>
      <c r="I7" s="143">
        <f t="shared" si="1"/>
        <v>8.3524999999999991</v>
      </c>
      <c r="J7" s="461">
        <v>2.9000000000000001E-2</v>
      </c>
      <c r="K7" s="16">
        <v>2</v>
      </c>
      <c r="O7" s="543" t="s">
        <v>495</v>
      </c>
      <c r="P7" s="543">
        <v>1</v>
      </c>
      <c r="Q7" s="727">
        <v>46268</v>
      </c>
      <c r="R7" s="543">
        <v>3.7999999999999999E-2</v>
      </c>
      <c r="S7" s="543">
        <v>0.61</v>
      </c>
      <c r="T7" s="543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43">
        <f>AVERAGE(R13:R18)</f>
        <v>9.816666666666668E-2</v>
      </c>
      <c r="H8" s="143">
        <f t="shared" ref="H8:I8" si="2">AVERAGE(S13:S18)</f>
        <v>0.23333333333333331</v>
      </c>
      <c r="I8" s="143">
        <f t="shared" si="2"/>
        <v>8.9633333333333329</v>
      </c>
      <c r="J8" s="16">
        <v>2.3E-2</v>
      </c>
      <c r="K8" s="16">
        <v>3</v>
      </c>
      <c r="O8" s="543" t="s">
        <v>496</v>
      </c>
      <c r="P8" s="543">
        <v>1</v>
      </c>
      <c r="Q8" s="727">
        <v>46268</v>
      </c>
      <c r="R8" s="543">
        <v>6.9000000000000006E-2</v>
      </c>
      <c r="S8" s="543">
        <v>0.67</v>
      </c>
      <c r="T8" s="543">
        <v>9.18</v>
      </c>
    </row>
    <row r="9" spans="2:20" x14ac:dyDescent="0.3">
      <c r="B9" s="16">
        <v>4</v>
      </c>
      <c r="C9" s="66">
        <v>46275</v>
      </c>
      <c r="D9" s="16" t="s">
        <v>14</v>
      </c>
      <c r="E9" s="16">
        <v>3</v>
      </c>
      <c r="F9" s="16">
        <v>4</v>
      </c>
      <c r="G9" s="143">
        <f>AVERAGE(R19:R24)</f>
        <v>0.10916666666666668</v>
      </c>
      <c r="H9" s="143">
        <f t="shared" ref="H9:I9" si="3">AVERAGE(S19:S24)</f>
        <v>0.24</v>
      </c>
      <c r="I9" s="143">
        <f t="shared" si="3"/>
        <v>5.1633333333333331</v>
      </c>
      <c r="J9" s="16">
        <v>3.2000000000000001E-2</v>
      </c>
      <c r="K9" s="16"/>
      <c r="O9" s="548" t="s">
        <v>493</v>
      </c>
      <c r="P9" s="548">
        <v>2</v>
      </c>
      <c r="Q9" s="728">
        <v>46269</v>
      </c>
      <c r="R9" s="548">
        <v>3.4000000000000002E-2</v>
      </c>
      <c r="S9" s="548">
        <v>0.26</v>
      </c>
      <c r="T9" s="548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16"/>
      <c r="H10" s="16"/>
      <c r="I10" s="143"/>
      <c r="J10" s="16">
        <v>4.2999999999999997E-2</v>
      </c>
      <c r="K10" s="16"/>
      <c r="O10" s="548" t="s">
        <v>494</v>
      </c>
      <c r="P10" s="548">
        <v>2</v>
      </c>
      <c r="Q10" s="728">
        <v>46269</v>
      </c>
      <c r="R10" s="548">
        <v>7.9000000000000001E-2</v>
      </c>
      <c r="S10" s="548">
        <v>0.25</v>
      </c>
      <c r="T10" s="548">
        <v>8.17</v>
      </c>
    </row>
    <row r="11" spans="2:20" x14ac:dyDescent="0.3">
      <c r="B11" s="16">
        <v>6</v>
      </c>
      <c r="C11" s="6"/>
      <c r="D11" s="6"/>
      <c r="E11" s="16"/>
      <c r="F11" s="16"/>
      <c r="G11" s="16"/>
      <c r="H11" s="16"/>
      <c r="I11" s="143"/>
      <c r="J11" s="16"/>
      <c r="K11" s="16"/>
      <c r="O11" s="548" t="s">
        <v>495</v>
      </c>
      <c r="P11" s="548">
        <v>2</v>
      </c>
      <c r="Q11" s="728">
        <v>46269</v>
      </c>
      <c r="R11" s="548">
        <v>3.6999999999999998E-2</v>
      </c>
      <c r="S11" s="548">
        <v>0.25</v>
      </c>
      <c r="T11" s="548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143"/>
      <c r="H12" s="143"/>
      <c r="I12" s="143"/>
      <c r="J12" s="16"/>
      <c r="K12" s="16"/>
      <c r="O12" s="548" t="s">
        <v>496</v>
      </c>
      <c r="P12" s="548">
        <v>2</v>
      </c>
      <c r="Q12" s="728">
        <v>46269</v>
      </c>
      <c r="R12" s="548">
        <v>7.2999999999999995E-2</v>
      </c>
      <c r="S12" s="548">
        <v>0.24</v>
      </c>
      <c r="T12" s="548">
        <v>8.16</v>
      </c>
    </row>
    <row r="13" spans="2:20" x14ac:dyDescent="0.3">
      <c r="B13" s="16">
        <v>8</v>
      </c>
      <c r="C13" s="66"/>
      <c r="D13" s="6"/>
      <c r="E13" s="16"/>
      <c r="F13" s="16"/>
      <c r="G13" s="143"/>
      <c r="H13" s="143"/>
      <c r="I13" s="143"/>
      <c r="J13" s="16"/>
      <c r="K13" s="16"/>
      <c r="O13" s="543" t="s">
        <v>546</v>
      </c>
      <c r="P13" s="543">
        <v>3</v>
      </c>
      <c r="Q13" s="727">
        <v>46274</v>
      </c>
      <c r="R13" s="543">
        <v>0.11700000000000001</v>
      </c>
      <c r="S13" s="543">
        <v>0.31</v>
      </c>
      <c r="T13" s="543">
        <v>8.81</v>
      </c>
    </row>
    <row r="14" spans="2:20" x14ac:dyDescent="0.3">
      <c r="B14" s="16">
        <v>9</v>
      </c>
      <c r="C14" s="66"/>
      <c r="D14" s="6"/>
      <c r="E14" s="16"/>
      <c r="F14" s="16"/>
      <c r="G14" s="143"/>
      <c r="H14" s="143"/>
      <c r="I14" s="143"/>
      <c r="J14" s="16"/>
      <c r="K14" s="16"/>
      <c r="O14" s="543" t="s">
        <v>547</v>
      </c>
      <c r="P14" s="543">
        <v>3</v>
      </c>
      <c r="Q14" s="727">
        <v>46274</v>
      </c>
      <c r="R14" s="543">
        <v>0.16500000000000001</v>
      </c>
      <c r="S14" s="543">
        <v>0.36</v>
      </c>
      <c r="T14" s="543">
        <v>9.57</v>
      </c>
    </row>
    <row r="15" spans="2:20" x14ac:dyDescent="0.3">
      <c r="B15" s="16">
        <v>10</v>
      </c>
      <c r="C15" s="66"/>
      <c r="D15" s="6"/>
      <c r="E15" s="16"/>
      <c r="F15" s="16"/>
      <c r="G15" s="143"/>
      <c r="H15" s="143"/>
      <c r="I15" s="143"/>
      <c r="J15" s="16"/>
      <c r="K15" s="16"/>
      <c r="O15" s="543" t="s">
        <v>548</v>
      </c>
      <c r="P15" s="543">
        <v>3</v>
      </c>
      <c r="Q15" s="727">
        <v>46274</v>
      </c>
      <c r="R15" s="543">
        <v>0.13</v>
      </c>
      <c r="S15" s="543">
        <v>0.31</v>
      </c>
      <c r="T15" s="543">
        <v>9.89</v>
      </c>
    </row>
    <row r="16" spans="2:20" x14ac:dyDescent="0.3">
      <c r="B16" s="16">
        <v>11</v>
      </c>
      <c r="C16" s="66"/>
      <c r="D16" s="6"/>
      <c r="E16" s="16"/>
      <c r="F16" s="16"/>
      <c r="G16" s="143"/>
      <c r="H16" s="143"/>
      <c r="I16" s="143"/>
      <c r="J16" s="16"/>
      <c r="K16" s="16"/>
      <c r="O16" s="543" t="s">
        <v>493</v>
      </c>
      <c r="P16" s="543">
        <v>3</v>
      </c>
      <c r="Q16" s="727">
        <v>46274</v>
      </c>
      <c r="R16" s="543">
        <v>8.3000000000000004E-2</v>
      </c>
      <c r="S16" s="543">
        <v>0.15</v>
      </c>
      <c r="T16" s="543">
        <v>8.44</v>
      </c>
    </row>
    <row r="17" spans="2:20" x14ac:dyDescent="0.3">
      <c r="B17" s="16">
        <v>12</v>
      </c>
      <c r="C17" s="66"/>
      <c r="D17" s="6"/>
      <c r="E17" s="6"/>
      <c r="F17" s="6"/>
      <c r="G17" s="16"/>
      <c r="H17" s="16"/>
      <c r="I17" s="143"/>
      <c r="J17" s="16"/>
      <c r="K17" s="16"/>
      <c r="O17" s="543" t="s">
        <v>494</v>
      </c>
      <c r="P17" s="543">
        <v>3</v>
      </c>
      <c r="Q17" s="727">
        <v>46274</v>
      </c>
      <c r="R17" s="543">
        <v>4.2000000000000003E-2</v>
      </c>
      <c r="S17" s="543">
        <v>0.13</v>
      </c>
      <c r="T17" s="543">
        <v>8.31</v>
      </c>
    </row>
    <row r="18" spans="2:20" x14ac:dyDescent="0.3">
      <c r="B18" s="16">
        <v>13</v>
      </c>
      <c r="C18" s="66"/>
      <c r="D18" s="6"/>
      <c r="E18" s="6"/>
      <c r="F18" s="6"/>
      <c r="G18" s="16"/>
      <c r="H18" s="16"/>
      <c r="I18" s="143"/>
      <c r="J18" s="16"/>
      <c r="K18" s="16"/>
      <c r="O18" s="543" t="s">
        <v>495</v>
      </c>
      <c r="P18" s="543">
        <v>3</v>
      </c>
      <c r="Q18" s="727">
        <v>46274</v>
      </c>
      <c r="R18" s="543">
        <v>5.1999999999999998E-2</v>
      </c>
      <c r="S18" s="543">
        <v>0.14000000000000001</v>
      </c>
      <c r="T18" s="543">
        <v>8.76</v>
      </c>
    </row>
    <row r="19" spans="2:20" x14ac:dyDescent="0.3">
      <c r="B19" s="16">
        <v>14</v>
      </c>
      <c r="C19" s="66"/>
      <c r="D19" s="6"/>
      <c r="E19" s="6"/>
      <c r="F19" s="6"/>
      <c r="G19" s="16"/>
      <c r="H19" s="16"/>
      <c r="I19" s="143"/>
      <c r="J19" s="16"/>
      <c r="K19" s="16"/>
      <c r="O19" s="735" t="s">
        <v>546</v>
      </c>
      <c r="P19" s="735">
        <v>4</v>
      </c>
      <c r="Q19" s="736">
        <v>46275</v>
      </c>
      <c r="R19" s="735">
        <v>0.124</v>
      </c>
      <c r="S19" s="735">
        <v>0.22</v>
      </c>
      <c r="T19" s="735">
        <v>6.48</v>
      </c>
    </row>
    <row r="20" spans="2:20" x14ac:dyDescent="0.3">
      <c r="B20" s="16">
        <v>15</v>
      </c>
      <c r="C20" s="66"/>
      <c r="D20" s="6"/>
      <c r="E20" s="6"/>
      <c r="F20" s="6"/>
      <c r="G20" s="16"/>
      <c r="H20" s="16"/>
      <c r="I20" s="143"/>
      <c r="J20" s="16"/>
      <c r="K20" s="16"/>
      <c r="O20" s="735" t="s">
        <v>547</v>
      </c>
      <c r="P20" s="735">
        <v>4</v>
      </c>
      <c r="Q20" s="736">
        <v>46275</v>
      </c>
      <c r="R20" s="735">
        <v>0.14499999999999999</v>
      </c>
      <c r="S20" s="735">
        <v>0.25</v>
      </c>
      <c r="T20" s="735">
        <v>4.43</v>
      </c>
    </row>
    <row r="21" spans="2:20" x14ac:dyDescent="0.3">
      <c r="B21" s="16">
        <v>16</v>
      </c>
      <c r="C21" s="6"/>
      <c r="D21" s="6"/>
      <c r="E21" s="6"/>
      <c r="F21" s="6"/>
      <c r="G21" s="16"/>
      <c r="H21" s="16"/>
      <c r="I21" s="143"/>
      <c r="J21" s="16"/>
      <c r="K21" s="16"/>
      <c r="O21" s="735" t="s">
        <v>548</v>
      </c>
      <c r="P21" s="735">
        <v>4</v>
      </c>
      <c r="Q21" s="736">
        <v>46275</v>
      </c>
      <c r="R21" s="735">
        <v>0.13100000000000001</v>
      </c>
      <c r="S21" s="735">
        <v>0.25</v>
      </c>
      <c r="T21" s="735">
        <v>4.58</v>
      </c>
    </row>
    <row r="22" spans="2:20" x14ac:dyDescent="0.3">
      <c r="B22" s="16">
        <v>17</v>
      </c>
      <c r="C22" s="6"/>
      <c r="D22" s="6"/>
      <c r="E22" s="6"/>
      <c r="F22" s="6"/>
      <c r="G22" s="16"/>
      <c r="H22" s="16"/>
      <c r="I22" s="143"/>
      <c r="J22" s="16"/>
      <c r="K22" s="16"/>
      <c r="O22" s="735" t="s">
        <v>493</v>
      </c>
      <c r="P22" s="735">
        <v>4</v>
      </c>
      <c r="Q22" s="736">
        <v>46275</v>
      </c>
      <c r="R22" s="735">
        <v>6.4000000000000001E-2</v>
      </c>
      <c r="S22" s="735">
        <v>0.22</v>
      </c>
      <c r="T22" s="735">
        <v>6.48</v>
      </c>
    </row>
    <row r="23" spans="2:20" x14ac:dyDescent="0.3">
      <c r="B23" s="16">
        <v>18</v>
      </c>
      <c r="C23" s="6"/>
      <c r="D23" s="6"/>
      <c r="E23" s="6"/>
      <c r="F23" s="6"/>
      <c r="G23" s="16"/>
      <c r="H23" s="16"/>
      <c r="I23" s="143"/>
      <c r="J23" s="16"/>
      <c r="K23" s="16"/>
      <c r="O23" s="735" t="s">
        <v>494</v>
      </c>
      <c r="P23" s="735">
        <v>4</v>
      </c>
      <c r="Q23" s="736">
        <v>46275</v>
      </c>
      <c r="R23" s="735">
        <v>9.5000000000000001E-2</v>
      </c>
      <c r="S23" s="735">
        <v>0.25</v>
      </c>
      <c r="T23" s="735">
        <v>4.43</v>
      </c>
    </row>
    <row r="24" spans="2:20" x14ac:dyDescent="0.3">
      <c r="B24" s="16">
        <v>19</v>
      </c>
      <c r="C24" s="6"/>
      <c r="D24" s="6"/>
      <c r="E24" s="6"/>
      <c r="F24" s="6"/>
      <c r="G24" s="16"/>
      <c r="H24" s="16"/>
      <c r="I24" s="143"/>
      <c r="J24" s="16"/>
      <c r="K24" s="16"/>
      <c r="O24" s="735" t="s">
        <v>495</v>
      </c>
      <c r="P24" s="735">
        <v>4</v>
      </c>
      <c r="Q24" s="736">
        <v>46275</v>
      </c>
      <c r="R24" s="735">
        <v>9.6000000000000002E-2</v>
      </c>
      <c r="S24" s="735">
        <v>0.25</v>
      </c>
      <c r="T24" s="735">
        <v>4.58</v>
      </c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20" t="s">
        <v>271</v>
      </c>
      <c r="B3" s="821"/>
      <c r="C3" s="821"/>
      <c r="D3" s="821"/>
      <c r="E3" s="821"/>
      <c r="F3" s="821"/>
      <c r="G3" s="822"/>
      <c r="I3" s="1">
        <f>I2/2</f>
        <v>720</v>
      </c>
    </row>
    <row r="4" spans="1:14" ht="15" thickBot="1" x14ac:dyDescent="0.35">
      <c r="A4" s="823" t="s">
        <v>1</v>
      </c>
      <c r="B4" s="824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929">
        <v>46268</v>
      </c>
      <c r="B5" s="816"/>
      <c r="C5" s="166" t="s">
        <v>170</v>
      </c>
      <c r="D5" s="167">
        <v>6.9444444444444447E-4</v>
      </c>
      <c r="E5" s="64">
        <v>0.44444444444444442</v>
      </c>
      <c r="F5" s="65">
        <f>(E5-D5)*720</f>
        <v>319.5</v>
      </c>
      <c r="G5" s="490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929">
        <v>46269</v>
      </c>
      <c r="B6" s="816"/>
      <c r="C6" s="171"/>
      <c r="D6" s="64">
        <v>6.9444444444444447E-4</v>
      </c>
      <c r="E6" s="64">
        <v>2.9166666666666667E-2</v>
      </c>
      <c r="F6" s="65">
        <f>(E6-D6)*720</f>
        <v>20.5</v>
      </c>
      <c r="G6" s="491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929">
        <v>46270</v>
      </c>
      <c r="B7" s="816"/>
      <c r="C7" s="171"/>
      <c r="D7" s="64"/>
      <c r="E7" s="64"/>
      <c r="F7" s="65"/>
      <c r="G7" s="172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929">
        <v>46271</v>
      </c>
      <c r="B8" s="816"/>
      <c r="C8" s="173"/>
      <c r="D8" s="64"/>
      <c r="E8" s="64"/>
      <c r="F8" s="65"/>
      <c r="G8" s="174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929">
        <v>46272</v>
      </c>
      <c r="B9" s="816"/>
      <c r="C9" s="183"/>
      <c r="D9" s="181"/>
      <c r="E9" s="64"/>
      <c r="F9" s="65"/>
      <c r="G9" s="182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929">
        <v>46273</v>
      </c>
      <c r="B10" s="816"/>
      <c r="C10" s="188"/>
      <c r="D10" s="64"/>
      <c r="E10" s="64"/>
      <c r="F10" s="65"/>
      <c r="G10" s="213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929">
        <v>46274</v>
      </c>
      <c r="B11" s="816"/>
      <c r="C11" s="212"/>
      <c r="D11" s="64"/>
      <c r="E11" s="64"/>
      <c r="F11" s="65"/>
      <c r="G11" s="213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929">
        <v>46275</v>
      </c>
      <c r="B12" s="816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929">
        <v>46276</v>
      </c>
      <c r="B13" s="816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929">
        <v>46277</v>
      </c>
      <c r="B14" s="816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929">
        <v>46278</v>
      </c>
      <c r="B15" s="816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929">
        <v>46279</v>
      </c>
      <c r="B16" s="816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929">
        <v>46280</v>
      </c>
      <c r="B17" s="816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929">
        <v>46281</v>
      </c>
      <c r="B18" s="816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929">
        <v>46282</v>
      </c>
      <c r="B19" s="816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929">
        <v>46283</v>
      </c>
      <c r="B20" s="816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929">
        <v>46284</v>
      </c>
      <c r="B21" s="816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929">
        <v>46285</v>
      </c>
      <c r="B22" s="816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929">
        <v>46286</v>
      </c>
      <c r="B23" s="816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929">
        <v>46287</v>
      </c>
      <c r="B24" s="816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929">
        <v>46288</v>
      </c>
      <c r="B25" s="816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929">
        <v>46289</v>
      </c>
      <c r="B26" s="816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929">
        <v>46290</v>
      </c>
      <c r="B27" s="816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929">
        <v>46291</v>
      </c>
      <c r="B28" s="816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929">
        <v>46292</v>
      </c>
      <c r="B29" s="816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929">
        <v>46293</v>
      </c>
      <c r="B30" s="816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929">
        <v>46294</v>
      </c>
      <c r="B31" s="816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929">
        <v>46295</v>
      </c>
      <c r="B32" s="816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929">
        <v>46296</v>
      </c>
      <c r="B33" s="816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929">
        <v>46297</v>
      </c>
      <c r="B34" s="816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929">
        <v>46298</v>
      </c>
      <c r="B35" s="816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929">
        <v>46299</v>
      </c>
      <c r="B36" s="816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929">
        <v>46300</v>
      </c>
      <c r="B37" s="816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929">
        <v>46301</v>
      </c>
      <c r="B38" s="816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929">
        <v>46302</v>
      </c>
      <c r="B39" s="816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929">
        <v>46303</v>
      </c>
      <c r="B40" s="816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929">
        <v>46304</v>
      </c>
      <c r="B41" s="816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929">
        <v>46305</v>
      </c>
      <c r="B42" s="816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929">
        <v>46306</v>
      </c>
      <c r="B43" s="816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929">
        <v>46307</v>
      </c>
      <c r="B44" s="816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929">
        <v>46308</v>
      </c>
      <c r="B45" s="816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929">
        <v>46309</v>
      </c>
      <c r="B46" s="816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929">
        <v>46310</v>
      </c>
      <c r="B47" s="816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929">
        <v>46311</v>
      </c>
      <c r="B48" s="816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929">
        <v>46312</v>
      </c>
      <c r="B49" s="816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929">
        <v>46313</v>
      </c>
      <c r="B50" s="816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929">
        <v>46314</v>
      </c>
      <c r="B51" s="816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929">
        <v>46315</v>
      </c>
      <c r="B52" s="816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929">
        <v>46316</v>
      </c>
      <c r="B53" s="816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929">
        <v>46317</v>
      </c>
      <c r="B54" s="816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929">
        <v>46318</v>
      </c>
      <c r="B55" s="816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929">
        <v>46319</v>
      </c>
      <c r="B56" s="816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929">
        <v>46320</v>
      </c>
      <c r="B57" s="816"/>
      <c r="C57" s="68"/>
      <c r="D57" s="71"/>
      <c r="E57" s="71"/>
      <c r="F57" s="65">
        <f t="shared" si="5"/>
        <v>0</v>
      </c>
      <c r="G57" s="69"/>
      <c r="J57" s="18" t="s">
        <v>18</v>
      </c>
      <c r="K57" s="121">
        <f>SUM(K33:K40)</f>
        <v>0</v>
      </c>
      <c r="L57" s="131">
        <f>SUM(L33:L41)</f>
        <v>192</v>
      </c>
      <c r="M57" s="74">
        <f>L57/192</f>
        <v>1</v>
      </c>
    </row>
    <row r="58" spans="1:18" x14ac:dyDescent="0.3">
      <c r="A58" s="929">
        <v>46321</v>
      </c>
      <c r="B58" s="816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929">
        <v>46322</v>
      </c>
      <c r="B59" s="816"/>
      <c r="C59" s="68"/>
      <c r="D59" s="71"/>
      <c r="E59" s="71"/>
      <c r="F59" s="65">
        <f t="shared" si="5"/>
        <v>0</v>
      </c>
      <c r="G59" s="69"/>
    </row>
    <row r="60" spans="1:18" x14ac:dyDescent="0.3">
      <c r="A60" s="929">
        <v>46323</v>
      </c>
      <c r="B60" s="816"/>
      <c r="C60" s="68"/>
      <c r="D60" s="71"/>
      <c r="E60" s="71"/>
      <c r="F60" s="65">
        <f t="shared" si="5"/>
        <v>0</v>
      </c>
      <c r="G60" s="69"/>
    </row>
    <row r="61" spans="1:18" x14ac:dyDescent="0.3">
      <c r="A61" s="929">
        <v>46324</v>
      </c>
      <c r="B61" s="816"/>
      <c r="C61" s="68"/>
      <c r="D61" s="71"/>
      <c r="E61" s="71"/>
      <c r="F61" s="65">
        <f t="shared" si="5"/>
        <v>0</v>
      </c>
      <c r="G61" s="69"/>
    </row>
    <row r="62" spans="1:18" x14ac:dyDescent="0.3">
      <c r="A62" s="929">
        <v>46325</v>
      </c>
      <c r="B62" s="816"/>
      <c r="C62" s="68"/>
      <c r="D62" s="71"/>
      <c r="E62" s="71"/>
      <c r="F62" s="65">
        <f t="shared" si="5"/>
        <v>0</v>
      </c>
      <c r="G62" s="69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83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9" t="s">
        <v>71</v>
      </c>
      <c r="C4" s="109" t="s">
        <v>243</v>
      </c>
      <c r="D4" s="109" t="s">
        <v>55</v>
      </c>
      <c r="E4" s="109" t="s">
        <v>134</v>
      </c>
      <c r="F4" s="109" t="s">
        <v>135</v>
      </c>
      <c r="G4" s="109" t="s">
        <v>136</v>
      </c>
      <c r="H4" s="109" t="s">
        <v>137</v>
      </c>
      <c r="I4" s="109" t="s">
        <v>138</v>
      </c>
      <c r="J4" s="109" t="s">
        <v>139</v>
      </c>
      <c r="K4" s="109" t="s">
        <v>142</v>
      </c>
      <c r="L4" s="109" t="s">
        <v>316</v>
      </c>
      <c r="M4" s="109" t="s">
        <v>140</v>
      </c>
      <c r="Q4" s="930" t="s">
        <v>486</v>
      </c>
      <c r="R4" s="931"/>
      <c r="S4" s="931"/>
      <c r="T4" s="932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8">
        <v>6.9444444444444447E-4</v>
      </c>
      <c r="H5" s="108">
        <v>4.2361111111111113E-2</v>
      </c>
      <c r="I5" s="77"/>
      <c r="J5" s="250">
        <f>(H5-G5)*1440</f>
        <v>60.000000000000007</v>
      </c>
      <c r="K5" s="16" t="s">
        <v>143</v>
      </c>
      <c r="L5" s="248">
        <f>J5/60</f>
        <v>1.0000000000000002</v>
      </c>
      <c r="M5" s="478" t="s">
        <v>482</v>
      </c>
      <c r="Q5" s="933"/>
      <c r="R5" s="934"/>
      <c r="S5" s="934"/>
      <c r="T5" s="935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8">
        <v>6.9444444444444447E-4</v>
      </c>
      <c r="H6" s="108">
        <v>0.99930555555555556</v>
      </c>
      <c r="I6" s="66"/>
      <c r="J6" s="250">
        <f>(H6-G6)*1440</f>
        <v>1438</v>
      </c>
      <c r="K6" s="16"/>
      <c r="L6" s="248">
        <f t="shared" ref="L6:L33" si="0">J6/60</f>
        <v>23.966666666666665</v>
      </c>
      <c r="M6" s="220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8">
        <v>6.9444444444444447E-4</v>
      </c>
      <c r="H7" s="108">
        <v>0.99930555555555556</v>
      </c>
      <c r="I7" s="66"/>
      <c r="J7" s="250">
        <f t="shared" ref="J7:J33" si="1">(H7-G7)*1440</f>
        <v>1438</v>
      </c>
      <c r="K7" s="43"/>
      <c r="L7" s="248">
        <f t="shared" si="0"/>
        <v>23.966666666666665</v>
      </c>
      <c r="M7" s="478" t="s">
        <v>488</v>
      </c>
      <c r="N7" s="146"/>
      <c r="Q7" s="114" t="s">
        <v>148</v>
      </c>
      <c r="R7" s="113" t="s">
        <v>139</v>
      </c>
      <c r="S7" s="113" t="s">
        <v>147</v>
      </c>
      <c r="T7" s="113" t="s">
        <v>149</v>
      </c>
      <c r="U7" s="113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8">
        <v>6.9444444444444447E-4</v>
      </c>
      <c r="H8" s="108">
        <v>0.95833333333333337</v>
      </c>
      <c r="I8" s="66"/>
      <c r="J8" s="250">
        <f t="shared" si="1"/>
        <v>1379</v>
      </c>
      <c r="K8" s="16"/>
      <c r="L8" s="248">
        <f t="shared" si="0"/>
        <v>22.983333333333334</v>
      </c>
      <c r="M8" s="478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8">
        <v>6.9444444444444447E-4</v>
      </c>
      <c r="H9" s="115">
        <v>4.2361111111111113E-2</v>
      </c>
      <c r="I9" s="6"/>
      <c r="J9" s="250">
        <f t="shared" si="1"/>
        <v>60.000000000000007</v>
      </c>
      <c r="K9" s="16"/>
      <c r="L9" s="248">
        <f t="shared" si="0"/>
        <v>1.0000000000000002</v>
      </c>
      <c r="M9" s="220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9"/>
      <c r="G10" s="108"/>
      <c r="H10" s="108"/>
      <c r="I10" s="6"/>
      <c r="J10" s="250">
        <f t="shared" si="1"/>
        <v>0</v>
      </c>
      <c r="K10" s="16"/>
      <c r="L10" s="248">
        <f t="shared" si="0"/>
        <v>0</v>
      </c>
      <c r="M10" s="220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9"/>
      <c r="G11" s="108"/>
      <c r="H11" s="108"/>
      <c r="I11" s="6"/>
      <c r="J11" s="250">
        <f t="shared" si="1"/>
        <v>0</v>
      </c>
      <c r="K11" s="16"/>
      <c r="L11" s="248">
        <f t="shared" si="0"/>
        <v>0</v>
      </c>
      <c r="M11" s="220"/>
      <c r="Q11" s="220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9"/>
      <c r="G12" s="108"/>
      <c r="H12" s="108"/>
      <c r="I12" s="6"/>
      <c r="J12" s="250">
        <f t="shared" si="1"/>
        <v>0</v>
      </c>
      <c r="K12" s="16"/>
      <c r="L12" s="248">
        <f t="shared" si="0"/>
        <v>0</v>
      </c>
      <c r="M12" s="220"/>
    </row>
    <row r="13" spans="2:21" x14ac:dyDescent="0.3">
      <c r="B13" s="16">
        <v>8</v>
      </c>
      <c r="C13" s="77"/>
      <c r="D13" s="16">
        <v>2</v>
      </c>
      <c r="E13" s="16"/>
      <c r="F13" s="77"/>
      <c r="G13" s="108"/>
      <c r="H13" s="108"/>
      <c r="I13" s="6"/>
      <c r="J13" s="250">
        <f t="shared" si="1"/>
        <v>0</v>
      </c>
      <c r="K13" s="16"/>
      <c r="L13" s="248">
        <f t="shared" si="0"/>
        <v>0</v>
      </c>
      <c r="M13" s="220"/>
    </row>
    <row r="14" spans="2:21" x14ac:dyDescent="0.3">
      <c r="B14" s="16">
        <v>10</v>
      </c>
      <c r="C14" s="77"/>
      <c r="D14" s="16">
        <v>2</v>
      </c>
      <c r="E14" s="16"/>
      <c r="F14" s="77"/>
      <c r="G14" s="108"/>
      <c r="H14" s="108"/>
      <c r="I14" s="6"/>
      <c r="J14" s="250">
        <f t="shared" si="1"/>
        <v>0</v>
      </c>
      <c r="K14" s="16"/>
      <c r="L14" s="248">
        <f t="shared" si="0"/>
        <v>0</v>
      </c>
      <c r="M14" s="220"/>
    </row>
    <row r="15" spans="2:21" x14ac:dyDescent="0.3">
      <c r="B15" s="16">
        <v>11</v>
      </c>
      <c r="C15" s="77"/>
      <c r="D15" s="16">
        <v>2</v>
      </c>
      <c r="E15" s="16"/>
      <c r="F15" s="77"/>
      <c r="G15" s="108"/>
      <c r="H15" s="108"/>
      <c r="I15" s="6"/>
      <c r="J15" s="250">
        <f t="shared" si="1"/>
        <v>0</v>
      </c>
      <c r="K15" s="16"/>
      <c r="L15" s="248">
        <f t="shared" si="0"/>
        <v>0</v>
      </c>
      <c r="M15" s="220"/>
    </row>
    <row r="16" spans="2:21" x14ac:dyDescent="0.3">
      <c r="B16" s="16">
        <v>12</v>
      </c>
      <c r="C16" s="77"/>
      <c r="D16" s="16">
        <v>3</v>
      </c>
      <c r="E16" s="16"/>
      <c r="F16" s="77"/>
      <c r="G16" s="108"/>
      <c r="H16" s="108"/>
      <c r="I16" s="6"/>
      <c r="J16" s="250">
        <f t="shared" si="1"/>
        <v>0</v>
      </c>
      <c r="K16" s="16"/>
      <c r="L16" s="248">
        <f t="shared" si="0"/>
        <v>0</v>
      </c>
      <c r="M16" s="220"/>
    </row>
    <row r="17" spans="2:17" x14ac:dyDescent="0.3">
      <c r="B17" s="16">
        <v>13</v>
      </c>
      <c r="C17" s="77"/>
      <c r="D17" s="16">
        <v>3</v>
      </c>
      <c r="E17" s="16"/>
      <c r="F17" s="108"/>
      <c r="G17" s="108"/>
      <c r="H17" s="108"/>
      <c r="I17" s="6"/>
      <c r="J17" s="250">
        <f t="shared" si="1"/>
        <v>0</v>
      </c>
      <c r="K17" s="16"/>
      <c r="L17" s="248">
        <f t="shared" si="0"/>
        <v>0</v>
      </c>
      <c r="M17" s="220"/>
    </row>
    <row r="18" spans="2:17" x14ac:dyDescent="0.3">
      <c r="B18" s="16">
        <v>14</v>
      </c>
      <c r="C18" s="77"/>
      <c r="D18" s="16">
        <v>3</v>
      </c>
      <c r="E18" s="16"/>
      <c r="F18" s="77"/>
      <c r="G18" s="108"/>
      <c r="H18" s="108"/>
      <c r="I18" s="6"/>
      <c r="J18" s="250">
        <f t="shared" si="1"/>
        <v>0</v>
      </c>
      <c r="K18" s="16"/>
      <c r="L18" s="248">
        <f t="shared" si="0"/>
        <v>0</v>
      </c>
      <c r="M18" s="220"/>
    </row>
    <row r="19" spans="2:17" s="15" customFormat="1" x14ac:dyDescent="0.3">
      <c r="B19" s="16">
        <v>15</v>
      </c>
      <c r="C19" s="77"/>
      <c r="D19" s="16">
        <v>3</v>
      </c>
      <c r="E19" s="16"/>
      <c r="F19" s="249"/>
      <c r="G19" s="108"/>
      <c r="H19" s="108"/>
      <c r="I19" s="16"/>
      <c r="J19" s="250">
        <f t="shared" si="1"/>
        <v>0</v>
      </c>
      <c r="K19" s="16"/>
      <c r="L19" s="248">
        <f t="shared" si="0"/>
        <v>0</v>
      </c>
      <c r="M19" s="220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8"/>
      <c r="H20" s="108"/>
      <c r="I20" s="16"/>
      <c r="J20" s="250">
        <f t="shared" si="1"/>
        <v>0</v>
      </c>
      <c r="K20" s="16"/>
      <c r="L20" s="248">
        <f t="shared" si="0"/>
        <v>0</v>
      </c>
      <c r="M20" s="220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8"/>
      <c r="H21" s="108"/>
      <c r="I21" s="6"/>
      <c r="J21" s="250">
        <f t="shared" si="1"/>
        <v>0</v>
      </c>
      <c r="K21" s="16"/>
      <c r="L21" s="248">
        <f t="shared" si="0"/>
        <v>0</v>
      </c>
      <c r="M21" s="220"/>
    </row>
    <row r="22" spans="2:17" x14ac:dyDescent="0.3">
      <c r="B22" s="16">
        <v>19</v>
      </c>
      <c r="C22" s="77"/>
      <c r="D22" s="16">
        <v>3</v>
      </c>
      <c r="E22" s="16"/>
      <c r="F22" s="77"/>
      <c r="G22" s="108"/>
      <c r="H22" s="108"/>
      <c r="I22" s="6"/>
      <c r="J22" s="250">
        <f t="shared" si="1"/>
        <v>0</v>
      </c>
      <c r="K22" s="16"/>
      <c r="L22" s="248">
        <f t="shared" si="0"/>
        <v>0</v>
      </c>
      <c r="M22" s="220"/>
    </row>
    <row r="23" spans="2:17" x14ac:dyDescent="0.3">
      <c r="B23" s="16">
        <v>20</v>
      </c>
      <c r="C23" s="77"/>
      <c r="D23" s="16">
        <v>3</v>
      </c>
      <c r="E23" s="16"/>
      <c r="F23" s="77"/>
      <c r="G23" s="108"/>
      <c r="H23" s="108"/>
      <c r="I23" s="6"/>
      <c r="J23" s="250">
        <f t="shared" si="1"/>
        <v>0</v>
      </c>
      <c r="K23" s="16"/>
      <c r="L23" s="248">
        <f t="shared" si="0"/>
        <v>0</v>
      </c>
      <c r="M23" s="220"/>
    </row>
    <row r="24" spans="2:17" x14ac:dyDescent="0.3">
      <c r="B24" s="16">
        <v>21</v>
      </c>
      <c r="C24" s="77"/>
      <c r="D24" s="6">
        <v>3</v>
      </c>
      <c r="E24" s="6"/>
      <c r="F24" s="77"/>
      <c r="G24" s="108"/>
      <c r="H24" s="108"/>
      <c r="I24" s="6"/>
      <c r="J24" s="250">
        <f t="shared" si="1"/>
        <v>0</v>
      </c>
      <c r="K24" s="6"/>
      <c r="L24" s="248">
        <f t="shared" si="0"/>
        <v>0</v>
      </c>
      <c r="M24" s="220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50">
        <f t="shared" si="1"/>
        <v>0</v>
      </c>
      <c r="K25" s="6"/>
      <c r="L25" s="248">
        <f t="shared" si="0"/>
        <v>0</v>
      </c>
      <c r="M25" s="220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50">
        <f t="shared" si="1"/>
        <v>0</v>
      </c>
      <c r="K26" s="6"/>
      <c r="L26" s="248">
        <f t="shared" si="0"/>
        <v>0</v>
      </c>
      <c r="M26" s="220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50">
        <f t="shared" si="1"/>
        <v>0</v>
      </c>
      <c r="K27" s="6"/>
      <c r="L27" s="248">
        <f t="shared" si="0"/>
        <v>0</v>
      </c>
      <c r="M27" s="220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50">
        <f t="shared" si="1"/>
        <v>0</v>
      </c>
      <c r="K28" s="6"/>
      <c r="L28" s="248">
        <f t="shared" si="0"/>
        <v>0</v>
      </c>
      <c r="M28" s="220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50">
        <f t="shared" si="1"/>
        <v>0</v>
      </c>
      <c r="K29" s="6"/>
      <c r="L29" s="248">
        <f t="shared" si="0"/>
        <v>0</v>
      </c>
      <c r="M29" s="220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50">
        <f t="shared" si="1"/>
        <v>0</v>
      </c>
      <c r="K30" s="6"/>
      <c r="L30" s="248">
        <f t="shared" si="0"/>
        <v>0</v>
      </c>
      <c r="M30" s="220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50">
        <f t="shared" si="1"/>
        <v>0</v>
      </c>
      <c r="K31" s="6"/>
      <c r="L31" s="248">
        <f t="shared" si="0"/>
        <v>0</v>
      </c>
      <c r="M31" s="220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50">
        <f t="shared" si="1"/>
        <v>0</v>
      </c>
      <c r="K32" s="6"/>
      <c r="L32" s="248">
        <f t="shared" si="0"/>
        <v>0</v>
      </c>
      <c r="M32" s="220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50">
        <f t="shared" si="1"/>
        <v>0</v>
      </c>
      <c r="K33" s="6"/>
      <c r="L33" s="248">
        <f t="shared" si="0"/>
        <v>0</v>
      </c>
      <c r="M33" s="220"/>
    </row>
  </sheetData>
  <mergeCells count="1">
    <mergeCell ref="Q4:T5"/>
  </mergeCells>
  <phoneticPr fontId="5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56" t="s">
        <v>1</v>
      </c>
      <c r="B4" s="958" t="s">
        <v>51</v>
      </c>
      <c r="C4" s="958"/>
      <c r="D4" s="958"/>
      <c r="E4" s="958"/>
      <c r="F4" s="105"/>
      <c r="G4" s="58"/>
      <c r="H4" s="58"/>
      <c r="I4" s="110"/>
      <c r="J4" s="110"/>
      <c r="K4" s="110"/>
      <c r="L4" s="944" t="s">
        <v>240</v>
      </c>
      <c r="M4" s="942"/>
      <c r="N4" s="943"/>
      <c r="O4" s="944" t="s">
        <v>236</v>
      </c>
      <c r="P4" s="942"/>
      <c r="Q4" s="943"/>
      <c r="R4" s="944" t="s">
        <v>237</v>
      </c>
      <c r="S4" s="942"/>
      <c r="T4" s="943"/>
      <c r="U4" s="944" t="s">
        <v>238</v>
      </c>
      <c r="V4" s="942"/>
      <c r="W4" s="943"/>
      <c r="X4" s="944" t="s">
        <v>239</v>
      </c>
      <c r="Y4" s="942"/>
      <c r="Z4" s="943"/>
      <c r="AA4" s="944" t="s">
        <v>52</v>
      </c>
      <c r="AB4" s="942"/>
      <c r="AC4" s="943"/>
      <c r="AD4" s="944" t="s">
        <v>53</v>
      </c>
      <c r="AE4" s="942"/>
      <c r="AF4" s="943"/>
      <c r="AG4" s="936">
        <v>0.83333333333333337</v>
      </c>
      <c r="AH4" s="942"/>
      <c r="AI4" s="943"/>
      <c r="AJ4" s="936">
        <v>0.91666666666666663</v>
      </c>
      <c r="AK4" s="937"/>
      <c r="AL4" s="938"/>
      <c r="AM4" s="939">
        <v>0</v>
      </c>
      <c r="AN4" s="940"/>
      <c r="AO4" s="941"/>
      <c r="AP4" s="936">
        <v>8.3333333333333329E-2</v>
      </c>
      <c r="AQ4" s="937"/>
      <c r="AR4" s="938"/>
      <c r="AS4" s="936">
        <v>0.16666666666666666</v>
      </c>
      <c r="AT4" s="937"/>
      <c r="AU4" s="938"/>
      <c r="AV4" s="63" t="s">
        <v>54</v>
      </c>
      <c r="AW4" s="48"/>
    </row>
    <row r="5" spans="1:49" x14ac:dyDescent="0.3">
      <c r="A5" s="956"/>
      <c r="B5" s="60" t="s">
        <v>59</v>
      </c>
      <c r="C5" s="60" t="s">
        <v>60</v>
      </c>
      <c r="D5" s="61" t="s">
        <v>129</v>
      </c>
      <c r="E5" s="61" t="s">
        <v>130</v>
      </c>
      <c r="F5" s="106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62">
        <v>46147</v>
      </c>
      <c r="B6" s="957"/>
      <c r="C6" s="53" t="s">
        <v>170</v>
      </c>
      <c r="D6" s="53" t="s">
        <v>133</v>
      </c>
      <c r="E6" s="107"/>
      <c r="F6" s="104" t="s">
        <v>228</v>
      </c>
      <c r="G6" s="50">
        <v>1</v>
      </c>
      <c r="H6" s="185"/>
      <c r="I6" s="51"/>
      <c r="J6" s="51"/>
      <c r="K6" s="51"/>
      <c r="L6" s="51"/>
      <c r="M6" s="51"/>
      <c r="N6" s="51"/>
      <c r="O6" s="51"/>
      <c r="P6" s="184"/>
      <c r="Q6" s="184"/>
      <c r="R6" s="51"/>
      <c r="S6" s="51"/>
      <c r="T6" s="51"/>
      <c r="U6" s="51"/>
      <c r="V6" s="51"/>
      <c r="W6" s="51"/>
      <c r="X6" s="51"/>
      <c r="Y6" s="184"/>
      <c r="Z6" s="184"/>
      <c r="AA6" s="51">
        <v>11</v>
      </c>
      <c r="AB6" s="184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71" t="s">
        <v>232</v>
      </c>
      <c r="AW6" s="972"/>
    </row>
    <row r="7" spans="1:49" x14ac:dyDescent="0.3">
      <c r="A7" s="962"/>
      <c r="B7" s="946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71"/>
      <c r="AW7" s="973"/>
    </row>
    <row r="8" spans="1:49" x14ac:dyDescent="0.3">
      <c r="A8" s="962"/>
      <c r="B8" s="946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71"/>
      <c r="AW8" s="973"/>
    </row>
    <row r="9" spans="1:49" ht="15" thickBot="1" x14ac:dyDescent="0.35">
      <c r="A9" s="957"/>
      <c r="B9" s="946"/>
      <c r="C9" s="189"/>
      <c r="D9" s="189"/>
      <c r="E9" s="190"/>
      <c r="F9" s="190"/>
      <c r="G9" s="191">
        <v>4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972"/>
      <c r="AW9" s="974"/>
    </row>
    <row r="10" spans="1:49" x14ac:dyDescent="0.3">
      <c r="A10" s="959">
        <v>46148</v>
      </c>
      <c r="B10" s="945" t="s">
        <v>229</v>
      </c>
      <c r="C10" s="195" t="s">
        <v>170</v>
      </c>
      <c r="D10" s="196" t="s">
        <v>230</v>
      </c>
      <c r="E10" s="197"/>
      <c r="F10" s="198"/>
      <c r="G10" s="199">
        <v>1</v>
      </c>
      <c r="H10" s="200">
        <f>(1.5*1000)/I10</f>
        <v>2.7777777777777777</v>
      </c>
      <c r="I10" s="201">
        <v>540</v>
      </c>
      <c r="J10" s="201">
        <v>258</v>
      </c>
      <c r="K10" s="201"/>
      <c r="L10" s="201"/>
      <c r="M10" s="201"/>
      <c r="N10" s="201"/>
      <c r="O10" s="199"/>
      <c r="P10" s="199"/>
      <c r="Q10" s="199"/>
      <c r="R10" s="199"/>
      <c r="S10" s="199"/>
      <c r="T10" s="199"/>
      <c r="U10" s="199">
        <v>11</v>
      </c>
      <c r="V10" s="199"/>
      <c r="W10" s="199">
        <v>170</v>
      </c>
      <c r="X10" s="51">
        <v>11.1</v>
      </c>
      <c r="Y10" s="184">
        <v>0.38</v>
      </c>
      <c r="Z10" s="199"/>
      <c r="AA10" s="199">
        <v>11</v>
      </c>
      <c r="AB10" s="199"/>
      <c r="AC10" s="199">
        <v>170</v>
      </c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975" t="s">
        <v>241</v>
      </c>
      <c r="AW10" s="978" t="s">
        <v>231</v>
      </c>
    </row>
    <row r="11" spans="1:49" x14ac:dyDescent="0.3">
      <c r="A11" s="960"/>
      <c r="B11" s="946"/>
      <c r="C11" s="53"/>
      <c r="D11" s="53"/>
      <c r="E11" s="107"/>
      <c r="F11" s="104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76"/>
      <c r="AW11" s="979"/>
    </row>
    <row r="12" spans="1:49" x14ac:dyDescent="0.3">
      <c r="A12" s="960"/>
      <c r="B12" s="946"/>
      <c r="C12" s="53"/>
      <c r="D12" s="53"/>
      <c r="E12" s="107"/>
      <c r="F12" s="104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76"/>
      <c r="AW12" s="979"/>
    </row>
    <row r="13" spans="1:49" ht="15" thickBot="1" x14ac:dyDescent="0.35">
      <c r="A13" s="961"/>
      <c r="B13" s="946"/>
      <c r="C13" s="202"/>
      <c r="D13" s="202"/>
      <c r="E13" s="203"/>
      <c r="F13" s="204"/>
      <c r="G13" s="205">
        <v>4</v>
      </c>
      <c r="H13" s="206"/>
      <c r="I13" s="206"/>
      <c r="J13" s="206"/>
      <c r="K13" s="206"/>
      <c r="L13" s="206"/>
      <c r="M13" s="206"/>
      <c r="N13" s="206"/>
      <c r="O13" s="205"/>
      <c r="P13" s="205"/>
      <c r="Q13" s="205"/>
      <c r="R13" s="205"/>
      <c r="S13" s="205"/>
      <c r="T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977"/>
      <c r="AW13" s="980"/>
    </row>
    <row r="14" spans="1:49" ht="15" thickBot="1" x14ac:dyDescent="0.35">
      <c r="A14" s="959">
        <v>46149</v>
      </c>
      <c r="B14" s="180" t="s">
        <v>275</v>
      </c>
      <c r="C14" s="195"/>
      <c r="D14" s="208"/>
      <c r="E14" s="176"/>
      <c r="F14" s="27"/>
      <c r="G14" s="199">
        <v>1</v>
      </c>
      <c r="H14" s="200">
        <f>(1.5*1000)/I14</f>
        <v>2.7777777777777777</v>
      </c>
      <c r="I14" s="201">
        <v>540</v>
      </c>
      <c r="J14" s="201">
        <v>258</v>
      </c>
      <c r="K14" s="200">
        <f>J14*((1-38%)/38%)</f>
        <v>420.9473684210526</v>
      </c>
      <c r="L14" s="200"/>
      <c r="M14" s="200"/>
      <c r="N14" s="200"/>
      <c r="O14" s="199"/>
      <c r="P14" s="199"/>
      <c r="Q14" s="199"/>
      <c r="R14" s="199">
        <v>11</v>
      </c>
      <c r="S14" s="199"/>
      <c r="T14" s="199">
        <v>180</v>
      </c>
      <c r="U14" s="199">
        <v>11</v>
      </c>
      <c r="V14" s="199"/>
      <c r="W14" s="199">
        <v>180</v>
      </c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975" t="s">
        <v>242</v>
      </c>
      <c r="AW14" s="981"/>
    </row>
    <row r="15" spans="1:49" x14ac:dyDescent="0.3">
      <c r="A15" s="960"/>
      <c r="B15" s="180" t="s">
        <v>234</v>
      </c>
      <c r="C15" s="53" t="s">
        <v>170</v>
      </c>
      <c r="D15" s="103" t="s">
        <v>235</v>
      </c>
      <c r="E15" s="6"/>
      <c r="F15" s="16"/>
      <c r="G15" s="50">
        <v>2</v>
      </c>
      <c r="H15" s="185">
        <f>1200/I15</f>
        <v>2.2222222222222223</v>
      </c>
      <c r="I15" s="51">
        <v>540</v>
      </c>
      <c r="J15" s="51">
        <v>265</v>
      </c>
      <c r="K15" s="200">
        <f>J15*((1-39%)/39%)</f>
        <v>414.4871794871795</v>
      </c>
      <c r="L15" s="215"/>
      <c r="M15" s="215"/>
      <c r="N15" s="215"/>
      <c r="O15" s="50">
        <v>11</v>
      </c>
      <c r="P15" s="214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76"/>
      <c r="AW15" s="982"/>
    </row>
    <row r="16" spans="1:49" x14ac:dyDescent="0.3">
      <c r="A16" s="960"/>
      <c r="B16" s="180"/>
      <c r="C16" s="53"/>
      <c r="D16" s="103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76"/>
      <c r="AW16" s="982"/>
    </row>
    <row r="17" spans="1:49" ht="15" thickBot="1" x14ac:dyDescent="0.35">
      <c r="A17" s="961"/>
      <c r="B17" s="180"/>
      <c r="C17" s="202"/>
      <c r="D17" s="209"/>
      <c r="E17" s="210"/>
      <c r="F17" s="31"/>
      <c r="G17" s="205">
        <v>4</v>
      </c>
      <c r="H17" s="211"/>
      <c r="I17" s="211"/>
      <c r="J17" s="211"/>
      <c r="K17" s="211"/>
      <c r="L17" s="211"/>
      <c r="M17" s="211"/>
      <c r="N17" s="211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  <c r="AU17" s="205"/>
      <c r="AV17" s="976"/>
      <c r="AW17" s="983"/>
    </row>
    <row r="18" spans="1:49" x14ac:dyDescent="0.3">
      <c r="A18" s="963">
        <v>46150</v>
      </c>
      <c r="B18" s="180" t="s">
        <v>276</v>
      </c>
      <c r="C18" s="192"/>
      <c r="D18" s="193"/>
      <c r="E18" s="39"/>
      <c r="F18" s="38"/>
      <c r="G18" s="194">
        <v>1</v>
      </c>
      <c r="H18" s="207"/>
      <c r="I18" s="207"/>
      <c r="J18" s="207"/>
      <c r="K18" s="207"/>
      <c r="L18" s="207"/>
      <c r="M18" s="207"/>
      <c r="N18" s="207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232" t="s">
        <v>289</v>
      </c>
      <c r="AW18" s="970"/>
    </row>
    <row r="19" spans="1:49" x14ac:dyDescent="0.3">
      <c r="A19" s="962"/>
      <c r="B19" s="180" t="s">
        <v>277</v>
      </c>
      <c r="C19" s="53"/>
      <c r="D19" s="103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32" t="s">
        <v>290</v>
      </c>
      <c r="AW19" s="969"/>
    </row>
    <row r="20" spans="1:49" x14ac:dyDescent="0.3">
      <c r="A20" s="962"/>
      <c r="B20" s="180"/>
      <c r="C20" s="53"/>
      <c r="D20" s="103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32"/>
      <c r="AW20" s="969"/>
    </row>
    <row r="21" spans="1:49" x14ac:dyDescent="0.3">
      <c r="A21" s="962"/>
      <c r="B21" s="57"/>
      <c r="C21" s="53"/>
      <c r="D21" s="103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32"/>
      <c r="AW21" s="969"/>
    </row>
    <row r="22" spans="1:49" x14ac:dyDescent="0.3">
      <c r="A22" s="962">
        <v>46151</v>
      </c>
      <c r="B22" s="55"/>
      <c r="C22" s="53"/>
      <c r="D22" s="947"/>
      <c r="E22" s="953"/>
      <c r="F22" s="101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69"/>
    </row>
    <row r="23" spans="1:49" x14ac:dyDescent="0.3">
      <c r="A23" s="962"/>
      <c r="B23" s="56"/>
      <c r="C23" s="53"/>
      <c r="D23" s="948"/>
      <c r="E23" s="954"/>
      <c r="F23" s="102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69"/>
    </row>
    <row r="24" spans="1:49" x14ac:dyDescent="0.3">
      <c r="A24" s="962"/>
      <c r="B24" s="56"/>
      <c r="C24" s="53"/>
      <c r="D24" s="948"/>
      <c r="E24" s="954"/>
      <c r="F24" s="102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69"/>
    </row>
    <row r="25" spans="1:49" ht="15" thickBot="1" x14ac:dyDescent="0.35">
      <c r="A25" s="962"/>
      <c r="B25" s="57"/>
      <c r="C25" s="53"/>
      <c r="D25" s="949"/>
      <c r="E25" s="955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205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3"/>
      <c r="AW25" s="967"/>
    </row>
    <row r="26" spans="1:49" x14ac:dyDescent="0.3">
      <c r="A26" s="962">
        <v>46152</v>
      </c>
      <c r="B26" s="55"/>
      <c r="C26" s="53"/>
      <c r="D26" s="947"/>
      <c r="E26" s="953"/>
      <c r="F26" s="101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70"/>
      <c r="AW26" s="970"/>
    </row>
    <row r="27" spans="1:49" x14ac:dyDescent="0.3">
      <c r="A27" s="962"/>
      <c r="B27" s="56"/>
      <c r="C27" s="53"/>
      <c r="D27" s="948"/>
      <c r="E27" s="954"/>
      <c r="F27" s="102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69"/>
      <c r="AW27" s="969"/>
    </row>
    <row r="28" spans="1:49" x14ac:dyDescent="0.3">
      <c r="A28" s="962"/>
      <c r="B28" s="56"/>
      <c r="C28" s="53"/>
      <c r="D28" s="948"/>
      <c r="E28" s="954"/>
      <c r="F28" s="102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69"/>
      <c r="AW28" s="969"/>
    </row>
    <row r="29" spans="1:49" x14ac:dyDescent="0.3">
      <c r="A29" s="962"/>
      <c r="B29" s="57"/>
      <c r="C29" s="53"/>
      <c r="D29" s="949"/>
      <c r="E29" s="955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69"/>
      <c r="AW29" s="969"/>
    </row>
    <row r="30" spans="1:49" x14ac:dyDescent="0.3">
      <c r="A30" s="962">
        <v>46153</v>
      </c>
      <c r="B30" s="55"/>
      <c r="C30" s="53"/>
      <c r="D30" s="947"/>
      <c r="E30" s="953"/>
      <c r="F30" s="101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69"/>
      <c r="AW30" s="969"/>
    </row>
    <row r="31" spans="1:49" x14ac:dyDescent="0.3">
      <c r="A31" s="962"/>
      <c r="B31" s="56"/>
      <c r="C31" s="53"/>
      <c r="D31" s="948"/>
      <c r="E31" s="954"/>
      <c r="F31" s="102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69"/>
      <c r="AW31" s="969"/>
    </row>
    <row r="32" spans="1:49" x14ac:dyDescent="0.3">
      <c r="A32" s="962"/>
      <c r="B32" s="56"/>
      <c r="C32" s="53"/>
      <c r="D32" s="948"/>
      <c r="E32" s="954"/>
      <c r="F32" s="102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69"/>
      <c r="AW32" s="969"/>
    </row>
    <row r="33" spans="1:49" x14ac:dyDescent="0.3">
      <c r="A33" s="962"/>
      <c r="B33" s="57"/>
      <c r="C33" s="53"/>
      <c r="D33" s="949"/>
      <c r="E33" s="955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67"/>
      <c r="AW33" s="967"/>
    </row>
    <row r="34" spans="1:49" x14ac:dyDescent="0.3">
      <c r="A34" s="962">
        <v>46154</v>
      </c>
      <c r="B34" s="55"/>
      <c r="C34" s="53"/>
      <c r="D34" s="947"/>
      <c r="E34" s="953"/>
      <c r="F34" s="101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70"/>
      <c r="AW34" s="970"/>
    </row>
    <row r="35" spans="1:49" x14ac:dyDescent="0.3">
      <c r="A35" s="962"/>
      <c r="B35" s="56"/>
      <c r="C35" s="53"/>
      <c r="D35" s="948"/>
      <c r="E35" s="954"/>
      <c r="F35" s="102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69"/>
      <c r="AW35" s="969"/>
    </row>
    <row r="36" spans="1:49" x14ac:dyDescent="0.3">
      <c r="A36" s="962"/>
      <c r="B36" s="56"/>
      <c r="C36" s="53"/>
      <c r="D36" s="948"/>
      <c r="E36" s="954"/>
      <c r="F36" s="102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69"/>
      <c r="AW36" s="969"/>
    </row>
    <row r="37" spans="1:49" x14ac:dyDescent="0.3">
      <c r="A37" s="962"/>
      <c r="B37" s="57"/>
      <c r="C37" s="53"/>
      <c r="D37" s="949"/>
      <c r="E37" s="955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69"/>
      <c r="AW37" s="969"/>
    </row>
    <row r="38" spans="1:49" x14ac:dyDescent="0.3">
      <c r="A38" s="962">
        <v>46155</v>
      </c>
      <c r="B38" s="55"/>
      <c r="C38" s="53"/>
      <c r="D38" s="947"/>
      <c r="E38" s="953"/>
      <c r="F38" s="101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69"/>
      <c r="AW38" s="969"/>
    </row>
    <row r="39" spans="1:49" x14ac:dyDescent="0.3">
      <c r="A39" s="962"/>
      <c r="B39" s="56"/>
      <c r="C39" s="53"/>
      <c r="D39" s="948"/>
      <c r="E39" s="954"/>
      <c r="F39" s="102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69"/>
      <c r="AW39" s="969"/>
    </row>
    <row r="40" spans="1:49" x14ac:dyDescent="0.3">
      <c r="A40" s="962"/>
      <c r="B40" s="56"/>
      <c r="C40" s="53"/>
      <c r="D40" s="948"/>
      <c r="E40" s="954"/>
      <c r="F40" s="102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69"/>
      <c r="AW40" s="969"/>
    </row>
    <row r="41" spans="1:49" x14ac:dyDescent="0.3">
      <c r="A41" s="962"/>
      <c r="B41" s="57"/>
      <c r="C41" s="53"/>
      <c r="D41" s="949"/>
      <c r="E41" s="955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67"/>
      <c r="AW41" s="967"/>
    </row>
    <row r="42" spans="1:49" x14ac:dyDescent="0.3">
      <c r="A42" s="962">
        <v>46156</v>
      </c>
      <c r="B42" s="55"/>
      <c r="C42" s="53"/>
      <c r="D42" s="947"/>
      <c r="E42" s="953"/>
      <c r="F42" s="101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70"/>
      <c r="AW42" s="970"/>
    </row>
    <row r="43" spans="1:49" x14ac:dyDescent="0.3">
      <c r="A43" s="962"/>
      <c r="B43" s="56"/>
      <c r="C43" s="53"/>
      <c r="D43" s="948"/>
      <c r="E43" s="954"/>
      <c r="F43" s="102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69"/>
      <c r="AW43" s="969"/>
    </row>
    <row r="44" spans="1:49" x14ac:dyDescent="0.3">
      <c r="A44" s="962"/>
      <c r="B44" s="56"/>
      <c r="C44" s="53"/>
      <c r="D44" s="948"/>
      <c r="E44" s="954"/>
      <c r="F44" s="102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69"/>
      <c r="AW44" s="969"/>
    </row>
    <row r="45" spans="1:49" x14ac:dyDescent="0.3">
      <c r="A45" s="962"/>
      <c r="B45" s="57"/>
      <c r="C45" s="53"/>
      <c r="D45" s="949"/>
      <c r="E45" s="955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69"/>
      <c r="AW45" s="969"/>
    </row>
    <row r="46" spans="1:49" x14ac:dyDescent="0.3">
      <c r="A46" s="962">
        <v>46157</v>
      </c>
      <c r="B46" s="55"/>
      <c r="C46" s="53"/>
      <c r="D46" s="950" t="s">
        <v>158</v>
      </c>
      <c r="E46" s="953"/>
      <c r="F46" s="101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69"/>
      <c r="AW46" s="969"/>
    </row>
    <row r="47" spans="1:49" x14ac:dyDescent="0.3">
      <c r="A47" s="962"/>
      <c r="B47" s="56"/>
      <c r="C47" s="53"/>
      <c r="D47" s="951"/>
      <c r="E47" s="954"/>
      <c r="F47" s="102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69"/>
      <c r="AW47" s="969"/>
    </row>
    <row r="48" spans="1:49" x14ac:dyDescent="0.3">
      <c r="A48" s="962"/>
      <c r="B48" s="56"/>
      <c r="C48" s="53"/>
      <c r="D48" s="951"/>
      <c r="E48" s="954"/>
      <c r="F48" s="102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69"/>
      <c r="AW48" s="969"/>
    </row>
    <row r="49" spans="1:49" x14ac:dyDescent="0.3">
      <c r="A49" s="962"/>
      <c r="B49" s="57"/>
      <c r="C49" s="53"/>
      <c r="D49" s="952"/>
      <c r="E49" s="955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67"/>
      <c r="AW49" s="967"/>
    </row>
    <row r="50" spans="1:49" x14ac:dyDescent="0.3">
      <c r="A50" s="962">
        <v>46158</v>
      </c>
      <c r="B50" s="55"/>
      <c r="C50" s="53"/>
      <c r="D50" s="947"/>
      <c r="E50" s="953"/>
      <c r="F50" s="101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70"/>
      <c r="AW50" s="970"/>
    </row>
    <row r="51" spans="1:49" x14ac:dyDescent="0.3">
      <c r="A51" s="962"/>
      <c r="B51" s="56"/>
      <c r="C51" s="53"/>
      <c r="D51" s="948"/>
      <c r="E51" s="954"/>
      <c r="F51" s="102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69"/>
      <c r="AW51" s="969"/>
    </row>
    <row r="52" spans="1:49" x14ac:dyDescent="0.3">
      <c r="A52" s="962"/>
      <c r="B52" s="56"/>
      <c r="C52" s="53"/>
      <c r="D52" s="948"/>
      <c r="E52" s="954"/>
      <c r="F52" s="102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69"/>
      <c r="AW52" s="969"/>
    </row>
    <row r="53" spans="1:49" x14ac:dyDescent="0.3">
      <c r="A53" s="962"/>
      <c r="B53" s="57"/>
      <c r="C53" s="53"/>
      <c r="D53" s="949"/>
      <c r="E53" s="955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69"/>
      <c r="AW53" s="969"/>
    </row>
    <row r="54" spans="1:49" x14ac:dyDescent="0.3">
      <c r="A54" s="962">
        <v>46159</v>
      </c>
      <c r="B54" s="55"/>
      <c r="C54" s="53"/>
      <c r="D54" s="103"/>
      <c r="E54" s="964" t="s">
        <v>157</v>
      </c>
      <c r="F54" s="101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69"/>
      <c r="AW54" s="969"/>
    </row>
    <row r="55" spans="1:49" x14ac:dyDescent="0.3">
      <c r="A55" s="962"/>
      <c r="B55" s="56"/>
      <c r="C55" s="53"/>
      <c r="D55" s="103"/>
      <c r="E55" s="965"/>
      <c r="F55" s="102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69"/>
      <c r="AW55" s="969"/>
    </row>
    <row r="56" spans="1:49" x14ac:dyDescent="0.3">
      <c r="A56" s="962"/>
      <c r="B56" s="56"/>
      <c r="C56" s="53"/>
      <c r="D56" s="103"/>
      <c r="E56" s="965"/>
      <c r="F56" s="102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69"/>
      <c r="AW56" s="969"/>
    </row>
    <row r="57" spans="1:49" x14ac:dyDescent="0.3">
      <c r="A57" s="962"/>
      <c r="B57" s="57"/>
      <c r="C57" s="53"/>
      <c r="D57" s="103"/>
      <c r="E57" s="966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67"/>
      <c r="AW57" s="967"/>
    </row>
    <row r="58" spans="1:49" x14ac:dyDescent="0.3">
      <c r="A58" s="962">
        <v>46160</v>
      </c>
      <c r="B58" s="55"/>
      <c r="C58" s="53"/>
      <c r="D58" s="103"/>
      <c r="E58" s="6"/>
      <c r="F58" s="101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70"/>
      <c r="AW58" s="970"/>
    </row>
    <row r="59" spans="1:49" x14ac:dyDescent="0.3">
      <c r="A59" s="962"/>
      <c r="B59" s="56"/>
      <c r="C59" s="53"/>
      <c r="D59" s="103"/>
      <c r="E59" s="6"/>
      <c r="F59" s="102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69"/>
      <c r="AW59" s="969"/>
    </row>
    <row r="60" spans="1:49" x14ac:dyDescent="0.3">
      <c r="A60" s="962"/>
      <c r="B60" s="56"/>
      <c r="C60" s="53"/>
      <c r="D60" s="103"/>
      <c r="E60" s="6"/>
      <c r="F60" s="102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69"/>
      <c r="AW60" s="969"/>
    </row>
    <row r="61" spans="1:49" x14ac:dyDescent="0.3">
      <c r="A61" s="962"/>
      <c r="B61" s="57"/>
      <c r="C61" s="53"/>
      <c r="D61" s="103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69"/>
      <c r="AW61" s="969"/>
    </row>
    <row r="62" spans="1:49" x14ac:dyDescent="0.3">
      <c r="A62" s="962">
        <v>46161</v>
      </c>
      <c r="B62" s="55"/>
      <c r="C62" s="53"/>
      <c r="D62" s="103"/>
      <c r="E62" s="6"/>
      <c r="F62" s="101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69"/>
      <c r="AW62" s="969"/>
    </row>
    <row r="63" spans="1:49" x14ac:dyDescent="0.3">
      <c r="A63" s="962"/>
      <c r="B63" s="56"/>
      <c r="C63" s="53"/>
      <c r="D63" s="103"/>
      <c r="E63" s="6"/>
      <c r="F63" s="102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69"/>
      <c r="AW63" s="969"/>
    </row>
    <row r="64" spans="1:49" x14ac:dyDescent="0.3">
      <c r="A64" s="962"/>
      <c r="B64" s="56"/>
      <c r="C64" s="53"/>
      <c r="D64" s="103"/>
      <c r="E64" s="6"/>
      <c r="F64" s="102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69"/>
      <c r="AW64" s="969"/>
    </row>
    <row r="65" spans="1:49" x14ac:dyDescent="0.3">
      <c r="A65" s="962"/>
      <c r="B65" s="57"/>
      <c r="C65" s="53"/>
      <c r="D65" s="103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67"/>
      <c r="AW65" s="967"/>
    </row>
    <row r="66" spans="1:49" x14ac:dyDescent="0.3">
      <c r="A66" s="962">
        <v>46162</v>
      </c>
      <c r="B66" s="55"/>
      <c r="C66" s="53"/>
      <c r="D66" s="103"/>
      <c r="E66" s="6"/>
      <c r="F66" s="101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70"/>
      <c r="AW66" s="970"/>
    </row>
    <row r="67" spans="1:49" x14ac:dyDescent="0.3">
      <c r="A67" s="962"/>
      <c r="B67" s="56"/>
      <c r="C67" s="53"/>
      <c r="D67" s="103"/>
      <c r="E67" s="6"/>
      <c r="F67" s="102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69"/>
      <c r="AW67" s="969"/>
    </row>
    <row r="68" spans="1:49" x14ac:dyDescent="0.3">
      <c r="A68" s="962"/>
      <c r="B68" s="56"/>
      <c r="C68" s="53"/>
      <c r="D68" s="103"/>
      <c r="E68" s="6"/>
      <c r="F68" s="102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69"/>
      <c r="AW68" s="969"/>
    </row>
    <row r="69" spans="1:49" x14ac:dyDescent="0.3">
      <c r="A69" s="962"/>
      <c r="B69" s="57"/>
      <c r="C69" s="53"/>
      <c r="D69" s="103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69"/>
      <c r="AW69" s="969"/>
    </row>
    <row r="70" spans="1:49" x14ac:dyDescent="0.3">
      <c r="A70" s="962">
        <v>46163</v>
      </c>
      <c r="B70" s="55"/>
      <c r="C70" s="53"/>
      <c r="D70" s="103"/>
      <c r="E70" s="6"/>
      <c r="F70" s="101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69"/>
      <c r="AW70" s="969"/>
    </row>
    <row r="71" spans="1:49" x14ac:dyDescent="0.3">
      <c r="A71" s="962"/>
      <c r="B71" s="56"/>
      <c r="C71" s="53"/>
      <c r="D71" s="103"/>
      <c r="E71" s="6"/>
      <c r="F71" s="102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69"/>
      <c r="AW71" s="969"/>
    </row>
    <row r="72" spans="1:49" x14ac:dyDescent="0.3">
      <c r="A72" s="962"/>
      <c r="B72" s="56"/>
      <c r="C72" s="53"/>
      <c r="D72" s="103"/>
      <c r="E72" s="6"/>
      <c r="F72" s="102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69"/>
      <c r="AW72" s="969"/>
    </row>
    <row r="73" spans="1:49" x14ac:dyDescent="0.3">
      <c r="A73" s="962"/>
      <c r="B73" s="57"/>
      <c r="C73" s="53"/>
      <c r="D73" s="103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67"/>
      <c r="AW73" s="967"/>
    </row>
    <row r="74" spans="1:49" x14ac:dyDescent="0.3">
      <c r="A74" s="962">
        <v>46164</v>
      </c>
      <c r="B74" s="55"/>
      <c r="C74" s="53"/>
      <c r="D74" s="103"/>
      <c r="E74" s="6"/>
      <c r="F74" s="101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70"/>
      <c r="AW74" s="970"/>
    </row>
    <row r="75" spans="1:49" x14ac:dyDescent="0.3">
      <c r="A75" s="962"/>
      <c r="B75" s="56"/>
      <c r="C75" s="53"/>
      <c r="D75" s="103"/>
      <c r="E75" s="6"/>
      <c r="F75" s="102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69"/>
      <c r="AW75" s="969"/>
    </row>
    <row r="76" spans="1:49" x14ac:dyDescent="0.3">
      <c r="A76" s="962"/>
      <c r="B76" s="56"/>
      <c r="C76" s="53"/>
      <c r="D76" s="103"/>
      <c r="E76" s="6"/>
      <c r="F76" s="102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69"/>
      <c r="AW76" s="969"/>
    </row>
    <row r="77" spans="1:49" x14ac:dyDescent="0.3">
      <c r="A77" s="962"/>
      <c r="B77" s="57"/>
      <c r="C77" s="53"/>
      <c r="D77" s="103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69"/>
      <c r="AW77" s="969"/>
    </row>
    <row r="78" spans="1:49" x14ac:dyDescent="0.3">
      <c r="A78" s="962">
        <v>46165</v>
      </c>
      <c r="B78" s="55"/>
      <c r="C78" s="53"/>
      <c r="D78" s="103"/>
      <c r="E78" s="6"/>
      <c r="F78" s="101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69"/>
      <c r="AW78" s="969"/>
    </row>
    <row r="79" spans="1:49" x14ac:dyDescent="0.3">
      <c r="A79" s="962"/>
      <c r="B79" s="56"/>
      <c r="C79" s="53"/>
      <c r="D79" s="103"/>
      <c r="E79" s="6"/>
      <c r="F79" s="102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69"/>
      <c r="AW79" s="969"/>
    </row>
    <row r="80" spans="1:49" x14ac:dyDescent="0.3">
      <c r="A80" s="962"/>
      <c r="B80" s="56"/>
      <c r="C80" s="53"/>
      <c r="D80" s="103"/>
      <c r="E80" s="6"/>
      <c r="F80" s="102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69"/>
      <c r="AW80" s="969"/>
    </row>
    <row r="81" spans="1:49" x14ac:dyDescent="0.3">
      <c r="A81" s="962"/>
      <c r="B81" s="57"/>
      <c r="C81" s="53"/>
      <c r="D81" s="103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67"/>
      <c r="AW81" s="967"/>
    </row>
    <row r="82" spans="1:49" x14ac:dyDescent="0.3">
      <c r="A82" s="962">
        <v>46166</v>
      </c>
      <c r="B82" s="55"/>
      <c r="C82" s="53"/>
      <c r="D82" s="103"/>
      <c r="E82" s="6"/>
      <c r="F82" s="101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70"/>
      <c r="AW82" s="970"/>
    </row>
    <row r="83" spans="1:49" x14ac:dyDescent="0.3">
      <c r="A83" s="962"/>
      <c r="B83" s="56"/>
      <c r="C83" s="53"/>
      <c r="D83" s="103"/>
      <c r="E83" s="6"/>
      <c r="F83" s="102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69"/>
      <c r="AW83" s="969"/>
    </row>
    <row r="84" spans="1:49" x14ac:dyDescent="0.3">
      <c r="A84" s="962"/>
      <c r="B84" s="56"/>
      <c r="C84" s="53"/>
      <c r="D84" s="103"/>
      <c r="E84" s="6"/>
      <c r="F84" s="102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69"/>
      <c r="AW84" s="969"/>
    </row>
    <row r="85" spans="1:49" x14ac:dyDescent="0.3">
      <c r="A85" s="962"/>
      <c r="B85" s="57"/>
      <c r="C85" s="53"/>
      <c r="D85" s="103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69"/>
      <c r="AW85" s="969"/>
    </row>
    <row r="86" spans="1:49" x14ac:dyDescent="0.3">
      <c r="A86" s="962">
        <v>46167</v>
      </c>
      <c r="B86" s="55"/>
      <c r="C86" s="53"/>
      <c r="D86" s="103"/>
      <c r="E86" s="6"/>
      <c r="F86" s="101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69"/>
      <c r="AW86" s="969"/>
    </row>
    <row r="87" spans="1:49" x14ac:dyDescent="0.3">
      <c r="A87" s="962"/>
      <c r="B87" s="56"/>
      <c r="C87" s="53"/>
      <c r="D87" s="103"/>
      <c r="E87" s="6"/>
      <c r="F87" s="102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69"/>
      <c r="AW87" s="969"/>
    </row>
    <row r="88" spans="1:49" x14ac:dyDescent="0.3">
      <c r="A88" s="962"/>
      <c r="B88" s="56"/>
      <c r="C88" s="53"/>
      <c r="D88" s="103"/>
      <c r="E88" s="6"/>
      <c r="F88" s="102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69"/>
      <c r="AW88" s="969"/>
    </row>
    <row r="89" spans="1:49" x14ac:dyDescent="0.3">
      <c r="A89" s="962"/>
      <c r="B89" s="57"/>
      <c r="C89" s="53"/>
      <c r="D89" s="103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67"/>
      <c r="AW89" s="967"/>
    </row>
    <row r="90" spans="1:49" x14ac:dyDescent="0.3">
      <c r="A90" s="962">
        <v>46168</v>
      </c>
      <c r="B90" s="55"/>
      <c r="C90" s="53"/>
      <c r="D90" s="103"/>
      <c r="E90" s="6"/>
      <c r="F90" s="101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70"/>
      <c r="AW90" s="970"/>
    </row>
    <row r="91" spans="1:49" x14ac:dyDescent="0.3">
      <c r="A91" s="962"/>
      <c r="B91" s="56"/>
      <c r="C91" s="53"/>
      <c r="D91" s="103"/>
      <c r="E91" s="6"/>
      <c r="F91" s="102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69"/>
      <c r="AW91" s="969"/>
    </row>
    <row r="92" spans="1:49" x14ac:dyDescent="0.3">
      <c r="A92" s="962"/>
      <c r="B92" s="56"/>
      <c r="C92" s="53"/>
      <c r="D92" s="103"/>
      <c r="E92" s="6"/>
      <c r="F92" s="102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69"/>
      <c r="AW92" s="969"/>
    </row>
    <row r="93" spans="1:49" x14ac:dyDescent="0.3">
      <c r="A93" s="962"/>
      <c r="B93" s="57"/>
      <c r="C93" s="53"/>
      <c r="D93" s="103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69"/>
      <c r="AW93" s="969"/>
    </row>
    <row r="94" spans="1:49" x14ac:dyDescent="0.3">
      <c r="A94" s="962">
        <v>46169</v>
      </c>
      <c r="B94" s="55"/>
      <c r="C94" s="53"/>
      <c r="D94" s="103"/>
      <c r="E94" s="6"/>
      <c r="F94" s="101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69"/>
      <c r="AW94" s="969"/>
    </row>
    <row r="95" spans="1:49" x14ac:dyDescent="0.3">
      <c r="A95" s="962"/>
      <c r="B95" s="56"/>
      <c r="C95" s="53"/>
      <c r="D95" s="103"/>
      <c r="E95" s="6"/>
      <c r="F95" s="102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69"/>
      <c r="AW95" s="969"/>
    </row>
    <row r="96" spans="1:49" x14ac:dyDescent="0.3">
      <c r="A96" s="962"/>
      <c r="B96" s="56"/>
      <c r="C96" s="53"/>
      <c r="D96" s="103"/>
      <c r="E96" s="6"/>
      <c r="F96" s="102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69"/>
      <c r="AW96" s="969"/>
    </row>
    <row r="97" spans="1:49" x14ac:dyDescent="0.3">
      <c r="A97" s="962"/>
      <c r="B97" s="57"/>
      <c r="C97" s="53"/>
      <c r="D97" s="103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67"/>
      <c r="AW97" s="967"/>
    </row>
    <row r="98" spans="1:49" x14ac:dyDescent="0.3">
      <c r="A98" s="962">
        <v>46170</v>
      </c>
      <c r="B98" s="55"/>
      <c r="C98" s="53"/>
      <c r="D98" s="103"/>
      <c r="E98" s="6"/>
      <c r="F98" s="101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70"/>
      <c r="AW98" s="970"/>
    </row>
    <row r="99" spans="1:49" x14ac:dyDescent="0.3">
      <c r="A99" s="962"/>
      <c r="B99" s="56"/>
      <c r="C99" s="53"/>
      <c r="D99" s="103"/>
      <c r="E99" s="6"/>
      <c r="F99" s="102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69"/>
      <c r="AW99" s="969"/>
    </row>
    <row r="100" spans="1:49" x14ac:dyDescent="0.3">
      <c r="A100" s="962"/>
      <c r="B100" s="56"/>
      <c r="C100" s="53"/>
      <c r="D100" s="103"/>
      <c r="E100" s="6"/>
      <c r="F100" s="102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69"/>
      <c r="AW100" s="969"/>
    </row>
    <row r="101" spans="1:49" x14ac:dyDescent="0.3">
      <c r="A101" s="962"/>
      <c r="B101" s="57"/>
      <c r="C101" s="53"/>
      <c r="D101" s="103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69"/>
      <c r="AW101" s="969"/>
    </row>
    <row r="102" spans="1:49" x14ac:dyDescent="0.3">
      <c r="A102" s="962">
        <v>46171</v>
      </c>
      <c r="B102" s="55"/>
      <c r="C102" s="53"/>
      <c r="D102" s="103"/>
      <c r="E102" s="6"/>
      <c r="F102" s="101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69"/>
      <c r="AW102" s="969"/>
    </row>
    <row r="103" spans="1:49" x14ac:dyDescent="0.3">
      <c r="A103" s="962"/>
      <c r="B103" s="56"/>
      <c r="C103" s="53"/>
      <c r="D103" s="103"/>
      <c r="E103" s="6"/>
      <c r="F103" s="102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69"/>
      <c r="AW103" s="969"/>
    </row>
    <row r="104" spans="1:49" x14ac:dyDescent="0.3">
      <c r="A104" s="962"/>
      <c r="B104" s="56"/>
      <c r="C104" s="53"/>
      <c r="D104" s="103"/>
      <c r="E104" s="6"/>
      <c r="F104" s="102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69"/>
      <c r="AW104" s="969"/>
    </row>
    <row r="105" spans="1:49" x14ac:dyDescent="0.3">
      <c r="A105" s="962"/>
      <c r="B105" s="57"/>
      <c r="C105" s="53"/>
      <c r="D105" s="103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67"/>
      <c r="AW105" s="967"/>
    </row>
    <row r="106" spans="1:49" x14ac:dyDescent="0.3">
      <c r="A106" s="962">
        <v>46172</v>
      </c>
      <c r="B106" s="55"/>
      <c r="C106" s="53"/>
      <c r="D106" s="103"/>
      <c r="E106" s="6"/>
      <c r="F106" s="101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70"/>
      <c r="AW106" s="970"/>
    </row>
    <row r="107" spans="1:49" x14ac:dyDescent="0.3">
      <c r="A107" s="962"/>
      <c r="B107" s="56"/>
      <c r="C107" s="53"/>
      <c r="D107" s="103"/>
      <c r="E107" s="6"/>
      <c r="F107" s="102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69"/>
      <c r="AW107" s="969"/>
    </row>
    <row r="108" spans="1:49" x14ac:dyDescent="0.3">
      <c r="A108" s="962"/>
      <c r="B108" s="56"/>
      <c r="C108" s="53"/>
      <c r="D108" s="103"/>
      <c r="E108" s="6"/>
      <c r="F108" s="102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69"/>
      <c r="AW108" s="969"/>
    </row>
    <row r="109" spans="1:49" x14ac:dyDescent="0.3">
      <c r="A109" s="962"/>
      <c r="B109" s="57"/>
      <c r="C109" s="53"/>
      <c r="D109" s="103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69"/>
      <c r="AW109" s="969"/>
    </row>
    <row r="110" spans="1:49" x14ac:dyDescent="0.3">
      <c r="A110" s="962">
        <v>46173</v>
      </c>
      <c r="B110" s="55"/>
      <c r="C110" s="53"/>
      <c r="D110" s="103"/>
      <c r="E110" s="6"/>
      <c r="F110" s="101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69"/>
      <c r="AW110" s="969"/>
    </row>
    <row r="111" spans="1:49" x14ac:dyDescent="0.3">
      <c r="A111" s="962"/>
      <c r="B111" s="56"/>
      <c r="C111" s="53"/>
      <c r="D111" s="103"/>
      <c r="E111" s="6"/>
      <c r="F111" s="102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69"/>
      <c r="AW111" s="969"/>
    </row>
    <row r="112" spans="1:49" x14ac:dyDescent="0.3">
      <c r="A112" s="962"/>
      <c r="B112" s="56"/>
      <c r="C112" s="53"/>
      <c r="D112" s="103"/>
      <c r="E112" s="6"/>
      <c r="F112" s="102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69"/>
      <c r="AW112" s="969"/>
    </row>
    <row r="113" spans="1:49" x14ac:dyDescent="0.3">
      <c r="A113" s="962"/>
      <c r="B113" s="57"/>
      <c r="C113" s="53"/>
      <c r="D113" s="103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67"/>
      <c r="AW113" s="967"/>
    </row>
    <row r="114" spans="1:49" x14ac:dyDescent="0.3">
      <c r="A114" s="962">
        <v>46174</v>
      </c>
      <c r="B114" s="55"/>
      <c r="C114" s="53"/>
      <c r="D114" s="103"/>
      <c r="E114" s="6"/>
      <c r="F114" s="101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70"/>
      <c r="AW114" s="970"/>
    </row>
    <row r="115" spans="1:49" x14ac:dyDescent="0.3">
      <c r="A115" s="962"/>
      <c r="B115" s="56"/>
      <c r="C115" s="53"/>
      <c r="D115" s="103"/>
      <c r="E115" s="6"/>
      <c r="F115" s="102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69"/>
      <c r="AW115" s="969"/>
    </row>
    <row r="116" spans="1:49" x14ac:dyDescent="0.3">
      <c r="A116" s="962"/>
      <c r="B116" s="56"/>
      <c r="C116" s="53"/>
      <c r="D116" s="103"/>
      <c r="E116" s="6"/>
      <c r="F116" s="102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69"/>
      <c r="AW116" s="969"/>
    </row>
    <row r="117" spans="1:49" x14ac:dyDescent="0.3">
      <c r="A117" s="962"/>
      <c r="B117" s="57"/>
      <c r="C117" s="53"/>
      <c r="D117" s="103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69"/>
      <c r="AW117" s="969"/>
    </row>
    <row r="118" spans="1:49" x14ac:dyDescent="0.3">
      <c r="A118" s="962">
        <v>46175</v>
      </c>
      <c r="B118" s="55"/>
      <c r="C118" s="53"/>
      <c r="D118" s="947"/>
      <c r="E118" s="953"/>
      <c r="F118" s="101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69"/>
      <c r="AW118" s="969"/>
    </row>
    <row r="119" spans="1:49" x14ac:dyDescent="0.3">
      <c r="A119" s="962"/>
      <c r="B119" s="56"/>
      <c r="C119" s="53"/>
      <c r="D119" s="948"/>
      <c r="E119" s="954"/>
      <c r="F119" s="102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69"/>
      <c r="AW119" s="969"/>
    </row>
    <row r="120" spans="1:49" x14ac:dyDescent="0.3">
      <c r="A120" s="962"/>
      <c r="B120" s="56"/>
      <c r="C120" s="53"/>
      <c r="D120" s="948"/>
      <c r="E120" s="954"/>
      <c r="F120" s="102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69"/>
      <c r="AW120" s="969"/>
    </row>
    <row r="121" spans="1:49" x14ac:dyDescent="0.3">
      <c r="A121" s="962"/>
      <c r="B121" s="57"/>
      <c r="C121" s="53"/>
      <c r="D121" s="949"/>
      <c r="E121" s="955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67"/>
      <c r="AW121" s="967"/>
    </row>
    <row r="122" spans="1:49" x14ac:dyDescent="0.3">
      <c r="A122" s="962">
        <v>46176</v>
      </c>
      <c r="B122" s="55"/>
      <c r="C122" s="53"/>
      <c r="D122" s="947"/>
      <c r="E122" s="953"/>
      <c r="F122" s="101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70"/>
      <c r="AW122" s="970"/>
    </row>
    <row r="123" spans="1:49" x14ac:dyDescent="0.3">
      <c r="A123" s="962"/>
      <c r="B123" s="56"/>
      <c r="C123" s="53"/>
      <c r="D123" s="948"/>
      <c r="E123" s="954"/>
      <c r="F123" s="102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69"/>
      <c r="AW123" s="969"/>
    </row>
    <row r="124" spans="1:49" x14ac:dyDescent="0.3">
      <c r="A124" s="962"/>
      <c r="B124" s="56"/>
      <c r="C124" s="53"/>
      <c r="D124" s="948"/>
      <c r="E124" s="954"/>
      <c r="F124" s="102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69"/>
      <c r="AW124" s="969"/>
    </row>
    <row r="125" spans="1:49" x14ac:dyDescent="0.3">
      <c r="A125" s="962"/>
      <c r="B125" s="57"/>
      <c r="C125" s="53"/>
      <c r="D125" s="949"/>
      <c r="E125" s="955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69"/>
      <c r="AW125" s="969"/>
    </row>
    <row r="126" spans="1:49" x14ac:dyDescent="0.3">
      <c r="A126" s="962">
        <v>46177</v>
      </c>
      <c r="B126" s="55"/>
      <c r="C126" s="53"/>
      <c r="D126" s="947"/>
      <c r="E126" s="953"/>
      <c r="F126" s="101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69"/>
      <c r="AW126" s="969"/>
    </row>
    <row r="127" spans="1:49" x14ac:dyDescent="0.3">
      <c r="A127" s="962"/>
      <c r="B127" s="56"/>
      <c r="C127" s="53"/>
      <c r="D127" s="948"/>
      <c r="E127" s="954"/>
      <c r="F127" s="102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69"/>
      <c r="AW127" s="969"/>
    </row>
    <row r="128" spans="1:49" x14ac:dyDescent="0.3">
      <c r="A128" s="962"/>
      <c r="B128" s="56"/>
      <c r="C128" s="53"/>
      <c r="D128" s="948"/>
      <c r="E128" s="954"/>
      <c r="F128" s="102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69"/>
      <c r="AW128" s="969"/>
    </row>
    <row r="129" spans="1:49" x14ac:dyDescent="0.3">
      <c r="A129" s="962"/>
      <c r="B129" s="57"/>
      <c r="C129" s="53"/>
      <c r="D129" s="949"/>
      <c r="E129" s="955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67"/>
      <c r="AW129" s="967"/>
    </row>
    <row r="130" spans="1:49" x14ac:dyDescent="0.3">
      <c r="A130" s="21"/>
      <c r="B130" s="21"/>
      <c r="C130" s="21"/>
      <c r="D130" s="962"/>
      <c r="E130" s="968"/>
      <c r="F130" s="104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70"/>
      <c r="AW130" s="970"/>
    </row>
    <row r="131" spans="1:49" x14ac:dyDescent="0.3">
      <c r="A131" s="21"/>
      <c r="B131" s="21"/>
      <c r="C131" s="21"/>
      <c r="D131" s="967"/>
      <c r="E131" s="969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69"/>
      <c r="AW131" s="969"/>
    </row>
    <row r="132" spans="1:49" x14ac:dyDescent="0.3">
      <c r="A132" s="21"/>
      <c r="B132" s="21"/>
      <c r="C132" s="21"/>
      <c r="D132" s="967"/>
      <c r="E132" s="969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69"/>
      <c r="AW132" s="969"/>
    </row>
    <row r="133" spans="1:49" x14ac:dyDescent="0.3">
      <c r="A133" s="21"/>
      <c r="B133" s="21"/>
      <c r="C133" s="21"/>
      <c r="D133" s="967"/>
      <c r="E133" s="969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69"/>
      <c r="AW133" s="969"/>
    </row>
    <row r="134" spans="1:49" x14ac:dyDescent="0.3">
      <c r="A134" s="21"/>
      <c r="B134" s="21"/>
      <c r="C134" s="21"/>
      <c r="D134" s="967"/>
      <c r="E134" s="969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69"/>
      <c r="AW134" s="969"/>
    </row>
    <row r="135" spans="1:49" x14ac:dyDescent="0.3">
      <c r="A135" s="21"/>
      <c r="B135" s="21"/>
      <c r="C135" s="21"/>
      <c r="D135" s="967"/>
      <c r="E135" s="969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69"/>
      <c r="AW135" s="969"/>
    </row>
    <row r="136" spans="1:49" x14ac:dyDescent="0.3">
      <c r="A136" s="21"/>
      <c r="B136" s="21"/>
      <c r="C136" s="21"/>
      <c r="D136" s="967"/>
      <c r="E136" s="969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69"/>
      <c r="AW136" s="969"/>
    </row>
    <row r="137" spans="1:49" x14ac:dyDescent="0.3">
      <c r="A137" s="21"/>
      <c r="B137" s="21"/>
      <c r="C137" s="21"/>
      <c r="D137" s="967"/>
      <c r="E137" s="967"/>
      <c r="F137" s="103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67"/>
      <c r="AW137" s="967"/>
    </row>
    <row r="138" spans="1:49" x14ac:dyDescent="0.3">
      <c r="A138" s="21"/>
      <c r="B138" s="21"/>
      <c r="C138" s="21"/>
      <c r="D138" s="962"/>
      <c r="E138" s="968"/>
      <c r="F138" s="104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70"/>
      <c r="AW138" s="970"/>
    </row>
    <row r="139" spans="1:49" x14ac:dyDescent="0.3">
      <c r="A139" s="21"/>
      <c r="B139" s="21"/>
      <c r="C139" s="21"/>
      <c r="D139" s="967"/>
      <c r="E139" s="969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69"/>
      <c r="AW139" s="969"/>
    </row>
    <row r="140" spans="1:49" x14ac:dyDescent="0.3">
      <c r="A140" s="21"/>
      <c r="B140" s="21"/>
      <c r="C140" s="21"/>
      <c r="D140" s="967"/>
      <c r="E140" s="969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69"/>
      <c r="AW140" s="969"/>
    </row>
    <row r="141" spans="1:49" x14ac:dyDescent="0.3">
      <c r="A141" s="21"/>
      <c r="B141" s="21"/>
      <c r="C141" s="21"/>
      <c r="D141" s="967"/>
      <c r="E141" s="969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69"/>
      <c r="AW141" s="969"/>
    </row>
    <row r="142" spans="1:49" x14ac:dyDescent="0.3">
      <c r="A142" s="21"/>
      <c r="B142" s="21"/>
      <c r="C142" s="21"/>
      <c r="D142" s="967"/>
      <c r="E142" s="969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69"/>
      <c r="AW142" s="969"/>
    </row>
    <row r="143" spans="1:49" x14ac:dyDescent="0.3">
      <c r="A143" s="21"/>
      <c r="B143" s="21"/>
      <c r="C143" s="21"/>
      <c r="D143" s="967"/>
      <c r="E143" s="969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69"/>
      <c r="AW143" s="969"/>
    </row>
    <row r="144" spans="1:49" x14ac:dyDescent="0.3">
      <c r="A144" s="21"/>
      <c r="B144" s="21"/>
      <c r="C144" s="21"/>
      <c r="D144" s="967"/>
      <c r="E144" s="969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69"/>
      <c r="AW144" s="969"/>
    </row>
    <row r="145" spans="1:49" x14ac:dyDescent="0.3">
      <c r="A145" s="21"/>
      <c r="B145" s="21"/>
      <c r="C145" s="21"/>
      <c r="D145" s="967"/>
      <c r="E145" s="967"/>
      <c r="F145" s="103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67"/>
      <c r="AW145" s="967"/>
    </row>
    <row r="146" spans="1:49" x14ac:dyDescent="0.3">
      <c r="A146" s="21"/>
      <c r="B146" s="21"/>
      <c r="C146" s="21"/>
      <c r="D146" s="962"/>
      <c r="E146" s="968"/>
      <c r="F146" s="104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70"/>
      <c r="AW146" s="970"/>
    </row>
    <row r="147" spans="1:49" x14ac:dyDescent="0.3">
      <c r="A147" s="21"/>
      <c r="B147" s="21"/>
      <c r="C147" s="21"/>
      <c r="D147" s="967"/>
      <c r="E147" s="969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69"/>
      <c r="AW147" s="969"/>
    </row>
    <row r="148" spans="1:49" x14ac:dyDescent="0.3">
      <c r="A148" s="21"/>
      <c r="B148" s="21"/>
      <c r="C148" s="21"/>
      <c r="D148" s="967"/>
      <c r="E148" s="969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69"/>
      <c r="AW148" s="969"/>
    </row>
    <row r="149" spans="1:49" x14ac:dyDescent="0.3">
      <c r="A149" s="21"/>
      <c r="B149" s="21"/>
      <c r="C149" s="21"/>
      <c r="D149" s="967"/>
      <c r="E149" s="969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69"/>
      <c r="AW149" s="969"/>
    </row>
    <row r="150" spans="1:49" x14ac:dyDescent="0.3">
      <c r="A150" s="21"/>
      <c r="B150" s="21"/>
      <c r="C150" s="21"/>
      <c r="D150" s="967"/>
      <c r="E150" s="969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69"/>
      <c r="AW150" s="969"/>
    </row>
    <row r="151" spans="1:49" x14ac:dyDescent="0.3">
      <c r="A151" s="21"/>
      <c r="B151" s="21"/>
      <c r="C151" s="21"/>
      <c r="D151" s="967"/>
      <c r="E151" s="969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69"/>
      <c r="AW151" s="969"/>
    </row>
    <row r="152" spans="1:49" x14ac:dyDescent="0.3">
      <c r="A152" s="21"/>
      <c r="B152" s="21"/>
      <c r="C152" s="21"/>
      <c r="D152" s="967"/>
      <c r="E152" s="969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69"/>
      <c r="AW152" s="969"/>
    </row>
    <row r="153" spans="1:49" x14ac:dyDescent="0.3">
      <c r="A153" s="21"/>
      <c r="B153" s="21"/>
      <c r="C153" s="21"/>
      <c r="D153" s="967"/>
      <c r="E153" s="967"/>
      <c r="F153" s="103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67"/>
      <c r="AW153" s="967"/>
    </row>
    <row r="154" spans="1:49" x14ac:dyDescent="0.3">
      <c r="A154" s="21"/>
      <c r="B154" s="21"/>
      <c r="C154" s="21"/>
      <c r="D154" s="962"/>
      <c r="E154" s="968"/>
      <c r="F154" s="104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70"/>
      <c r="AW154" s="970"/>
    </row>
    <row r="155" spans="1:49" x14ac:dyDescent="0.3">
      <c r="A155" s="21"/>
      <c r="B155" s="21"/>
      <c r="C155" s="21"/>
      <c r="D155" s="967"/>
      <c r="E155" s="969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69"/>
      <c r="AW155" s="969"/>
    </row>
    <row r="156" spans="1:49" x14ac:dyDescent="0.3">
      <c r="A156" s="21"/>
      <c r="B156" s="21"/>
      <c r="C156" s="21"/>
      <c r="D156" s="967"/>
      <c r="E156" s="969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69"/>
      <c r="AW156" s="969"/>
    </row>
    <row r="157" spans="1:49" x14ac:dyDescent="0.3">
      <c r="A157" s="21"/>
      <c r="B157" s="21"/>
      <c r="C157" s="21"/>
      <c r="D157" s="967"/>
      <c r="E157" s="969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69"/>
      <c r="AW157" s="969"/>
    </row>
    <row r="158" spans="1:49" x14ac:dyDescent="0.3">
      <c r="A158" s="21"/>
      <c r="B158" s="21"/>
      <c r="C158" s="21"/>
      <c r="D158" s="967"/>
      <c r="E158" s="969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69"/>
      <c r="AW158" s="969"/>
    </row>
    <row r="159" spans="1:49" x14ac:dyDescent="0.3">
      <c r="A159" s="21"/>
      <c r="B159" s="21"/>
      <c r="C159" s="21"/>
      <c r="D159" s="967"/>
      <c r="E159" s="969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69"/>
      <c r="AW159" s="969"/>
    </row>
    <row r="160" spans="1:49" x14ac:dyDescent="0.3">
      <c r="A160" s="21"/>
      <c r="B160" s="21"/>
      <c r="C160" s="21"/>
      <c r="D160" s="967"/>
      <c r="E160" s="969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69"/>
      <c r="AW160" s="969"/>
    </row>
    <row r="161" spans="1:49" x14ac:dyDescent="0.3">
      <c r="A161" s="21"/>
      <c r="B161" s="21"/>
      <c r="C161" s="21"/>
      <c r="D161" s="967"/>
      <c r="E161" s="967"/>
      <c r="F161" s="103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67"/>
      <c r="AW161" s="967"/>
    </row>
    <row r="162" spans="1:49" x14ac:dyDescent="0.3">
      <c r="A162" s="21"/>
      <c r="B162" s="21"/>
      <c r="C162" s="21"/>
      <c r="D162" s="962"/>
      <c r="E162" s="968"/>
      <c r="F162" s="104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70"/>
      <c r="AW162" s="970"/>
    </row>
    <row r="163" spans="1:49" x14ac:dyDescent="0.3">
      <c r="A163" s="21"/>
      <c r="B163" s="21"/>
      <c r="C163" s="21"/>
      <c r="D163" s="967"/>
      <c r="E163" s="969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69"/>
      <c r="AW163" s="969"/>
    </row>
    <row r="164" spans="1:49" x14ac:dyDescent="0.3">
      <c r="A164" s="21"/>
      <c r="B164" s="21"/>
      <c r="C164" s="21"/>
      <c r="D164" s="967"/>
      <c r="E164" s="969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69"/>
      <c r="AW164" s="969"/>
    </row>
    <row r="165" spans="1:49" x14ac:dyDescent="0.3">
      <c r="A165" s="21"/>
      <c r="B165" s="21"/>
      <c r="C165" s="21"/>
      <c r="D165" s="967"/>
      <c r="E165" s="969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69"/>
      <c r="AW165" s="969"/>
    </row>
    <row r="166" spans="1:49" x14ac:dyDescent="0.3">
      <c r="A166" s="21"/>
      <c r="B166" s="21"/>
      <c r="C166" s="21"/>
      <c r="D166" s="967"/>
      <c r="E166" s="969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69"/>
      <c r="AW166" s="969"/>
    </row>
    <row r="167" spans="1:49" x14ac:dyDescent="0.3">
      <c r="A167" s="21"/>
      <c r="B167" s="21"/>
      <c r="C167" s="21"/>
      <c r="D167" s="967"/>
      <c r="E167" s="969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69"/>
      <c r="AW167" s="969"/>
    </row>
    <row r="168" spans="1:49" x14ac:dyDescent="0.3">
      <c r="A168" s="21"/>
      <c r="B168" s="21"/>
      <c r="C168" s="21"/>
      <c r="D168" s="967"/>
      <c r="E168" s="969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69"/>
      <c r="AW168" s="969"/>
    </row>
    <row r="169" spans="1:49" x14ac:dyDescent="0.3">
      <c r="A169" s="21"/>
      <c r="B169" s="21"/>
      <c r="C169" s="21"/>
      <c r="D169" s="967"/>
      <c r="E169" s="967"/>
      <c r="F169" s="103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67"/>
      <c r="AW169" s="967"/>
    </row>
    <row r="170" spans="1:49" x14ac:dyDescent="0.3">
      <c r="A170" s="21"/>
      <c r="B170" s="21"/>
      <c r="C170" s="21"/>
      <c r="D170" s="962"/>
      <c r="E170" s="968"/>
      <c r="F170" s="104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70"/>
      <c r="AW170" s="970"/>
    </row>
    <row r="171" spans="1:49" x14ac:dyDescent="0.3">
      <c r="A171" s="21"/>
      <c r="B171" s="21"/>
      <c r="C171" s="21"/>
      <c r="D171" s="967"/>
      <c r="E171" s="969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69"/>
      <c r="AW171" s="969"/>
    </row>
    <row r="172" spans="1:49" x14ac:dyDescent="0.3">
      <c r="A172" s="21"/>
      <c r="B172" s="21"/>
      <c r="C172" s="21"/>
      <c r="D172" s="967"/>
      <c r="E172" s="969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69"/>
      <c r="AW172" s="969"/>
    </row>
    <row r="173" spans="1:49" x14ac:dyDescent="0.3">
      <c r="A173" s="21"/>
      <c r="B173" s="21"/>
      <c r="C173" s="21"/>
      <c r="D173" s="967"/>
      <c r="E173" s="969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69"/>
      <c r="AW173" s="969"/>
    </row>
    <row r="174" spans="1:49" x14ac:dyDescent="0.3">
      <c r="A174" s="21"/>
      <c r="B174" s="21"/>
      <c r="C174" s="21"/>
      <c r="D174" s="967"/>
      <c r="E174" s="969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69"/>
      <c r="AW174" s="969"/>
    </row>
    <row r="175" spans="1:49" x14ac:dyDescent="0.3">
      <c r="A175" s="21"/>
      <c r="B175" s="21"/>
      <c r="C175" s="21"/>
      <c r="D175" s="967"/>
      <c r="E175" s="969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69"/>
      <c r="AW175" s="969"/>
    </row>
    <row r="176" spans="1:49" x14ac:dyDescent="0.3">
      <c r="A176" s="21"/>
      <c r="B176" s="21"/>
      <c r="C176" s="21"/>
      <c r="D176" s="967"/>
      <c r="E176" s="969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69"/>
      <c r="AW176" s="969"/>
    </row>
    <row r="177" spans="1:49" x14ac:dyDescent="0.3">
      <c r="A177" s="21"/>
      <c r="B177" s="21"/>
      <c r="C177" s="21"/>
      <c r="D177" s="967"/>
      <c r="E177" s="967"/>
      <c r="F177" s="103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67"/>
      <c r="AW177" s="967"/>
    </row>
    <row r="178" spans="1:49" x14ac:dyDescent="0.3">
      <c r="A178" s="21"/>
      <c r="B178" s="21"/>
      <c r="C178" s="21"/>
      <c r="D178" s="962"/>
      <c r="E178" s="968"/>
      <c r="F178" s="104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70"/>
      <c r="AW178" s="970"/>
    </row>
    <row r="179" spans="1:49" x14ac:dyDescent="0.3">
      <c r="A179" s="21"/>
      <c r="B179" s="21"/>
      <c r="C179" s="21"/>
      <c r="D179" s="967"/>
      <c r="E179" s="969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69"/>
      <c r="AW179" s="969"/>
    </row>
    <row r="180" spans="1:49" x14ac:dyDescent="0.3">
      <c r="A180" s="21"/>
      <c r="B180" s="21"/>
      <c r="C180" s="21"/>
      <c r="D180" s="967"/>
      <c r="E180" s="969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69"/>
      <c r="AW180" s="969"/>
    </row>
    <row r="181" spans="1:49" x14ac:dyDescent="0.3">
      <c r="A181" s="21"/>
      <c r="B181" s="21"/>
      <c r="C181" s="21"/>
      <c r="D181" s="967"/>
      <c r="E181" s="969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69"/>
      <c r="AW181" s="969"/>
    </row>
    <row r="182" spans="1:49" x14ac:dyDescent="0.3">
      <c r="A182" s="21"/>
      <c r="B182" s="21"/>
      <c r="C182" s="21"/>
      <c r="D182" s="967"/>
      <c r="E182" s="969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69"/>
      <c r="AW182" s="969"/>
    </row>
    <row r="183" spans="1:49" x14ac:dyDescent="0.3">
      <c r="A183" s="21"/>
      <c r="B183" s="21"/>
      <c r="C183" s="21"/>
      <c r="D183" s="967"/>
      <c r="E183" s="969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69"/>
      <c r="AW183" s="969"/>
    </row>
    <row r="184" spans="1:49" x14ac:dyDescent="0.3">
      <c r="A184" s="21"/>
      <c r="B184" s="21"/>
      <c r="C184" s="21"/>
      <c r="D184" s="967"/>
      <c r="E184" s="969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69"/>
      <c r="AW184" s="969"/>
    </row>
    <row r="185" spans="1:49" x14ac:dyDescent="0.3">
      <c r="A185" s="21"/>
      <c r="B185" s="21"/>
      <c r="C185" s="21"/>
      <c r="D185" s="967"/>
      <c r="E185" s="967"/>
      <c r="F185" s="103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67"/>
      <c r="AW185" s="967"/>
    </row>
    <row r="186" spans="1:49" x14ac:dyDescent="0.3">
      <c r="A186" s="21"/>
      <c r="B186" s="21"/>
      <c r="C186" s="21"/>
      <c r="D186" s="962"/>
      <c r="E186" s="968"/>
      <c r="F186" s="104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70"/>
      <c r="AW186" s="970"/>
    </row>
    <row r="187" spans="1:49" x14ac:dyDescent="0.3">
      <c r="A187" s="21"/>
      <c r="B187" s="21"/>
      <c r="C187" s="21"/>
      <c r="D187" s="967"/>
      <c r="E187" s="969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69"/>
      <c r="AW187" s="969"/>
    </row>
    <row r="188" spans="1:49" x14ac:dyDescent="0.3">
      <c r="A188" s="21"/>
      <c r="B188" s="21"/>
      <c r="C188" s="21"/>
      <c r="D188" s="967"/>
      <c r="E188" s="969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69"/>
      <c r="AW188" s="969"/>
    </row>
    <row r="189" spans="1:49" x14ac:dyDescent="0.3">
      <c r="A189" s="21"/>
      <c r="B189" s="21"/>
      <c r="C189" s="21"/>
      <c r="D189" s="967"/>
      <c r="E189" s="969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69"/>
      <c r="AW189" s="969"/>
    </row>
    <row r="190" spans="1:49" x14ac:dyDescent="0.3">
      <c r="A190" s="21"/>
      <c r="B190" s="21"/>
      <c r="C190" s="21"/>
      <c r="D190" s="967"/>
      <c r="E190" s="969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69"/>
      <c r="AW190" s="969"/>
    </row>
    <row r="191" spans="1:49" x14ac:dyDescent="0.3">
      <c r="A191" s="21"/>
      <c r="B191" s="21"/>
      <c r="C191" s="21"/>
      <c r="D191" s="967"/>
      <c r="E191" s="969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69"/>
      <c r="AW191" s="969"/>
    </row>
    <row r="192" spans="1:49" x14ac:dyDescent="0.3">
      <c r="A192" s="21"/>
      <c r="B192" s="21"/>
      <c r="C192" s="21"/>
      <c r="D192" s="967"/>
      <c r="E192" s="969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69"/>
      <c r="AW192" s="969"/>
    </row>
    <row r="193" spans="1:49" x14ac:dyDescent="0.3">
      <c r="A193" s="21"/>
      <c r="B193" s="21"/>
      <c r="C193" s="21"/>
      <c r="D193" s="967"/>
      <c r="E193" s="967"/>
      <c r="F193" s="103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67"/>
      <c r="AW193" s="967"/>
    </row>
    <row r="194" spans="1:49" x14ac:dyDescent="0.3">
      <c r="A194" s="21"/>
      <c r="B194" s="21"/>
      <c r="C194" s="21"/>
      <c r="D194" s="962"/>
      <c r="E194" s="968"/>
      <c r="F194" s="104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70"/>
      <c r="AW194" s="970"/>
    </row>
    <row r="195" spans="1:49" x14ac:dyDescent="0.3">
      <c r="A195" s="21"/>
      <c r="B195" s="21"/>
      <c r="C195" s="21"/>
      <c r="D195" s="967"/>
      <c r="E195" s="969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69"/>
      <c r="AW195" s="969"/>
    </row>
    <row r="196" spans="1:49" x14ac:dyDescent="0.3">
      <c r="A196" s="21"/>
      <c r="B196" s="21"/>
      <c r="C196" s="21"/>
      <c r="D196" s="967"/>
      <c r="E196" s="969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69"/>
      <c r="AW196" s="969"/>
    </row>
    <row r="197" spans="1:49" x14ac:dyDescent="0.3">
      <c r="A197" s="21"/>
      <c r="B197" s="21"/>
      <c r="C197" s="21"/>
      <c r="D197" s="967"/>
      <c r="E197" s="969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69"/>
      <c r="AW197" s="969"/>
    </row>
    <row r="198" spans="1:49" x14ac:dyDescent="0.3">
      <c r="A198" s="21"/>
      <c r="B198" s="21"/>
      <c r="C198" s="21"/>
      <c r="D198" s="967"/>
      <c r="E198" s="969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69"/>
      <c r="AW198" s="969"/>
    </row>
    <row r="199" spans="1:49" x14ac:dyDescent="0.3">
      <c r="A199" s="21"/>
      <c r="B199" s="21"/>
      <c r="C199" s="21"/>
      <c r="D199" s="967"/>
      <c r="E199" s="969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69"/>
      <c r="AW199" s="969"/>
    </row>
    <row r="200" spans="1:49" x14ac:dyDescent="0.3">
      <c r="A200" s="21"/>
      <c r="B200" s="21"/>
      <c r="C200" s="21"/>
      <c r="D200" s="967"/>
      <c r="E200" s="969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69"/>
      <c r="AW200" s="969"/>
    </row>
    <row r="201" spans="1:49" x14ac:dyDescent="0.3">
      <c r="A201" s="21"/>
      <c r="B201" s="21"/>
      <c r="C201" s="21"/>
      <c r="D201" s="967"/>
      <c r="E201" s="967"/>
      <c r="F201" s="103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67"/>
      <c r="AW201" s="967"/>
    </row>
    <row r="202" spans="1:49" x14ac:dyDescent="0.3">
      <c r="A202" s="21"/>
      <c r="B202" s="21"/>
      <c r="C202" s="21"/>
      <c r="D202" s="962"/>
      <c r="E202" s="968"/>
      <c r="F202" s="104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70"/>
      <c r="AW202" s="970"/>
    </row>
    <row r="203" spans="1:49" x14ac:dyDescent="0.3">
      <c r="A203" s="21"/>
      <c r="B203" s="21"/>
      <c r="C203" s="21"/>
      <c r="D203" s="967"/>
      <c r="E203" s="969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69"/>
      <c r="AW203" s="969"/>
    </row>
    <row r="204" spans="1:49" x14ac:dyDescent="0.3">
      <c r="A204" s="21"/>
      <c r="B204" s="21"/>
      <c r="C204" s="21"/>
      <c r="D204" s="967"/>
      <c r="E204" s="969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69"/>
      <c r="AW204" s="969"/>
    </row>
    <row r="205" spans="1:49" x14ac:dyDescent="0.3">
      <c r="A205" s="21"/>
      <c r="B205" s="21"/>
      <c r="C205" s="21"/>
      <c r="D205" s="967"/>
      <c r="E205" s="969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69"/>
      <c r="AW205" s="969"/>
    </row>
    <row r="206" spans="1:49" x14ac:dyDescent="0.3">
      <c r="A206" s="21"/>
      <c r="B206" s="21"/>
      <c r="C206" s="21"/>
      <c r="D206" s="967"/>
      <c r="E206" s="969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69"/>
      <c r="AW206" s="969"/>
    </row>
    <row r="207" spans="1:49" x14ac:dyDescent="0.3">
      <c r="A207" s="21"/>
      <c r="B207" s="21"/>
      <c r="C207" s="21"/>
      <c r="D207" s="967"/>
      <c r="E207" s="969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69"/>
      <c r="AW207" s="969"/>
    </row>
    <row r="208" spans="1:49" x14ac:dyDescent="0.3">
      <c r="A208" s="21"/>
      <c r="B208" s="21"/>
      <c r="C208" s="21"/>
      <c r="D208" s="967"/>
      <c r="E208" s="969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69"/>
      <c r="AW208" s="969"/>
    </row>
    <row r="209" spans="1:49" x14ac:dyDescent="0.3">
      <c r="A209" s="21"/>
      <c r="B209" s="21"/>
      <c r="C209" s="21"/>
      <c r="D209" s="967"/>
      <c r="E209" s="967"/>
      <c r="F209" s="103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67"/>
      <c r="AW209" s="967"/>
    </row>
    <row r="210" spans="1:49" x14ac:dyDescent="0.3">
      <c r="A210" s="21"/>
      <c r="B210" s="21"/>
      <c r="C210" s="21"/>
      <c r="D210" s="962"/>
      <c r="E210" s="968"/>
      <c r="F210" s="104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70"/>
      <c r="AW210" s="970"/>
    </row>
    <row r="211" spans="1:49" x14ac:dyDescent="0.3">
      <c r="A211" s="21"/>
      <c r="B211" s="21"/>
      <c r="C211" s="21"/>
      <c r="D211" s="967"/>
      <c r="E211" s="969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69"/>
      <c r="AW211" s="969"/>
    </row>
    <row r="212" spans="1:49" x14ac:dyDescent="0.3">
      <c r="A212" s="21"/>
      <c r="B212" s="21"/>
      <c r="C212" s="21"/>
      <c r="D212" s="967"/>
      <c r="E212" s="969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69"/>
      <c r="AW212" s="969"/>
    </row>
    <row r="213" spans="1:49" x14ac:dyDescent="0.3">
      <c r="A213" s="21"/>
      <c r="B213" s="21"/>
      <c r="C213" s="21"/>
      <c r="D213" s="967"/>
      <c r="E213" s="969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69"/>
      <c r="AW213" s="969"/>
    </row>
    <row r="214" spans="1:49" x14ac:dyDescent="0.3">
      <c r="A214" s="21"/>
      <c r="B214" s="21"/>
      <c r="C214" s="21"/>
      <c r="D214" s="967"/>
      <c r="E214" s="969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69"/>
      <c r="AW214" s="969"/>
    </row>
    <row r="215" spans="1:49" x14ac:dyDescent="0.3">
      <c r="A215" s="21"/>
      <c r="B215" s="21"/>
      <c r="C215" s="21"/>
      <c r="D215" s="967"/>
      <c r="E215" s="969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69"/>
      <c r="AW215" s="969"/>
    </row>
    <row r="216" spans="1:49" x14ac:dyDescent="0.3">
      <c r="A216" s="21"/>
      <c r="B216" s="21"/>
      <c r="C216" s="21"/>
      <c r="D216" s="967"/>
      <c r="E216" s="969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69"/>
      <c r="AW216" s="969"/>
    </row>
    <row r="217" spans="1:49" x14ac:dyDescent="0.3">
      <c r="A217" s="21"/>
      <c r="B217" s="21"/>
      <c r="C217" s="21"/>
      <c r="D217" s="967"/>
      <c r="E217" s="967"/>
      <c r="F217" s="103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67"/>
      <c r="AW217" s="967"/>
    </row>
    <row r="218" spans="1:49" x14ac:dyDescent="0.3">
      <c r="A218" s="21"/>
      <c r="B218" s="21"/>
      <c r="C218" s="21"/>
      <c r="D218" s="962"/>
      <c r="E218" s="968"/>
      <c r="F218" s="104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70"/>
      <c r="AW218" s="970"/>
    </row>
    <row r="219" spans="1:49" x14ac:dyDescent="0.3">
      <c r="A219" s="21"/>
      <c r="B219" s="21"/>
      <c r="C219" s="21"/>
      <c r="D219" s="967"/>
      <c r="E219" s="969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69"/>
      <c r="AW219" s="969"/>
    </row>
    <row r="220" spans="1:49" x14ac:dyDescent="0.3">
      <c r="A220" s="21"/>
      <c r="B220" s="21"/>
      <c r="C220" s="21"/>
      <c r="D220" s="967"/>
      <c r="E220" s="969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69"/>
      <c r="AW220" s="969"/>
    </row>
    <row r="221" spans="1:49" x14ac:dyDescent="0.3">
      <c r="A221" s="21"/>
      <c r="B221" s="21"/>
      <c r="C221" s="21"/>
      <c r="D221" s="967"/>
      <c r="E221" s="969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69"/>
      <c r="AW221" s="969"/>
    </row>
    <row r="222" spans="1:49" x14ac:dyDescent="0.3">
      <c r="A222" s="21"/>
      <c r="B222" s="21"/>
      <c r="C222" s="21"/>
      <c r="D222" s="967"/>
      <c r="E222" s="969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69"/>
      <c r="AW222" s="969"/>
    </row>
    <row r="223" spans="1:49" x14ac:dyDescent="0.3">
      <c r="A223" s="21"/>
      <c r="B223" s="21"/>
      <c r="C223" s="21"/>
      <c r="D223" s="967"/>
      <c r="E223" s="969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69"/>
      <c r="AW223" s="969"/>
    </row>
    <row r="224" spans="1:49" x14ac:dyDescent="0.3">
      <c r="A224" s="21"/>
      <c r="B224" s="21"/>
      <c r="C224" s="21"/>
      <c r="D224" s="967"/>
      <c r="E224" s="969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69"/>
      <c r="AW224" s="969"/>
    </row>
    <row r="225" spans="1:49" x14ac:dyDescent="0.3">
      <c r="A225" s="21"/>
      <c r="B225" s="21"/>
      <c r="C225" s="21"/>
      <c r="D225" s="967"/>
      <c r="E225" s="967"/>
      <c r="F225" s="103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67"/>
      <c r="AW225" s="967"/>
    </row>
    <row r="226" spans="1:49" x14ac:dyDescent="0.3">
      <c r="A226" s="21"/>
      <c r="B226" s="21"/>
      <c r="C226" s="21"/>
      <c r="D226" s="962"/>
      <c r="E226" s="968"/>
      <c r="F226" s="104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70"/>
      <c r="AW226" s="970"/>
    </row>
    <row r="227" spans="1:49" x14ac:dyDescent="0.3">
      <c r="A227" s="21"/>
      <c r="B227" s="21"/>
      <c r="C227" s="21"/>
      <c r="D227" s="967"/>
      <c r="E227" s="969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69"/>
      <c r="AW227" s="969"/>
    </row>
    <row r="228" spans="1:49" x14ac:dyDescent="0.3">
      <c r="A228" s="21"/>
      <c r="B228" s="21"/>
      <c r="C228" s="21"/>
      <c r="D228" s="967"/>
      <c r="E228" s="969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69"/>
      <c r="AW228" s="969"/>
    </row>
    <row r="229" spans="1:49" x14ac:dyDescent="0.3">
      <c r="A229" s="21"/>
      <c r="B229" s="21"/>
      <c r="C229" s="21"/>
      <c r="D229" s="967"/>
      <c r="E229" s="969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69"/>
      <c r="AW229" s="969"/>
    </row>
    <row r="230" spans="1:49" x14ac:dyDescent="0.3">
      <c r="A230" s="21"/>
      <c r="B230" s="21"/>
      <c r="C230" s="21"/>
      <c r="D230" s="967"/>
      <c r="E230" s="969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69"/>
      <c r="AW230" s="969"/>
    </row>
    <row r="231" spans="1:49" x14ac:dyDescent="0.3">
      <c r="A231" s="21"/>
      <c r="B231" s="21"/>
      <c r="C231" s="21"/>
      <c r="D231" s="967"/>
      <c r="E231" s="969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69"/>
      <c r="AW231" s="969"/>
    </row>
    <row r="232" spans="1:49" x14ac:dyDescent="0.3">
      <c r="A232" s="21"/>
      <c r="B232" s="21"/>
      <c r="C232" s="21"/>
      <c r="D232" s="967"/>
      <c r="E232" s="969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69"/>
      <c r="AW232" s="969"/>
    </row>
    <row r="233" spans="1:49" x14ac:dyDescent="0.3">
      <c r="A233" s="21"/>
      <c r="B233" s="21"/>
      <c r="C233" s="21"/>
      <c r="D233" s="967"/>
      <c r="E233" s="967"/>
      <c r="F233" s="103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67"/>
      <c r="AW233" s="967"/>
    </row>
    <row r="234" spans="1:49" x14ac:dyDescent="0.3">
      <c r="A234" s="21"/>
      <c r="B234" s="21"/>
      <c r="C234" s="21"/>
      <c r="D234" s="962"/>
      <c r="E234" s="968"/>
      <c r="F234" s="104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70"/>
      <c r="AW234" s="970"/>
    </row>
    <row r="235" spans="1:49" x14ac:dyDescent="0.3">
      <c r="A235" s="21"/>
      <c r="B235" s="21"/>
      <c r="C235" s="21"/>
      <c r="D235" s="967"/>
      <c r="E235" s="969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69"/>
      <c r="AW235" s="969"/>
    </row>
    <row r="236" spans="1:49" x14ac:dyDescent="0.3">
      <c r="A236" s="21"/>
      <c r="B236" s="21"/>
      <c r="C236" s="21"/>
      <c r="D236" s="967"/>
      <c r="E236" s="969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69"/>
      <c r="AW236" s="969"/>
    </row>
    <row r="237" spans="1:49" x14ac:dyDescent="0.3">
      <c r="A237" s="21"/>
      <c r="B237" s="21"/>
      <c r="C237" s="21"/>
      <c r="D237" s="967"/>
      <c r="E237" s="969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69"/>
      <c r="AW237" s="969"/>
    </row>
    <row r="238" spans="1:49" x14ac:dyDescent="0.3">
      <c r="A238" s="21"/>
      <c r="B238" s="21"/>
      <c r="C238" s="21"/>
      <c r="D238" s="967"/>
      <c r="E238" s="969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69"/>
      <c r="AW238" s="969"/>
    </row>
    <row r="239" spans="1:49" x14ac:dyDescent="0.3">
      <c r="A239" s="21"/>
      <c r="B239" s="21"/>
      <c r="C239" s="21"/>
      <c r="D239" s="967"/>
      <c r="E239" s="969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69"/>
      <c r="AW239" s="969"/>
    </row>
    <row r="240" spans="1:49" x14ac:dyDescent="0.3">
      <c r="A240" s="21"/>
      <c r="B240" s="21"/>
      <c r="C240" s="21"/>
      <c r="D240" s="967"/>
      <c r="E240" s="969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69"/>
      <c r="AW240" s="969"/>
    </row>
    <row r="241" spans="1:49" x14ac:dyDescent="0.3">
      <c r="A241" s="21"/>
      <c r="B241" s="21"/>
      <c r="C241" s="21"/>
      <c r="D241" s="967"/>
      <c r="E241" s="967"/>
      <c r="F241" s="103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67"/>
      <c r="AW241" s="967"/>
    </row>
    <row r="242" spans="1:49" x14ac:dyDescent="0.3">
      <c r="A242" s="21"/>
      <c r="B242" s="21"/>
      <c r="C242" s="21"/>
      <c r="D242" s="962"/>
      <c r="E242" s="968"/>
      <c r="F242" s="104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70"/>
      <c r="AW242" s="970"/>
    </row>
    <row r="243" spans="1:49" x14ac:dyDescent="0.3">
      <c r="A243" s="21"/>
      <c r="B243" s="21"/>
      <c r="C243" s="21"/>
      <c r="D243" s="967"/>
      <c r="E243" s="969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69"/>
      <c r="AW243" s="969"/>
    </row>
    <row r="244" spans="1:49" x14ac:dyDescent="0.3">
      <c r="A244" s="21"/>
      <c r="B244" s="21"/>
      <c r="C244" s="21"/>
      <c r="D244" s="967"/>
      <c r="E244" s="969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69"/>
      <c r="AW244" s="969"/>
    </row>
    <row r="245" spans="1:49" x14ac:dyDescent="0.3">
      <c r="A245" s="21"/>
      <c r="B245" s="21"/>
      <c r="C245" s="21"/>
      <c r="D245" s="967"/>
      <c r="E245" s="969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69"/>
      <c r="AW245" s="969"/>
    </row>
    <row r="246" spans="1:49" x14ac:dyDescent="0.3">
      <c r="A246" s="21"/>
      <c r="B246" s="21"/>
      <c r="C246" s="21"/>
      <c r="D246" s="967"/>
      <c r="E246" s="969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69"/>
      <c r="AW246" s="969"/>
    </row>
    <row r="247" spans="1:49" x14ac:dyDescent="0.3">
      <c r="A247" s="21"/>
      <c r="B247" s="21"/>
      <c r="C247" s="21"/>
      <c r="D247" s="967"/>
      <c r="E247" s="969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69"/>
      <c r="AW247" s="969"/>
    </row>
    <row r="248" spans="1:49" x14ac:dyDescent="0.3">
      <c r="A248" s="21"/>
      <c r="B248" s="21"/>
      <c r="C248" s="21"/>
      <c r="D248" s="967"/>
      <c r="E248" s="969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69"/>
      <c r="AW248" s="969"/>
    </row>
    <row r="249" spans="1:49" x14ac:dyDescent="0.3">
      <c r="A249" s="21"/>
      <c r="B249" s="21"/>
      <c r="C249" s="21"/>
      <c r="D249" s="967"/>
      <c r="E249" s="967"/>
      <c r="F249" s="103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67"/>
      <c r="AW249" s="967"/>
    </row>
    <row r="250" spans="1:49" x14ac:dyDescent="0.3">
      <c r="A250" s="21"/>
      <c r="B250" s="21"/>
      <c r="C250" s="21"/>
      <c r="D250" s="962"/>
      <c r="E250" s="968"/>
      <c r="F250" s="104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70"/>
      <c r="AW250" s="970"/>
    </row>
    <row r="251" spans="1:49" x14ac:dyDescent="0.3">
      <c r="A251" s="21"/>
      <c r="B251" s="21"/>
      <c r="C251" s="21"/>
      <c r="D251" s="967"/>
      <c r="E251" s="969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69"/>
      <c r="AW251" s="969"/>
    </row>
    <row r="252" spans="1:49" x14ac:dyDescent="0.3">
      <c r="A252" s="21"/>
      <c r="B252" s="21"/>
      <c r="C252" s="21"/>
      <c r="D252" s="967"/>
      <c r="E252" s="969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69"/>
      <c r="AW252" s="969"/>
    </row>
    <row r="253" spans="1:49" x14ac:dyDescent="0.3">
      <c r="A253" s="21"/>
      <c r="B253" s="21"/>
      <c r="C253" s="21"/>
      <c r="D253" s="967"/>
      <c r="E253" s="969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69"/>
      <c r="AW253" s="969"/>
    </row>
    <row r="254" spans="1:49" x14ac:dyDescent="0.3">
      <c r="A254" s="21"/>
      <c r="B254" s="21"/>
      <c r="C254" s="21"/>
      <c r="D254" s="967"/>
      <c r="E254" s="969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69"/>
      <c r="AW254" s="969"/>
    </row>
    <row r="255" spans="1:49" x14ac:dyDescent="0.3">
      <c r="A255" s="21"/>
      <c r="B255" s="21"/>
      <c r="C255" s="21"/>
      <c r="D255" s="967"/>
      <c r="E255" s="969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69"/>
      <c r="AW255" s="969"/>
    </row>
    <row r="256" spans="1:49" x14ac:dyDescent="0.3">
      <c r="A256" s="21"/>
      <c r="B256" s="21"/>
      <c r="C256" s="21"/>
      <c r="D256" s="967"/>
      <c r="E256" s="969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69"/>
      <c r="AW256" s="969"/>
    </row>
    <row r="257" spans="1:49" x14ac:dyDescent="0.3">
      <c r="A257" s="21"/>
      <c r="B257" s="21"/>
      <c r="C257" s="21"/>
      <c r="D257" s="967"/>
      <c r="E257" s="967"/>
      <c r="F257" s="103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67"/>
      <c r="AW257" s="967"/>
    </row>
    <row r="258" spans="1:49" x14ac:dyDescent="0.3">
      <c r="A258" s="21"/>
      <c r="B258" s="21"/>
      <c r="C258" s="21"/>
      <c r="D258" s="962"/>
      <c r="E258" s="968"/>
      <c r="F258" s="104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70"/>
      <c r="AW258" s="970"/>
    </row>
    <row r="259" spans="1:49" x14ac:dyDescent="0.3">
      <c r="A259" s="21"/>
      <c r="B259" s="21"/>
      <c r="C259" s="21"/>
      <c r="D259" s="967"/>
      <c r="E259" s="969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69"/>
      <c r="AW259" s="969"/>
    </row>
    <row r="260" spans="1:49" x14ac:dyDescent="0.3">
      <c r="A260" s="21"/>
      <c r="B260" s="21"/>
      <c r="C260" s="21"/>
      <c r="D260" s="967"/>
      <c r="E260" s="969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69"/>
      <c r="AW260" s="969"/>
    </row>
    <row r="261" spans="1:49" x14ac:dyDescent="0.3">
      <c r="A261" s="21"/>
      <c r="B261" s="21"/>
      <c r="C261" s="21"/>
      <c r="D261" s="967"/>
      <c r="E261" s="969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69"/>
      <c r="AW261" s="969"/>
    </row>
    <row r="262" spans="1:49" x14ac:dyDescent="0.3">
      <c r="A262" s="21"/>
      <c r="B262" s="21"/>
      <c r="C262" s="21"/>
      <c r="D262" s="967"/>
      <c r="E262" s="969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69"/>
      <c r="AW262" s="969"/>
    </row>
    <row r="263" spans="1:49" x14ac:dyDescent="0.3">
      <c r="A263" s="21"/>
      <c r="B263" s="21"/>
      <c r="C263" s="21"/>
      <c r="D263" s="967"/>
      <c r="E263" s="969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69"/>
      <c r="AW263" s="969"/>
    </row>
    <row r="264" spans="1:49" x14ac:dyDescent="0.3">
      <c r="A264" s="21"/>
      <c r="B264" s="21"/>
      <c r="C264" s="21"/>
      <c r="D264" s="967"/>
      <c r="E264" s="969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69"/>
      <c r="AW264" s="969"/>
    </row>
    <row r="265" spans="1:49" x14ac:dyDescent="0.3">
      <c r="A265" s="21"/>
      <c r="B265" s="21"/>
      <c r="C265" s="21"/>
      <c r="D265" s="967"/>
      <c r="E265" s="967"/>
      <c r="F265" s="103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67"/>
      <c r="AW265" s="967"/>
    </row>
    <row r="266" spans="1:49" x14ac:dyDescent="0.3">
      <c r="A266" s="21"/>
      <c r="B266" s="21"/>
      <c r="C266" s="21"/>
      <c r="D266" s="962"/>
      <c r="E266" s="968"/>
      <c r="F266" s="104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70"/>
      <c r="AW266" s="970"/>
    </row>
    <row r="267" spans="1:49" x14ac:dyDescent="0.3">
      <c r="A267" s="21"/>
      <c r="B267" s="21"/>
      <c r="C267" s="21"/>
      <c r="D267" s="967"/>
      <c r="E267" s="969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69"/>
      <c r="AW267" s="969"/>
    </row>
    <row r="268" spans="1:49" x14ac:dyDescent="0.3">
      <c r="A268" s="21"/>
      <c r="B268" s="21"/>
      <c r="C268" s="21"/>
      <c r="D268" s="967"/>
      <c r="E268" s="969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69"/>
      <c r="AW268" s="969"/>
    </row>
    <row r="269" spans="1:49" x14ac:dyDescent="0.3">
      <c r="A269" s="21"/>
      <c r="B269" s="21"/>
      <c r="C269" s="21"/>
      <c r="D269" s="967"/>
      <c r="E269" s="969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69"/>
      <c r="AW269" s="969"/>
    </row>
    <row r="270" spans="1:49" x14ac:dyDescent="0.3">
      <c r="A270" s="21"/>
      <c r="B270" s="21"/>
      <c r="C270" s="21"/>
      <c r="D270" s="967"/>
      <c r="E270" s="969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69"/>
      <c r="AW270" s="969"/>
    </row>
    <row r="271" spans="1:49" x14ac:dyDescent="0.3">
      <c r="A271" s="21"/>
      <c r="B271" s="21"/>
      <c r="C271" s="21"/>
      <c r="D271" s="967"/>
      <c r="E271" s="969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69"/>
      <c r="AW271" s="969"/>
    </row>
    <row r="272" spans="1:49" x14ac:dyDescent="0.3">
      <c r="A272" s="21"/>
      <c r="B272" s="21"/>
      <c r="C272" s="21"/>
      <c r="D272" s="967"/>
      <c r="E272" s="969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69"/>
      <c r="AW272" s="969"/>
    </row>
    <row r="273" spans="1:49" x14ac:dyDescent="0.3">
      <c r="A273" s="21"/>
      <c r="B273" s="21"/>
      <c r="C273" s="21"/>
      <c r="D273" s="967"/>
      <c r="E273" s="967"/>
      <c r="F273" s="103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67"/>
      <c r="AW273" s="967"/>
    </row>
    <row r="274" spans="1:49" x14ac:dyDescent="0.3">
      <c r="A274" s="21"/>
      <c r="B274" s="21"/>
      <c r="C274" s="21"/>
      <c r="D274" s="962"/>
      <c r="E274" s="968"/>
      <c r="F274" s="104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70"/>
      <c r="AW274" s="970"/>
    </row>
    <row r="275" spans="1:49" x14ac:dyDescent="0.3">
      <c r="A275" s="21"/>
      <c r="B275" s="21"/>
      <c r="C275" s="21"/>
      <c r="D275" s="967"/>
      <c r="E275" s="969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69"/>
      <c r="AW275" s="969"/>
    </row>
    <row r="276" spans="1:49" x14ac:dyDescent="0.3">
      <c r="A276" s="21"/>
      <c r="B276" s="21"/>
      <c r="C276" s="21"/>
      <c r="D276" s="967"/>
      <c r="E276" s="969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69"/>
      <c r="AW276" s="969"/>
    </row>
    <row r="277" spans="1:49" x14ac:dyDescent="0.3">
      <c r="A277" s="21"/>
      <c r="B277" s="21"/>
      <c r="C277" s="21"/>
      <c r="D277" s="967"/>
      <c r="E277" s="969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69"/>
      <c r="AW277" s="969"/>
    </row>
    <row r="278" spans="1:49" x14ac:dyDescent="0.3">
      <c r="A278" s="21"/>
      <c r="B278" s="21"/>
      <c r="C278" s="21"/>
      <c r="D278" s="967"/>
      <c r="E278" s="969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69"/>
      <c r="AW278" s="969"/>
    </row>
    <row r="279" spans="1:49" x14ac:dyDescent="0.3">
      <c r="A279" s="21"/>
      <c r="B279" s="21"/>
      <c r="C279" s="21"/>
      <c r="D279" s="967"/>
      <c r="E279" s="969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69"/>
      <c r="AW279" s="969"/>
    </row>
    <row r="280" spans="1:49" x14ac:dyDescent="0.3">
      <c r="A280" s="21"/>
      <c r="B280" s="21"/>
      <c r="C280" s="21"/>
      <c r="D280" s="967"/>
      <c r="E280" s="969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69"/>
      <c r="AW280" s="969"/>
    </row>
    <row r="281" spans="1:49" x14ac:dyDescent="0.3">
      <c r="A281" s="21"/>
      <c r="B281" s="21"/>
      <c r="C281" s="21"/>
      <c r="D281" s="967"/>
      <c r="E281" s="967"/>
      <c r="F281" s="103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67"/>
      <c r="AW281" s="967"/>
    </row>
    <row r="282" spans="1:49" x14ac:dyDescent="0.3">
      <c r="A282" s="21"/>
      <c r="B282" s="21"/>
      <c r="C282" s="21"/>
      <c r="D282" s="962"/>
      <c r="E282" s="968"/>
      <c r="F282" s="104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70"/>
      <c r="AW282" s="970"/>
    </row>
    <row r="283" spans="1:49" x14ac:dyDescent="0.3">
      <c r="A283" s="21"/>
      <c r="B283" s="21"/>
      <c r="C283" s="21"/>
      <c r="D283" s="967"/>
      <c r="E283" s="969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69"/>
      <c r="AW283" s="969"/>
    </row>
    <row r="284" spans="1:49" x14ac:dyDescent="0.3">
      <c r="A284" s="21"/>
      <c r="B284" s="21"/>
      <c r="C284" s="21"/>
      <c r="D284" s="967"/>
      <c r="E284" s="969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69"/>
      <c r="AW284" s="969"/>
    </row>
    <row r="285" spans="1:49" x14ac:dyDescent="0.3">
      <c r="A285" s="21"/>
      <c r="B285" s="21"/>
      <c r="C285" s="21"/>
      <c r="D285" s="967"/>
      <c r="E285" s="969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69"/>
      <c r="AW285" s="969"/>
    </row>
    <row r="286" spans="1:49" x14ac:dyDescent="0.3">
      <c r="A286" s="21"/>
      <c r="B286" s="21"/>
      <c r="C286" s="21"/>
      <c r="D286" s="967"/>
      <c r="E286" s="969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69"/>
      <c r="AW286" s="969"/>
    </row>
    <row r="287" spans="1:49" x14ac:dyDescent="0.3">
      <c r="A287" s="21"/>
      <c r="B287" s="21"/>
      <c r="C287" s="21"/>
      <c r="D287" s="967"/>
      <c r="E287" s="969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69"/>
      <c r="AW287" s="969"/>
    </row>
    <row r="288" spans="1:49" x14ac:dyDescent="0.3">
      <c r="A288" s="21"/>
      <c r="B288" s="21"/>
      <c r="C288" s="21"/>
      <c r="D288" s="967"/>
      <c r="E288" s="969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69"/>
      <c r="AW288" s="969"/>
    </row>
    <row r="289" spans="1:49" x14ac:dyDescent="0.3">
      <c r="A289" s="21"/>
      <c r="B289" s="21"/>
      <c r="C289" s="21"/>
      <c r="D289" s="967"/>
      <c r="E289" s="967"/>
      <c r="F289" s="103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67"/>
      <c r="AW289" s="967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84" t="s">
        <v>72</v>
      </c>
      <c r="G1" s="984"/>
      <c r="H1" s="984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RINGKASAN UPDATE SHEET</vt:lpstr>
      <vt:lpstr>Daily Summary </vt:lpstr>
      <vt:lpstr>Fiter Press</vt:lpstr>
      <vt:lpstr>AAS lab Crushing Daily 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2026-09-14T02:15:48Z</dcterms:modified>
</cp:coreProperties>
</file>