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A71614A-F05B-4A8C-99DA-9C7EC11BC0CE}" xr6:coauthVersionLast="47" xr6:coauthVersionMax="47" xr10:uidLastSave="{00000000-0000-0000-0000-000000000000}"/>
  <bookViews>
    <workbookView xWindow="-108" yWindow="-108" windowWidth="30936" windowHeight="16776" firstSheet="6" activeTab="10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Rom File Inventory" sheetId="12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Au Cal Leaching Tank" sheetId="13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14" i="13" l="1"/>
  <c r="AO15" i="13"/>
  <c r="N101" i="4"/>
  <c r="N25" i="4"/>
  <c r="N23" i="4"/>
  <c r="N21" i="4"/>
  <c r="N19" i="4"/>
  <c r="N17" i="4"/>
  <c r="N16" i="4"/>
  <c r="M58" i="5"/>
  <c r="O59" i="5"/>
  <c r="O58" i="5"/>
  <c r="L58" i="5"/>
  <c r="AD13" i="13"/>
  <c r="AE13" i="13"/>
  <c r="AC13" i="13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I9" i="15"/>
  <c r="H9" i="15"/>
  <c r="G9" i="15"/>
  <c r="C14" i="13"/>
  <c r="K61" i="13"/>
  <c r="S16" i="4"/>
  <c r="O39" i="4"/>
  <c r="O41" i="4"/>
  <c r="O42" i="4"/>
  <c r="O33" i="4"/>
  <c r="O34" i="4"/>
  <c r="O35" i="4"/>
  <c r="O37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3" i="12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L18" i="5"/>
  <c r="O18" i="5" s="1"/>
  <c r="O22" i="5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9" i="5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N36" i="7" s="1"/>
  <c r="P40" i="4"/>
  <c r="O40" i="4" s="1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sharedStrings.xml><?xml version="1.0" encoding="utf-8"?>
<sst xmlns="http://schemas.openxmlformats.org/spreadsheetml/2006/main" count="1432" uniqueCount="593">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</sst>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9" fillId="0" borderId="0" applyFont="0" applyFill="0" applyBorder="0" applyAlignment="0" applyProtection="0"/>
  </cellStyleXfs>
  <cellXfs count="97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164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164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0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7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7" fillId="2" borderId="28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2" fillId="2" borderId="12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0" fillId="2" borderId="12" xfId="0" applyNumberFormat="1" applyFon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164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164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2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1" fillId="2" borderId="28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14" fontId="6" fillId="2" borderId="20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6" fillId="22" borderId="10" xfId="0" applyNumberFormat="1" applyFont="1" applyFill="1" applyBorder="1" applyAlignment="1">
      <alignment horizontal="center" vertical="center"/>
    </xf>
    <xf numFmtId="14" fontId="16" fillId="22" borderId="17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6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7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 wrapText="1"/>
    </xf>
    <xf numFmtId="14" fontId="1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9" fillId="22" borderId="28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3" fillId="22" borderId="12" xfId="0" applyNumberFormat="1" applyFont="1" applyFill="1" applyBorder="1" applyAlignment="1">
      <alignment horizontal="center" vertical="center" wrapText="1"/>
    </xf>
    <xf numFmtId="14" fontId="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top" wrapText="1"/>
    </xf>
    <xf numFmtId="0" fontId="15" fillId="22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10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6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9" fillId="4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14" fontId="2" fillId="23" borderId="28" xfId="0" applyNumberFormat="1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2" fillId="23" borderId="12" xfId="0" applyNumberFormat="1" applyFont="1" applyFill="1" applyBorder="1" applyAlignment="1">
      <alignment horizontal="center" vertical="center"/>
    </xf>
    <xf numFmtId="14" fontId="2" fillId="23" borderId="10" xfId="0" applyNumberFormat="1" applyFont="1" applyFill="1" applyBorder="1" applyAlignment="1">
      <alignment horizontal="center" vertical="center"/>
    </xf>
    <xf numFmtId="14" fontId="2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50" fillId="23" borderId="12" xfId="0" applyFont="1" applyFill="1" applyBorder="1"/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0" fontId="29" fillId="23" borderId="28" xfId="0" applyFont="1" applyFill="1" applyBorder="1" applyAlignment="1">
      <alignment horizontal="left" vertical="center"/>
    </xf>
    <xf numFmtId="0" fontId="50" fillId="23" borderId="28" xfId="0" applyFont="1" applyFill="1" applyBorder="1"/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2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2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2" fillId="23" borderId="68" xfId="0" applyFont="1" applyFill="1" applyBorder="1" applyAlignment="1">
      <alignment horizontal="left" vertical="center" wrapText="1"/>
    </xf>
    <xf numFmtId="0" fontId="50" fillId="23" borderId="0" xfId="0" applyFont="1" applyFill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" fillId="22" borderId="12" xfId="0" applyNumberFormat="1" applyFont="1" applyFill="1" applyBorder="1" applyAlignment="1">
      <alignment horizontal="left" vertical="center" wrapText="1"/>
    </xf>
    <xf numFmtId="0" fontId="50" fillId="4" borderId="0" xfId="0" applyFont="1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0" fontId="50" fillId="3" borderId="30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4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0" fontId="0" fillId="24" borderId="2" xfId="0" applyFill="1" applyBorder="1" applyAlignment="1">
      <alignment horizontal="center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1" fontId="57" fillId="3" borderId="40" xfId="0" applyNumberFormat="1" applyFont="1" applyFill="1" applyBorder="1" applyAlignment="1">
      <alignment horizontal="center" vertical="center" wrapText="1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20" borderId="12" xfId="0" applyFont="1" applyFill="1" applyBorder="1" applyAlignment="1">
      <alignment horizont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18" borderId="12" xfId="0" applyFont="1" applyFill="1" applyBorder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28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center"/>
    </xf>
    <xf numFmtId="14" fontId="28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8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8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0" fontId="50" fillId="18" borderId="20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1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14" fontId="55" fillId="7" borderId="5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5" fillId="2" borderId="12" xfId="0" applyFont="1" applyFill="1" applyBorder="1" applyAlignment="1">
      <alignment horizontal="left" vertical="top" wrapText="1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26" t="s">
        <v>569</v>
      </c>
      <c r="D8" s="727" t="s">
        <v>570</v>
      </c>
      <c r="E8" s="811" t="s">
        <v>571</v>
      </c>
      <c r="F8" s="811"/>
      <c r="G8" s="728" t="s">
        <v>584</v>
      </c>
    </row>
    <row r="9" spans="3:7" x14ac:dyDescent="0.3">
      <c r="C9" s="729">
        <v>46278</v>
      </c>
      <c r="D9" s="54" t="s">
        <v>587</v>
      </c>
      <c r="E9" s="725" t="b">
        <v>0</v>
      </c>
      <c r="F9" t="s">
        <v>572</v>
      </c>
      <c r="G9" s="730"/>
    </row>
    <row r="10" spans="3:7" x14ac:dyDescent="0.3">
      <c r="C10" s="731"/>
      <c r="E10" s="725" t="b">
        <v>0</v>
      </c>
      <c r="F10" t="s">
        <v>573</v>
      </c>
      <c r="G10" s="730"/>
    </row>
    <row r="11" spans="3:7" x14ac:dyDescent="0.3">
      <c r="C11" s="731"/>
      <c r="E11" s="725" t="b">
        <v>0</v>
      </c>
      <c r="F11" t="s">
        <v>574</v>
      </c>
      <c r="G11" s="730"/>
    </row>
    <row r="12" spans="3:7" x14ac:dyDescent="0.3">
      <c r="C12" s="731"/>
      <c r="E12" s="725" t="b">
        <v>0</v>
      </c>
      <c r="F12" t="s">
        <v>151</v>
      </c>
      <c r="G12" s="730"/>
    </row>
    <row r="13" spans="3:7" x14ac:dyDescent="0.3">
      <c r="C13" s="731"/>
      <c r="E13" s="725" t="b">
        <v>0</v>
      </c>
      <c r="F13" t="s">
        <v>575</v>
      </c>
      <c r="G13" s="730"/>
    </row>
    <row r="14" spans="3:7" x14ac:dyDescent="0.3">
      <c r="C14" s="731"/>
      <c r="E14" s="725" t="b">
        <v>0</v>
      </c>
      <c r="F14" t="s">
        <v>576</v>
      </c>
      <c r="G14" s="730"/>
    </row>
    <row r="15" spans="3:7" x14ac:dyDescent="0.3">
      <c r="C15" s="731"/>
      <c r="E15" s="725" t="b">
        <v>1</v>
      </c>
      <c r="F15" t="s">
        <v>577</v>
      </c>
      <c r="G15" s="730" t="s">
        <v>585</v>
      </c>
    </row>
    <row r="16" spans="3:7" x14ac:dyDescent="0.3">
      <c r="C16" s="731"/>
      <c r="E16" s="725" t="b">
        <v>0</v>
      </c>
      <c r="F16" t="s">
        <v>578</v>
      </c>
      <c r="G16" s="730"/>
    </row>
    <row r="17" spans="3:7" x14ac:dyDescent="0.3">
      <c r="C17" s="731"/>
      <c r="E17" s="725" t="b">
        <v>1</v>
      </c>
      <c r="F17" t="s">
        <v>579</v>
      </c>
      <c r="G17" s="730" t="s">
        <v>586</v>
      </c>
    </row>
    <row r="18" spans="3:7" x14ac:dyDescent="0.3">
      <c r="C18" s="731"/>
      <c r="E18" s="725" t="b">
        <v>0</v>
      </c>
      <c r="F18" t="s">
        <v>580</v>
      </c>
      <c r="G18" s="730"/>
    </row>
    <row r="19" spans="3:7" x14ac:dyDescent="0.3">
      <c r="C19" s="731"/>
      <c r="E19" s="725" t="b">
        <v>0</v>
      </c>
      <c r="F19" t="s">
        <v>581</v>
      </c>
      <c r="G19" s="730"/>
    </row>
    <row r="20" spans="3:7" x14ac:dyDescent="0.3">
      <c r="C20" s="731"/>
      <c r="E20" s="725" t="b">
        <v>0</v>
      </c>
      <c r="F20" t="s">
        <v>582</v>
      </c>
      <c r="G20" s="730"/>
    </row>
    <row r="21" spans="3:7" x14ac:dyDescent="0.3">
      <c r="C21" s="731"/>
      <c r="E21" s="725" t="b">
        <v>0</v>
      </c>
      <c r="F21" t="s">
        <v>25</v>
      </c>
      <c r="G21" s="730"/>
    </row>
    <row r="22" spans="3:7" ht="15" thickBot="1" x14ac:dyDescent="0.35">
      <c r="C22" s="732"/>
      <c r="D22" s="733"/>
      <c r="E22" s="734" t="b">
        <v>0</v>
      </c>
      <c r="F22" s="733" t="s">
        <v>583</v>
      </c>
      <c r="G22" s="735"/>
    </row>
    <row r="23" spans="3:7" x14ac:dyDescent="0.3">
      <c r="C23" s="729">
        <v>46278</v>
      </c>
      <c r="D23" s="54" t="s">
        <v>588</v>
      </c>
      <c r="E23" s="725" t="b">
        <v>0</v>
      </c>
      <c r="F23" t="s">
        <v>572</v>
      </c>
      <c r="G23" s="730"/>
    </row>
    <row r="24" spans="3:7" x14ac:dyDescent="0.3">
      <c r="C24" s="731"/>
      <c r="E24" s="725" t="b">
        <v>0</v>
      </c>
      <c r="F24" t="s">
        <v>573</v>
      </c>
      <c r="G24" s="730"/>
    </row>
    <row r="25" spans="3:7" x14ac:dyDescent="0.3">
      <c r="C25" s="731"/>
      <c r="E25" s="725" t="b">
        <v>0</v>
      </c>
      <c r="F25" t="s">
        <v>574</v>
      </c>
      <c r="G25" s="730"/>
    </row>
    <row r="26" spans="3:7" x14ac:dyDescent="0.3">
      <c r="C26" s="731"/>
      <c r="E26" s="725" t="b">
        <v>0</v>
      </c>
      <c r="F26" t="s">
        <v>151</v>
      </c>
      <c r="G26" s="730"/>
    </row>
    <row r="27" spans="3:7" x14ac:dyDescent="0.3">
      <c r="C27" s="731"/>
      <c r="E27" s="725" t="b">
        <v>0</v>
      </c>
      <c r="F27" t="s">
        <v>575</v>
      </c>
      <c r="G27" s="730"/>
    </row>
    <row r="28" spans="3:7" x14ac:dyDescent="0.3">
      <c r="C28" s="731"/>
      <c r="E28" s="725" t="b">
        <v>0</v>
      </c>
      <c r="F28" t="s">
        <v>576</v>
      </c>
      <c r="G28" s="730"/>
    </row>
    <row r="29" spans="3:7" x14ac:dyDescent="0.3">
      <c r="C29" s="731"/>
      <c r="E29" s="725" t="b">
        <v>0</v>
      </c>
      <c r="F29" t="s">
        <v>577</v>
      </c>
      <c r="G29" s="730"/>
    </row>
    <row r="30" spans="3:7" x14ac:dyDescent="0.3">
      <c r="C30" s="731"/>
      <c r="E30" s="725" t="b">
        <v>0</v>
      </c>
      <c r="F30" t="s">
        <v>578</v>
      </c>
      <c r="G30" s="730"/>
    </row>
    <row r="31" spans="3:7" x14ac:dyDescent="0.3">
      <c r="C31" s="731"/>
      <c r="E31" s="725" t="b">
        <v>0</v>
      </c>
      <c r="F31" t="s">
        <v>579</v>
      </c>
      <c r="G31" s="730"/>
    </row>
    <row r="32" spans="3:7" x14ac:dyDescent="0.3">
      <c r="C32" s="731"/>
      <c r="E32" s="725" t="b">
        <v>1</v>
      </c>
      <c r="F32" t="s">
        <v>580</v>
      </c>
      <c r="G32" s="730" t="s">
        <v>589</v>
      </c>
    </row>
    <row r="33" spans="3:7" x14ac:dyDescent="0.3">
      <c r="C33" s="731"/>
      <c r="E33" s="725" t="b">
        <v>0</v>
      </c>
      <c r="F33" t="s">
        <v>581</v>
      </c>
      <c r="G33" s="730"/>
    </row>
    <row r="34" spans="3:7" x14ac:dyDescent="0.3">
      <c r="C34" s="731"/>
      <c r="E34" s="725" t="b">
        <v>0</v>
      </c>
      <c r="F34" t="s">
        <v>582</v>
      </c>
      <c r="G34" s="730"/>
    </row>
    <row r="35" spans="3:7" x14ac:dyDescent="0.3">
      <c r="C35" s="731"/>
      <c r="E35" s="725" t="b">
        <v>0</v>
      </c>
      <c r="F35" t="s">
        <v>25</v>
      </c>
      <c r="G35" s="730"/>
    </row>
    <row r="36" spans="3:7" ht="15" thickBot="1" x14ac:dyDescent="0.35">
      <c r="C36" s="732"/>
      <c r="D36" s="733"/>
      <c r="E36" s="734" t="b">
        <v>0</v>
      </c>
      <c r="F36" s="733" t="s">
        <v>583</v>
      </c>
      <c r="G36" s="735"/>
    </row>
    <row r="38" spans="3:7" x14ac:dyDescent="0.3">
      <c r="F38" t="s">
        <v>590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60" zoomScaleNormal="40" workbookViewId="0">
      <pane xSplit="2" topLeftCell="C1" activePane="topRight" state="frozen"/>
      <selection activeCell="A2" sqref="A2"/>
      <selection pane="topRight" activeCell="R57" sqref="R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822" t="s">
        <v>125</v>
      </c>
      <c r="I1" s="822"/>
      <c r="J1" s="822"/>
      <c r="K1" s="822"/>
      <c r="L1" s="822"/>
      <c r="M1" s="822"/>
      <c r="N1" s="822"/>
      <c r="O1" s="822"/>
      <c r="P1" s="822"/>
      <c r="Q1" s="822"/>
      <c r="R1" s="822"/>
      <c r="S1" s="822"/>
      <c r="T1" s="822"/>
      <c r="U1" s="822"/>
      <c r="V1" s="822"/>
      <c r="W1" s="822"/>
      <c r="X1" s="822"/>
      <c r="Y1" s="822"/>
      <c r="Z1" s="822"/>
      <c r="AA1" s="822"/>
      <c r="AB1" s="822"/>
      <c r="AC1" s="822"/>
      <c r="AD1" s="822"/>
      <c r="AE1" s="822"/>
      <c r="AF1" s="822"/>
      <c r="AG1" s="822"/>
      <c r="AH1" s="822"/>
      <c r="AI1" s="822"/>
      <c r="AJ1" s="822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823" t="s">
        <v>126</v>
      </c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823"/>
      <c r="V2" s="823"/>
      <c r="W2" s="823"/>
      <c r="X2" s="823"/>
      <c r="Y2" s="823"/>
      <c r="Z2" s="823"/>
      <c r="AA2" s="823"/>
      <c r="AB2" s="823"/>
      <c r="AC2" s="823"/>
      <c r="AD2" s="823"/>
      <c r="AE2" s="823"/>
      <c r="AF2" s="823"/>
      <c r="AG2" s="823"/>
      <c r="AH2" s="823"/>
      <c r="AI2" s="823"/>
      <c r="AJ2" s="823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812" t="s">
        <v>73</v>
      </c>
      <c r="C5" s="814" t="s">
        <v>74</v>
      </c>
      <c r="D5" s="815"/>
      <c r="E5" s="815"/>
      <c r="F5" s="815"/>
      <c r="G5" s="815"/>
      <c r="H5" s="816"/>
      <c r="I5" s="817" t="s">
        <v>444</v>
      </c>
      <c r="J5" s="817" t="s">
        <v>327</v>
      </c>
      <c r="K5" s="818" t="s">
        <v>75</v>
      </c>
      <c r="L5" s="815"/>
      <c r="M5" s="815"/>
      <c r="N5" s="812" t="s">
        <v>76</v>
      </c>
      <c r="O5" s="824" t="s">
        <v>178</v>
      </c>
      <c r="P5" s="824"/>
      <c r="Q5" s="824"/>
      <c r="R5" s="824"/>
      <c r="S5" s="824"/>
      <c r="T5" s="824"/>
      <c r="U5" s="824"/>
      <c r="V5" s="824"/>
      <c r="W5" s="824"/>
      <c r="X5" s="824"/>
      <c r="Y5" s="825"/>
      <c r="Z5" s="818" t="s">
        <v>77</v>
      </c>
      <c r="AA5" s="826"/>
      <c r="AB5" s="826"/>
      <c r="AC5" s="826"/>
      <c r="AD5" s="826"/>
      <c r="AE5" s="826"/>
      <c r="AF5" s="826"/>
      <c r="AG5" s="827"/>
      <c r="AH5" s="818" t="s">
        <v>78</v>
      </c>
      <c r="AI5" s="816"/>
      <c r="AJ5" s="818" t="s">
        <v>79</v>
      </c>
      <c r="AK5" s="815"/>
      <c r="AL5" s="815"/>
      <c r="AM5" s="815"/>
      <c r="AN5" s="815"/>
      <c r="AO5" s="816"/>
      <c r="AP5" s="818" t="s">
        <v>80</v>
      </c>
      <c r="AQ5" s="816"/>
      <c r="AR5" s="78"/>
      <c r="AS5" s="88" t="s">
        <v>81</v>
      </c>
    </row>
    <row r="6" spans="1:45" ht="29.4" thickBot="1" x14ac:dyDescent="0.35">
      <c r="A6" s="87"/>
      <c r="B6" s="813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813"/>
      <c r="J6" s="820"/>
      <c r="K6" s="89" t="s">
        <v>87</v>
      </c>
      <c r="L6" s="89" t="s">
        <v>88</v>
      </c>
      <c r="M6" s="89" t="s">
        <v>127</v>
      </c>
      <c r="N6" s="819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7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7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7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7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1">
        <v>46290</v>
      </c>
      <c r="C49" s="432">
        <f>Crushing!N48</f>
        <v>0</v>
      </c>
      <c r="D49" s="432">
        <f t="shared" si="13"/>
        <v>2150.7186000000006</v>
      </c>
      <c r="E49" s="433">
        <f t="shared" si="12"/>
        <v>0</v>
      </c>
      <c r="F49" s="434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2"/>
      <c r="K49" s="435"/>
      <c r="L49" s="435"/>
      <c r="M49" s="435"/>
      <c r="N49" s="435"/>
      <c r="O49" s="434"/>
      <c r="P49" s="434"/>
      <c r="Q49" s="434"/>
      <c r="R49" s="434"/>
      <c r="S49" s="434"/>
      <c r="T49" s="436"/>
      <c r="U49" s="437"/>
      <c r="V49" s="434"/>
      <c r="W49" s="434"/>
      <c r="X49" s="434"/>
      <c r="Y49" s="434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6"/>
      <c r="AQ49" s="434"/>
      <c r="AR49" s="78"/>
      <c r="AS49" s="78"/>
    </row>
    <row r="50" spans="1:45" ht="14.4" x14ac:dyDescent="0.3">
      <c r="A50" s="78"/>
      <c r="B50" s="438" t="s">
        <v>18</v>
      </c>
      <c r="C50" s="442">
        <f>SUM(C7:C49)</f>
        <v>2150.7186000000006</v>
      </c>
      <c r="D50" s="443"/>
      <c r="E50" s="443"/>
      <c r="F50" s="443"/>
      <c r="G50" s="442">
        <f>SUM(G7:G49)</f>
        <v>1779.4291540412698</v>
      </c>
      <c r="H50" s="444">
        <f>SUM(H7:H37)</f>
        <v>1.7794291540412701</v>
      </c>
      <c r="I50" s="449">
        <f>'Crushing Down Time Hours'!L45</f>
        <v>0</v>
      </c>
      <c r="J50" s="442"/>
      <c r="K50" s="445"/>
      <c r="L50" s="440"/>
      <c r="M50" s="440"/>
      <c r="N50" s="445"/>
      <c r="O50" s="440">
        <f t="shared" ref="O50:Y50" si="14">SUM(O7:O36)</f>
        <v>0</v>
      </c>
      <c r="P50" s="440">
        <f>SUM(P7:P36)</f>
        <v>0</v>
      </c>
      <c r="Q50" s="440">
        <f t="shared" si="14"/>
        <v>0</v>
      </c>
      <c r="R50" s="440"/>
      <c r="S50" s="440"/>
      <c r="T50" s="446">
        <f t="shared" ref="T50" si="15">R50-S50</f>
        <v>0</v>
      </c>
      <c r="U50" s="439"/>
      <c r="V50" s="440">
        <f t="shared" si="14"/>
        <v>0</v>
      </c>
      <c r="W50" s="440">
        <f t="shared" si="14"/>
        <v>0</v>
      </c>
      <c r="X50" s="440">
        <f t="shared" si="14"/>
        <v>0</v>
      </c>
      <c r="Y50" s="440">
        <f t="shared" si="14"/>
        <v>0</v>
      </c>
      <c r="Z50" s="440">
        <f>SUM(Z7:Z49)</f>
        <v>1625</v>
      </c>
      <c r="AA50" s="440"/>
      <c r="AB50" s="441">
        <f>SUM(AB7:AB49)</f>
        <v>2500</v>
      </c>
      <c r="AC50" s="441">
        <f>SUM(AC7:AC49)</f>
        <v>3500</v>
      </c>
      <c r="AD50" s="441"/>
      <c r="AE50" s="441"/>
      <c r="AF50" s="440">
        <f>SUM(AF7:AF49)</f>
        <v>75</v>
      </c>
      <c r="AG50" s="440">
        <f>SUM(AG7:AG37)</f>
        <v>0</v>
      </c>
      <c r="AH50" s="440"/>
      <c r="AI50" s="440"/>
      <c r="AJ50" s="440"/>
      <c r="AK50" s="440"/>
      <c r="AL50" s="440"/>
      <c r="AM50" s="440"/>
      <c r="AN50" s="441"/>
      <c r="AO50" s="440"/>
      <c r="AP50" s="440"/>
      <c r="AQ50" s="440"/>
      <c r="AR50" s="78"/>
      <c r="AS50" s="78"/>
    </row>
    <row r="51" spans="1:45" ht="14.4" x14ac:dyDescent="0.3">
      <c r="A51" s="78"/>
      <c r="B51" s="447" t="s">
        <v>122</v>
      </c>
      <c r="C51" s="442">
        <f>AVERAGE(C7:C15)</f>
        <v>155.54116666666667</v>
      </c>
      <c r="D51" s="442"/>
      <c r="E51" s="442" t="e">
        <f>AVERAGE(E7:E15)</f>
        <v>#DIV/0!</v>
      </c>
      <c r="F51" s="444">
        <f>AVERAGE(F7:F49)</f>
        <v>0.93252380952380953</v>
      </c>
      <c r="G51" s="442">
        <f>AVERAGE(G7:G37)</f>
        <v>57.400940452944191</v>
      </c>
      <c r="H51" s="442">
        <f t="shared" ref="H51:AF51" si="16">AVERAGE(H8:H36)</f>
        <v>6.1359626001423105E-2</v>
      </c>
      <c r="I51" s="442">
        <f>AVERAGE(I7:I15)</f>
        <v>9.1291666666666664</v>
      </c>
      <c r="J51" s="442"/>
      <c r="K51" s="445">
        <f>AVERAGE(K7:K17)</f>
        <v>0.6261904761904763</v>
      </c>
      <c r="L51" s="445">
        <f t="shared" si="16"/>
        <v>0.28912835249042146</v>
      </c>
      <c r="M51" s="445">
        <f t="shared" si="16"/>
        <v>0.84085249042145571</v>
      </c>
      <c r="N51" s="445">
        <f>AVERAGE(N8:N45)</f>
        <v>0.27059576023391818</v>
      </c>
      <c r="O51" s="442" t="e">
        <f t="shared" si="16"/>
        <v>#DIV/0!</v>
      </c>
      <c r="P51" s="442" t="e">
        <f>AVERAGE(P8:P36)</f>
        <v>#DIV/0!</v>
      </c>
      <c r="Q51" s="442" t="e">
        <f t="shared" si="16"/>
        <v>#DIV/0!</v>
      </c>
      <c r="R51" s="442"/>
      <c r="S51" s="442"/>
      <c r="T51" s="442"/>
      <c r="U51" s="448"/>
      <c r="V51" s="442" t="e">
        <f t="shared" si="16"/>
        <v>#DIV/0!</v>
      </c>
      <c r="W51" s="442" t="e">
        <f t="shared" si="16"/>
        <v>#DIV/0!</v>
      </c>
      <c r="X51" s="442" t="e">
        <f t="shared" si="16"/>
        <v>#DIV/0!</v>
      </c>
      <c r="Y51" s="442" t="e">
        <f t="shared" si="16"/>
        <v>#DIV/0!</v>
      </c>
      <c r="Z51" s="443">
        <f t="shared" si="16"/>
        <v>56.03448275862069</v>
      </c>
      <c r="AA51" s="442">
        <f t="shared" si="16"/>
        <v>0</v>
      </c>
      <c r="AB51" s="442">
        <f t="shared" si="16"/>
        <v>86.206896551724142</v>
      </c>
      <c r="AC51" s="443">
        <f t="shared" si="16"/>
        <v>120.68965517241379</v>
      </c>
      <c r="AD51" s="443"/>
      <c r="AE51" s="443"/>
      <c r="AF51" s="442">
        <f t="shared" si="16"/>
        <v>2.5862068965517242</v>
      </c>
      <c r="AG51" s="442"/>
      <c r="AH51" s="442"/>
      <c r="AI51" s="442"/>
      <c r="AJ51" s="442"/>
      <c r="AK51" s="442"/>
      <c r="AL51" s="442"/>
      <c r="AM51" s="442"/>
      <c r="AN51" s="442"/>
      <c r="AO51" s="442"/>
      <c r="AP51" s="442"/>
      <c r="AQ51" s="44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2" t="s">
        <v>202</v>
      </c>
      <c r="F53" s="42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2" t="s">
        <v>203</v>
      </c>
      <c r="F54" s="127">
        <f>MAX(F7:F17)</f>
        <v>1.45</v>
      </c>
      <c r="I54" s="79"/>
      <c r="J54" s="79"/>
      <c r="K54" s="80"/>
      <c r="L54" s="80"/>
      <c r="M54" s="80"/>
      <c r="W54" s="821" t="s">
        <v>205</v>
      </c>
      <c r="X54" s="821"/>
    </row>
    <row r="55" spans="1:45" ht="14.4" x14ac:dyDescent="0.3">
      <c r="C55" s="79"/>
      <c r="D55" s="80"/>
      <c r="E55" s="422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2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3" t="s">
        <v>424</v>
      </c>
      <c r="G57" s="424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821" t="s">
        <v>207</v>
      </c>
      <c r="X60" s="821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28" t="s">
        <v>346</v>
      </c>
      <c r="D3" s="828"/>
      <c r="E3" s="828"/>
      <c r="F3" s="828"/>
      <c r="G3" s="828"/>
      <c r="H3" s="828"/>
      <c r="L3" s="828" t="s">
        <v>346</v>
      </c>
      <c r="M3" s="828"/>
      <c r="N3" s="828"/>
      <c r="O3" s="828"/>
      <c r="P3" s="828"/>
      <c r="Q3" s="828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6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6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6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6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6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6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6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6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6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6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6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6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6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6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6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6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6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6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6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6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6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6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6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6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6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6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6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6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6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6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6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6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6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6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6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6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6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6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6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6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6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6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6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6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6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6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6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6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6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6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6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6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6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6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6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6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6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6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6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6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6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6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6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6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829" t="s">
        <v>283</v>
      </c>
      <c r="C1" s="829"/>
      <c r="D1" s="829"/>
      <c r="E1" s="829"/>
      <c r="F1" s="829"/>
      <c r="G1" s="829"/>
      <c r="H1" s="829"/>
      <c r="I1" s="829"/>
      <c r="J1" s="829"/>
      <c r="K1" s="829"/>
      <c r="L1" s="829"/>
      <c r="M1" s="829"/>
      <c r="N1" s="829"/>
      <c r="O1" s="829"/>
      <c r="P1" s="829"/>
      <c r="Q1" s="829"/>
      <c r="R1" s="829"/>
      <c r="S1" s="829"/>
      <c r="T1">
        <f>125+150</f>
        <v>275</v>
      </c>
    </row>
    <row r="2" spans="1:42" ht="18" x14ac:dyDescent="0.35">
      <c r="B2" s="829" t="s">
        <v>284</v>
      </c>
      <c r="C2" s="829"/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</row>
    <row r="3" spans="1:42" ht="18" x14ac:dyDescent="0.35">
      <c r="B3" s="829" t="s">
        <v>285</v>
      </c>
      <c r="C3" s="829"/>
      <c r="D3" s="829"/>
      <c r="E3" s="829"/>
      <c r="F3" s="829"/>
      <c r="G3" s="829"/>
      <c r="H3" s="829"/>
      <c r="I3" s="829"/>
      <c r="J3" s="829"/>
      <c r="K3" s="829"/>
      <c r="L3" s="829"/>
      <c r="M3" s="829"/>
      <c r="N3" s="829"/>
      <c r="O3" s="829"/>
      <c r="P3" s="829"/>
      <c r="Q3" s="829"/>
      <c r="R3" s="829"/>
      <c r="S3" s="829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831"/>
      <c r="C5" s="832"/>
      <c r="D5" s="831" t="s">
        <v>25</v>
      </c>
      <c r="E5" s="833"/>
      <c r="F5" s="832"/>
      <c r="G5" s="831" t="s">
        <v>26</v>
      </c>
      <c r="H5" s="833"/>
      <c r="I5" s="832"/>
      <c r="J5" s="831" t="s">
        <v>325</v>
      </c>
      <c r="K5" s="832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834" t="s">
        <v>163</v>
      </c>
      <c r="Y6" s="834"/>
      <c r="Z6" s="834"/>
      <c r="AA6" s="834"/>
      <c r="AB6" s="834"/>
      <c r="AC6" s="834"/>
    </row>
    <row r="7" spans="1:42" x14ac:dyDescent="0.3">
      <c r="A7" s="22">
        <v>46262</v>
      </c>
      <c r="B7" s="139" t="s">
        <v>13</v>
      </c>
      <c r="C7" s="40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830" t="s">
        <v>342</v>
      </c>
      <c r="Y10" s="830"/>
      <c r="Z10" s="830"/>
      <c r="AA10" s="830"/>
      <c r="AB10" s="830"/>
      <c r="AC10" s="218"/>
    </row>
    <row r="11" spans="1:42" x14ac:dyDescent="0.3">
      <c r="A11" s="22">
        <v>46266</v>
      </c>
      <c r="B11" s="19" t="s">
        <v>13</v>
      </c>
      <c r="C11" s="46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1"/>
      <c r="Y14" s="471"/>
      <c r="Z14" s="471"/>
      <c r="AA14" s="471"/>
      <c r="AB14" s="471"/>
      <c r="AC14" s="471"/>
    </row>
    <row r="15" spans="1:42" x14ac:dyDescent="0.3">
      <c r="A15" s="22">
        <v>46268</v>
      </c>
      <c r="B15" s="19" t="s">
        <v>13</v>
      </c>
      <c r="C15" s="46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8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7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5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5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8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9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8" activePane="bottomLeft" state="frozen"/>
      <selection pane="bottomLeft" activeCell="L86" sqref="L8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7" bestFit="1" customWidth="1"/>
    <col min="7" max="7" width="13.77734375" style="1" bestFit="1" customWidth="1"/>
    <col min="8" max="8" width="14.5546875" style="290" customWidth="1"/>
    <col min="9" max="9" width="10.44140625" style="29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60" t="s">
        <v>0</v>
      </c>
      <c r="C4" s="861"/>
      <c r="D4" s="861"/>
      <c r="E4" s="861"/>
      <c r="F4" s="861"/>
      <c r="G4" s="861"/>
      <c r="H4" s="861"/>
      <c r="I4" s="861"/>
      <c r="J4" s="861"/>
      <c r="K4" s="861"/>
      <c r="L4" s="861"/>
      <c r="M4" s="861"/>
      <c r="N4" s="861"/>
      <c r="O4" s="862"/>
    </row>
    <row r="5" spans="2:27" ht="57.6" customHeight="1" thickBot="1" x14ac:dyDescent="0.35">
      <c r="B5" s="857" t="s">
        <v>1</v>
      </c>
      <c r="C5" s="858"/>
      <c r="D5" s="294" t="s">
        <v>293</v>
      </c>
      <c r="E5" s="361" t="s">
        <v>2</v>
      </c>
      <c r="F5" s="295" t="s">
        <v>3</v>
      </c>
      <c r="G5" s="296" t="s">
        <v>4</v>
      </c>
      <c r="H5" s="297" t="s">
        <v>5</v>
      </c>
      <c r="I5" s="298" t="s">
        <v>6</v>
      </c>
      <c r="J5" s="360" t="s">
        <v>7</v>
      </c>
      <c r="K5" s="360" t="s">
        <v>8</v>
      </c>
      <c r="L5" s="362" t="s">
        <v>9</v>
      </c>
      <c r="M5" s="360" t="s">
        <v>10</v>
      </c>
      <c r="N5" s="360" t="s">
        <v>11</v>
      </c>
      <c r="O5" s="363" t="s">
        <v>177</v>
      </c>
      <c r="S5" s="831" t="s">
        <v>12</v>
      </c>
      <c r="T5" s="832"/>
      <c r="W5" s="828" t="s">
        <v>19</v>
      </c>
      <c r="X5" s="828"/>
      <c r="Y5" s="828"/>
      <c r="Z5" s="828"/>
      <c r="AA5" s="828"/>
    </row>
    <row r="6" spans="2:27" ht="13.95" customHeight="1" thickBot="1" x14ac:dyDescent="0.4">
      <c r="B6" s="837">
        <v>46174</v>
      </c>
      <c r="C6" s="838"/>
      <c r="D6" s="299" t="s">
        <v>13</v>
      </c>
      <c r="E6" s="300"/>
      <c r="F6" s="301"/>
      <c r="G6" s="302"/>
      <c r="H6" s="303"/>
      <c r="I6" s="304" t="str">
        <f>IFERROR((VLOOKUP(G6,S$6:T$8,2,FALSE)),"")</f>
        <v/>
      </c>
      <c r="J6" s="305"/>
      <c r="K6" s="306" t="str">
        <f>IFERROR((F6*I6*J6),"")</f>
        <v/>
      </c>
      <c r="L6" s="307" t="str">
        <f>IFERROR(((F6*I6)*J6)*(1-H6),"")</f>
        <v/>
      </c>
      <c r="M6" s="307" t="str">
        <f>IFERROR((K6/12),"")</f>
        <v/>
      </c>
      <c r="N6" s="843">
        <f>SUM(L6:L7)</f>
        <v>0</v>
      </c>
      <c r="O6" s="308"/>
      <c r="P6" s="4"/>
      <c r="S6" s="27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839"/>
      <c r="C7" s="840"/>
      <c r="D7" s="309" t="s">
        <v>14</v>
      </c>
      <c r="E7" s="310"/>
      <c r="F7" s="311"/>
      <c r="G7" s="312"/>
      <c r="H7" s="313"/>
      <c r="I7" s="304" t="str">
        <f t="shared" ref="I7" si="0">IFERROR((VLOOKUP(G7,S$6:T$8,2,FALSE)),"")</f>
        <v/>
      </c>
      <c r="J7" s="305"/>
      <c r="K7" s="306" t="str">
        <f>IFERROR((F7*I7*J7),"")</f>
        <v/>
      </c>
      <c r="L7" s="307" t="str">
        <f t="shared" ref="L7:L9" si="1">IFERROR(((F7*I7)*J7)*(1-H7),"")</f>
        <v/>
      </c>
      <c r="M7" s="307" t="str">
        <f t="shared" ref="M7:M9" si="2">IFERROR((K7/12),"")</f>
        <v/>
      </c>
      <c r="N7" s="844"/>
      <c r="O7" s="30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851">
        <v>46175</v>
      </c>
      <c r="C8" s="852"/>
      <c r="D8" s="364" t="s">
        <v>13</v>
      </c>
      <c r="E8" s="365" t="s">
        <v>170</v>
      </c>
      <c r="F8" s="366">
        <v>141</v>
      </c>
      <c r="G8" s="367" t="s">
        <v>441</v>
      </c>
      <c r="H8" s="368">
        <v>0.18</v>
      </c>
      <c r="I8" s="369">
        <f>IFERROR((VLOOKUP(G8,S$6:T$8,2,FALSE)),"")</f>
        <v>0.5</v>
      </c>
      <c r="J8" s="305">
        <v>1.35</v>
      </c>
      <c r="K8" s="370">
        <f t="shared" ref="K8:K61" si="3">IFERROR((F8*I8*J8),"")</f>
        <v>95.175000000000011</v>
      </c>
      <c r="L8" s="371">
        <f t="shared" si="1"/>
        <v>78.043500000000009</v>
      </c>
      <c r="M8" s="371">
        <f>IFERROR((K8/6),"")</f>
        <v>15.862500000000002</v>
      </c>
      <c r="N8" s="855">
        <f>SUM(L8:L9)</f>
        <v>78.043500000000009</v>
      </c>
      <c r="O8" s="372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853"/>
      <c r="C9" s="854"/>
      <c r="D9" s="373" t="s">
        <v>14</v>
      </c>
      <c r="E9" s="374"/>
      <c r="F9" s="375"/>
      <c r="G9" s="414"/>
      <c r="H9" s="376"/>
      <c r="I9" s="377" t="str">
        <f t="shared" ref="I9:I86" si="4">IFERROR((VLOOKUP(G9,S$6:T$8,2,FALSE)),"")</f>
        <v/>
      </c>
      <c r="J9" s="305"/>
      <c r="K9" s="370" t="str">
        <f t="shared" si="3"/>
        <v/>
      </c>
      <c r="L9" s="371" t="str">
        <f t="shared" si="1"/>
        <v/>
      </c>
      <c r="M9" s="371" t="str">
        <f t="shared" si="2"/>
        <v/>
      </c>
      <c r="N9" s="856"/>
      <c r="O9" s="379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837">
        <v>46176</v>
      </c>
      <c r="C10" s="838"/>
      <c r="D10" s="299" t="s">
        <v>13</v>
      </c>
      <c r="E10" s="300" t="s">
        <v>170</v>
      </c>
      <c r="F10" s="301">
        <v>32</v>
      </c>
      <c r="G10" s="418" t="s">
        <v>441</v>
      </c>
      <c r="H10" s="303">
        <v>0.18</v>
      </c>
      <c r="I10" s="304">
        <f t="shared" si="4"/>
        <v>0.5</v>
      </c>
      <c r="J10" s="305">
        <v>1.35</v>
      </c>
      <c r="K10" s="306">
        <f t="shared" si="3"/>
        <v>21.6</v>
      </c>
      <c r="L10" s="307">
        <f t="shared" ref="L10:L61" si="5">IFERROR(((F10*I10)*J10)*(1-H10),"")</f>
        <v>17.712000000000003</v>
      </c>
      <c r="M10" s="307">
        <f t="shared" ref="M10:M61" si="6">IFERROR((K10/12),"")</f>
        <v>1.8</v>
      </c>
      <c r="N10" s="849">
        <f>SUM(L10:L11)</f>
        <v>17.712000000000003</v>
      </c>
      <c r="O10" s="317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839"/>
      <c r="C11" s="840"/>
      <c r="D11" s="309" t="s">
        <v>14</v>
      </c>
      <c r="E11" s="310"/>
      <c r="F11" s="314"/>
      <c r="G11" s="417"/>
      <c r="H11" s="313"/>
      <c r="I11" s="315" t="str">
        <f t="shared" si="4"/>
        <v/>
      </c>
      <c r="J11" s="305"/>
      <c r="K11" s="306" t="str">
        <f t="shared" si="3"/>
        <v/>
      </c>
      <c r="L11" s="318" t="str">
        <f t="shared" si="5"/>
        <v/>
      </c>
      <c r="M11" s="319" t="str">
        <f t="shared" si="6"/>
        <v/>
      </c>
      <c r="N11" s="850"/>
      <c r="O11" s="320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851">
        <v>46177</v>
      </c>
      <c r="C12" s="852"/>
      <c r="D12" s="364" t="s">
        <v>13</v>
      </c>
      <c r="E12" s="365" t="s">
        <v>173</v>
      </c>
      <c r="F12" s="366">
        <v>282</v>
      </c>
      <c r="G12" s="367" t="s">
        <v>441</v>
      </c>
      <c r="H12" s="368">
        <v>0.17</v>
      </c>
      <c r="I12" s="369">
        <f t="shared" si="4"/>
        <v>0.5</v>
      </c>
      <c r="J12" s="305">
        <v>1.35</v>
      </c>
      <c r="K12" s="370">
        <f t="shared" si="3"/>
        <v>190.35000000000002</v>
      </c>
      <c r="L12" s="371">
        <f t="shared" si="5"/>
        <v>157.9905</v>
      </c>
      <c r="M12" s="371">
        <f t="shared" si="6"/>
        <v>15.862500000000002</v>
      </c>
      <c r="N12" s="855">
        <f t="shared" ref="N12" si="8">SUM(L12:L13)</f>
        <v>157.9905</v>
      </c>
      <c r="O12" s="372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853"/>
      <c r="C13" s="854"/>
      <c r="D13" s="373" t="s">
        <v>14</v>
      </c>
      <c r="E13" s="374"/>
      <c r="F13" s="375"/>
      <c r="G13" s="416"/>
      <c r="H13" s="376"/>
      <c r="I13" s="377" t="str">
        <f t="shared" si="4"/>
        <v/>
      </c>
      <c r="J13" s="305"/>
      <c r="K13" s="370" t="str">
        <f t="shared" si="3"/>
        <v/>
      </c>
      <c r="L13" s="378" t="str">
        <f t="shared" si="5"/>
        <v/>
      </c>
      <c r="M13" s="380" t="str">
        <f t="shared" si="6"/>
        <v/>
      </c>
      <c r="N13" s="856"/>
      <c r="O13" s="37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37">
        <v>46252</v>
      </c>
      <c r="C14" s="838"/>
      <c r="D14" s="299" t="s">
        <v>13</v>
      </c>
      <c r="E14" s="300" t="s">
        <v>200</v>
      </c>
      <c r="F14" s="301">
        <v>62</v>
      </c>
      <c r="G14" s="418" t="s">
        <v>441</v>
      </c>
      <c r="H14" s="303">
        <v>0.12</v>
      </c>
      <c r="I14" s="304">
        <f t="shared" si="4"/>
        <v>0.5</v>
      </c>
      <c r="J14" s="305">
        <v>1.39</v>
      </c>
      <c r="K14" s="306">
        <f>IFERROR((F14*I14*J14),"")</f>
        <v>43.089999999999996</v>
      </c>
      <c r="L14" s="307">
        <f t="shared" si="5"/>
        <v>37.919199999999996</v>
      </c>
      <c r="M14" s="307">
        <f>IFERROR((K14/12),"")</f>
        <v>3.5908333333333329</v>
      </c>
      <c r="N14" s="849">
        <f t="shared" ref="N14" si="9">SUM(L14:L15)</f>
        <v>37.919199999999996</v>
      </c>
      <c r="O14" s="30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39"/>
      <c r="C15" s="840"/>
      <c r="D15" s="309" t="s">
        <v>14</v>
      </c>
      <c r="E15" s="321"/>
      <c r="F15" s="314"/>
      <c r="G15" s="417"/>
      <c r="H15" s="313"/>
      <c r="I15" s="315" t="str">
        <f t="shared" si="4"/>
        <v/>
      </c>
      <c r="J15" s="305"/>
      <c r="K15" s="322" t="str">
        <f t="shared" si="3"/>
        <v/>
      </c>
      <c r="L15" s="318" t="str">
        <f t="shared" si="5"/>
        <v/>
      </c>
      <c r="M15" s="319" t="str">
        <f t="shared" si="6"/>
        <v/>
      </c>
      <c r="N15" s="850"/>
      <c r="O15" s="308"/>
    </row>
    <row r="16" spans="2:27" ht="18.600000000000001" thickBot="1" x14ac:dyDescent="0.4">
      <c r="B16" s="851">
        <v>46253</v>
      </c>
      <c r="C16" s="852"/>
      <c r="D16" s="364" t="s">
        <v>13</v>
      </c>
      <c r="E16" s="365" t="s">
        <v>200</v>
      </c>
      <c r="F16" s="366">
        <v>463</v>
      </c>
      <c r="G16" s="367" t="s">
        <v>441</v>
      </c>
      <c r="H16" s="368">
        <v>0.12</v>
      </c>
      <c r="I16" s="369">
        <f t="shared" si="4"/>
        <v>0.5</v>
      </c>
      <c r="J16" s="305">
        <v>1.39</v>
      </c>
      <c r="K16" s="370">
        <f t="shared" si="3"/>
        <v>321.78499999999997</v>
      </c>
      <c r="L16" s="371">
        <f>IFERROR(((F16*I16)*J16)*(1-H16),"")</f>
        <v>283.17079999999999</v>
      </c>
      <c r="M16" s="371">
        <f t="shared" si="6"/>
        <v>26.815416666666664</v>
      </c>
      <c r="N16" s="855">
        <f>SUM(L16:L17)</f>
        <v>283.17079999999999</v>
      </c>
      <c r="O16" s="372" t="s">
        <v>417</v>
      </c>
      <c r="S16" s="1">
        <f>S14/1.4</f>
        <v>45.714285714285715</v>
      </c>
    </row>
    <row r="17" spans="2:23" ht="18.600000000000001" thickBot="1" x14ac:dyDescent="0.4">
      <c r="B17" s="853"/>
      <c r="C17" s="854"/>
      <c r="D17" s="373" t="s">
        <v>14</v>
      </c>
      <c r="E17" s="381"/>
      <c r="F17" s="375"/>
      <c r="G17" s="416"/>
      <c r="H17" s="376"/>
      <c r="I17" s="377" t="str">
        <f t="shared" si="4"/>
        <v/>
      </c>
      <c r="J17" s="305"/>
      <c r="K17" s="382" t="str">
        <f t="shared" si="3"/>
        <v/>
      </c>
      <c r="L17" s="378" t="str">
        <f t="shared" si="5"/>
        <v/>
      </c>
      <c r="M17" s="380" t="str">
        <f t="shared" si="6"/>
        <v/>
      </c>
      <c r="N17" s="856"/>
      <c r="O17" s="372" t="s">
        <v>396</v>
      </c>
    </row>
    <row r="18" spans="2:23" ht="18.600000000000001" thickBot="1" x14ac:dyDescent="0.4">
      <c r="B18" s="837">
        <v>46254</v>
      </c>
      <c r="C18" s="838"/>
      <c r="D18" s="299" t="s">
        <v>13</v>
      </c>
      <c r="E18" s="300" t="s">
        <v>200</v>
      </c>
      <c r="F18" s="301">
        <v>539</v>
      </c>
      <c r="G18" s="418" t="s">
        <v>441</v>
      </c>
      <c r="H18" s="303">
        <v>0.1</v>
      </c>
      <c r="I18" s="304">
        <f>IFERROR((VLOOKUP(G18,S$6:T$8,2,FALSE)),"")</f>
        <v>0.5</v>
      </c>
      <c r="J18" s="305">
        <v>1.39</v>
      </c>
      <c r="K18" s="306">
        <f t="shared" si="3"/>
        <v>374.60499999999996</v>
      </c>
      <c r="L18" s="307">
        <f>IFERROR(((F18*I18)*J18)*(1-H18),"")</f>
        <v>337.14449999999999</v>
      </c>
      <c r="M18" s="307">
        <f>IFERROR((K18/12),"")</f>
        <v>31.217083333333331</v>
      </c>
      <c r="N18" s="849">
        <f>SUM(L18:L19)-V20</f>
        <v>337.14449999999999</v>
      </c>
      <c r="O18" s="30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39"/>
      <c r="C19" s="840"/>
      <c r="D19" s="323" t="s">
        <v>14</v>
      </c>
      <c r="E19" s="324"/>
      <c r="F19" s="325"/>
      <c r="G19" s="415"/>
      <c r="H19" s="327"/>
      <c r="I19" s="328" t="str">
        <f t="shared" si="4"/>
        <v/>
      </c>
      <c r="J19" s="305"/>
      <c r="K19" s="329" t="str">
        <f t="shared" si="3"/>
        <v/>
      </c>
      <c r="L19" s="330" t="str">
        <f t="shared" si="5"/>
        <v/>
      </c>
      <c r="M19" s="331" t="str">
        <f t="shared" si="6"/>
        <v/>
      </c>
      <c r="N19" s="859"/>
      <c r="O19" s="308" t="s">
        <v>418</v>
      </c>
      <c r="T19" s="116"/>
    </row>
    <row r="20" spans="2:23" ht="18.600000000000001" thickBot="1" x14ac:dyDescent="0.4">
      <c r="B20" s="837">
        <v>46255</v>
      </c>
      <c r="C20" s="838"/>
      <c r="D20" s="299" t="s">
        <v>13</v>
      </c>
      <c r="E20" s="300" t="s">
        <v>200</v>
      </c>
      <c r="F20" s="301">
        <v>409</v>
      </c>
      <c r="G20" s="418" t="s">
        <v>441</v>
      </c>
      <c r="H20" s="303">
        <v>0.1</v>
      </c>
      <c r="I20" s="304">
        <f>IFERROR((VLOOKUP(G20,S$6:T$8,2,FALSE)),"")</f>
        <v>0.5</v>
      </c>
      <c r="J20" s="305">
        <v>1.39</v>
      </c>
      <c r="K20" s="306">
        <f t="shared" ref="K20:K21" si="10">IFERROR((F20*I20*J20),"")</f>
        <v>284.255</v>
      </c>
      <c r="L20" s="307">
        <f>IFERROR(((F20*I20)*J20)*(1-H20),"")</f>
        <v>255.8295</v>
      </c>
      <c r="M20" s="307">
        <f>IFERROR(((K20+K21)/12),"")</f>
        <v>26.931250000000002</v>
      </c>
      <c r="N20" s="849">
        <f>SUM(L20:L21)</f>
        <v>290.85750000000002</v>
      </c>
      <c r="O20" s="308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839"/>
      <c r="C21" s="840"/>
      <c r="D21" s="323" t="s">
        <v>14</v>
      </c>
      <c r="E21" s="324"/>
      <c r="F21" s="325">
        <v>10</v>
      </c>
      <c r="G21" s="326" t="s">
        <v>16</v>
      </c>
      <c r="H21" s="327">
        <v>0.1</v>
      </c>
      <c r="I21" s="328">
        <f t="shared" ref="I21" si="11">IFERROR((VLOOKUP(G21,S$6:T$8,2,FALSE)),"")</f>
        <v>2.8</v>
      </c>
      <c r="J21" s="305">
        <v>1.39</v>
      </c>
      <c r="K21" s="329">
        <f t="shared" si="10"/>
        <v>38.919999999999995</v>
      </c>
      <c r="L21" s="330">
        <f t="shared" ref="L21" si="12">IFERROR(((F21*I21)*J21)*(1-H21),"")</f>
        <v>35.027999999999999</v>
      </c>
      <c r="M21" s="331"/>
      <c r="N21" s="859"/>
      <c r="O21" s="308"/>
      <c r="S21" s="2"/>
      <c r="T21" s="117"/>
    </row>
    <row r="22" spans="2:23" ht="18.600000000000001" thickBot="1" x14ac:dyDescent="0.4">
      <c r="B22" s="837">
        <v>46256</v>
      </c>
      <c r="C22" s="838"/>
      <c r="D22" s="299" t="s">
        <v>13</v>
      </c>
      <c r="E22" s="300" t="s">
        <v>200</v>
      </c>
      <c r="F22" s="301">
        <v>315</v>
      </c>
      <c r="G22" s="302" t="s">
        <v>441</v>
      </c>
      <c r="H22" s="303">
        <v>0.1</v>
      </c>
      <c r="I22" s="304">
        <f>IFERROR((VLOOKUP(G22,S$6:T$8,2,FALSE)),"")</f>
        <v>0.5</v>
      </c>
      <c r="J22" s="305">
        <v>1.39</v>
      </c>
      <c r="K22" s="306">
        <f t="shared" si="3"/>
        <v>218.92499999999998</v>
      </c>
      <c r="L22" s="307">
        <f t="shared" si="5"/>
        <v>197.0325</v>
      </c>
      <c r="M22" s="332">
        <f t="shared" si="6"/>
        <v>18.243749999999999</v>
      </c>
      <c r="N22" s="849">
        <f>SUM(L22:L23)-V24</f>
        <v>197.0325</v>
      </c>
      <c r="O22" s="316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839"/>
      <c r="C23" s="840"/>
      <c r="D23" s="309" t="s">
        <v>14</v>
      </c>
      <c r="E23" s="321"/>
      <c r="F23" s="314"/>
      <c r="G23" s="312"/>
      <c r="H23" s="313"/>
      <c r="I23" s="315" t="str">
        <f t="shared" si="4"/>
        <v/>
      </c>
      <c r="J23" s="305"/>
      <c r="K23" s="322" t="str">
        <f t="shared" si="3"/>
        <v/>
      </c>
      <c r="L23" s="318" t="str">
        <f t="shared" si="5"/>
        <v/>
      </c>
      <c r="M23" s="333" t="str">
        <f t="shared" si="6"/>
        <v/>
      </c>
      <c r="N23" s="850"/>
      <c r="O23" s="308"/>
      <c r="P23" s="11"/>
      <c r="T23" s="116"/>
    </row>
    <row r="24" spans="2:23" ht="18.600000000000001" thickBot="1" x14ac:dyDescent="0.4">
      <c r="B24" s="837">
        <v>46257</v>
      </c>
      <c r="C24" s="838"/>
      <c r="D24" s="299" t="s">
        <v>13</v>
      </c>
      <c r="E24" s="300"/>
      <c r="F24" s="301"/>
      <c r="G24" s="302"/>
      <c r="H24" s="303"/>
      <c r="I24" s="304" t="str">
        <f t="shared" si="4"/>
        <v/>
      </c>
      <c r="J24" s="305"/>
      <c r="K24" s="306" t="str">
        <f t="shared" si="3"/>
        <v/>
      </c>
      <c r="L24" s="307" t="str">
        <f t="shared" si="5"/>
        <v/>
      </c>
      <c r="M24" s="307" t="str">
        <f t="shared" si="6"/>
        <v/>
      </c>
      <c r="N24" s="849">
        <f>SUM(L24:L25)-V26</f>
        <v>0</v>
      </c>
      <c r="O24" s="308"/>
    </row>
    <row r="25" spans="2:23" ht="18.600000000000001" thickBot="1" x14ac:dyDescent="0.4">
      <c r="B25" s="839"/>
      <c r="C25" s="840"/>
      <c r="D25" s="309" t="s">
        <v>14</v>
      </c>
      <c r="E25" s="321"/>
      <c r="F25" s="314"/>
      <c r="G25" s="312"/>
      <c r="H25" s="303"/>
      <c r="I25" s="315" t="str">
        <f t="shared" si="4"/>
        <v/>
      </c>
      <c r="J25" s="305"/>
      <c r="K25" s="322" t="str">
        <f t="shared" si="3"/>
        <v/>
      </c>
      <c r="L25" s="318" t="str">
        <f t="shared" si="5"/>
        <v/>
      </c>
      <c r="M25" s="319" t="str">
        <f t="shared" si="6"/>
        <v/>
      </c>
      <c r="N25" s="850"/>
      <c r="O25" s="308"/>
      <c r="T25" s="3"/>
    </row>
    <row r="26" spans="2:23" ht="18.600000000000001" thickBot="1" x14ac:dyDescent="0.4">
      <c r="B26" s="837">
        <v>46258</v>
      </c>
      <c r="C26" s="838"/>
      <c r="D26" s="299" t="s">
        <v>13</v>
      </c>
      <c r="E26" s="300" t="s">
        <v>200</v>
      </c>
      <c r="F26" s="301">
        <v>234</v>
      </c>
      <c r="G26" s="302" t="s">
        <v>441</v>
      </c>
      <c r="H26" s="303">
        <v>0.1</v>
      </c>
      <c r="I26" s="304">
        <f t="shared" si="4"/>
        <v>0.5</v>
      </c>
      <c r="J26" s="305">
        <v>1.39</v>
      </c>
      <c r="K26" s="306">
        <f t="shared" si="3"/>
        <v>162.63</v>
      </c>
      <c r="L26" s="307">
        <f t="shared" si="5"/>
        <v>146.36699999999999</v>
      </c>
      <c r="M26" s="307">
        <f t="shared" si="6"/>
        <v>13.5525</v>
      </c>
      <c r="N26" s="849">
        <f>SUM(L26:L27)-V28</f>
        <v>163.881</v>
      </c>
      <c r="O26" s="30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839"/>
      <c r="C27" s="840"/>
      <c r="D27" s="309" t="s">
        <v>14</v>
      </c>
      <c r="E27" s="321" t="s">
        <v>170</v>
      </c>
      <c r="F27" s="314">
        <v>5</v>
      </c>
      <c r="G27" s="312" t="s">
        <v>16</v>
      </c>
      <c r="H27" s="313">
        <v>0.1</v>
      </c>
      <c r="I27" s="315">
        <f t="shared" si="4"/>
        <v>2.8</v>
      </c>
      <c r="J27" s="305">
        <v>1.39</v>
      </c>
      <c r="K27" s="334">
        <f t="shared" si="3"/>
        <v>19.459999999999997</v>
      </c>
      <c r="L27" s="318">
        <f t="shared" si="5"/>
        <v>17.513999999999999</v>
      </c>
      <c r="M27" s="319">
        <f t="shared" si="6"/>
        <v>1.6216666666666664</v>
      </c>
      <c r="N27" s="850"/>
      <c r="O27" s="308"/>
    </row>
    <row r="28" spans="2:23" ht="18.600000000000001" thickBot="1" x14ac:dyDescent="0.4">
      <c r="B28" s="837">
        <v>46259</v>
      </c>
      <c r="C28" s="838"/>
      <c r="D28" s="299" t="s">
        <v>13</v>
      </c>
      <c r="E28" s="300"/>
      <c r="F28" s="301"/>
      <c r="G28" s="302"/>
      <c r="H28" s="303"/>
      <c r="I28" s="304" t="str">
        <f t="shared" si="4"/>
        <v/>
      </c>
      <c r="J28" s="305"/>
      <c r="K28" s="306" t="str">
        <f t="shared" si="3"/>
        <v/>
      </c>
      <c r="L28" s="307" t="str">
        <f>IFERROR(((F28*I28)*J28)*(1-H28),"")</f>
        <v/>
      </c>
      <c r="M28" s="307" t="str">
        <f t="shared" si="6"/>
        <v/>
      </c>
      <c r="N28" s="843">
        <f>SUM(L28:L29)</f>
        <v>0</v>
      </c>
      <c r="O28" s="308"/>
    </row>
    <row r="29" spans="2:23" ht="18.600000000000001" thickBot="1" x14ac:dyDescent="0.4">
      <c r="B29" s="839"/>
      <c r="C29" s="840"/>
      <c r="D29" s="309" t="s">
        <v>14</v>
      </c>
      <c r="E29" s="321"/>
      <c r="F29" s="314"/>
      <c r="G29" s="312"/>
      <c r="H29" s="313"/>
      <c r="I29" s="304" t="str">
        <f t="shared" si="4"/>
        <v/>
      </c>
      <c r="J29" s="305"/>
      <c r="K29" s="306" t="str">
        <f t="shared" si="3"/>
        <v/>
      </c>
      <c r="L29" s="318" t="str">
        <f t="shared" si="5"/>
        <v/>
      </c>
      <c r="M29" s="319" t="str">
        <f t="shared" si="6"/>
        <v/>
      </c>
      <c r="N29" s="844"/>
      <c r="O29" s="308"/>
      <c r="P29" s="11"/>
    </row>
    <row r="30" spans="2:23" ht="18.600000000000001" thickBot="1" x14ac:dyDescent="0.4">
      <c r="B30" s="837">
        <v>46260</v>
      </c>
      <c r="C30" s="838"/>
      <c r="D30" s="299" t="s">
        <v>13</v>
      </c>
      <c r="E30" s="300"/>
      <c r="F30" s="301"/>
      <c r="G30" s="302"/>
      <c r="H30" s="303"/>
      <c r="I30" s="304" t="str">
        <f t="shared" si="4"/>
        <v/>
      </c>
      <c r="J30" s="305"/>
      <c r="K30" s="306" t="str">
        <f t="shared" si="3"/>
        <v/>
      </c>
      <c r="L30" s="307" t="str">
        <f t="shared" si="5"/>
        <v/>
      </c>
      <c r="M30" s="307" t="str">
        <f t="shared" si="6"/>
        <v/>
      </c>
      <c r="N30" s="843">
        <f t="shared" ref="N30" si="13">SUM(L30:L31)</f>
        <v>0</v>
      </c>
      <c r="O30" s="308"/>
    </row>
    <row r="31" spans="2:23" ht="18.600000000000001" thickBot="1" x14ac:dyDescent="0.4">
      <c r="B31" s="839"/>
      <c r="C31" s="840"/>
      <c r="D31" s="309" t="s">
        <v>14</v>
      </c>
      <c r="E31" s="321"/>
      <c r="F31" s="314"/>
      <c r="G31" s="312"/>
      <c r="H31" s="313"/>
      <c r="I31" s="304" t="str">
        <f t="shared" si="4"/>
        <v/>
      </c>
      <c r="J31" s="305"/>
      <c r="K31" s="306" t="str">
        <f t="shared" si="3"/>
        <v/>
      </c>
      <c r="L31" s="318" t="str">
        <f t="shared" si="5"/>
        <v/>
      </c>
      <c r="M31" s="319" t="str">
        <f t="shared" si="6"/>
        <v/>
      </c>
      <c r="N31" s="844"/>
      <c r="O31" s="308"/>
    </row>
    <row r="32" spans="2:23" ht="54.6" thickBot="1" x14ac:dyDescent="0.4">
      <c r="B32" s="837">
        <v>46261</v>
      </c>
      <c r="C32" s="838"/>
      <c r="D32" s="299" t="s">
        <v>13</v>
      </c>
      <c r="E32" s="300" t="s">
        <v>429</v>
      </c>
      <c r="F32" s="301">
        <v>202</v>
      </c>
      <c r="G32" s="302" t="s">
        <v>441</v>
      </c>
      <c r="H32" s="303">
        <v>0.11</v>
      </c>
      <c r="I32" s="304">
        <f t="shared" si="4"/>
        <v>0.5</v>
      </c>
      <c r="J32" s="305">
        <v>1.39</v>
      </c>
      <c r="K32" s="306">
        <f t="shared" si="3"/>
        <v>140.38999999999999</v>
      </c>
      <c r="L32" s="307">
        <f t="shared" si="5"/>
        <v>124.94709999999999</v>
      </c>
      <c r="M32" s="307">
        <f t="shared" si="6"/>
        <v>11.699166666666665</v>
      </c>
      <c r="N32" s="843">
        <f>SUM(L32:L33)</f>
        <v>124.94709999999999</v>
      </c>
      <c r="O32" s="41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839"/>
      <c r="C33" s="840"/>
      <c r="D33" s="309" t="s">
        <v>14</v>
      </c>
      <c r="E33" s="321"/>
      <c r="F33" s="314"/>
      <c r="G33" s="312"/>
      <c r="H33" s="313"/>
      <c r="I33" s="304" t="str">
        <f t="shared" si="4"/>
        <v/>
      </c>
      <c r="J33" s="305"/>
      <c r="K33" s="306" t="str">
        <f t="shared" si="3"/>
        <v/>
      </c>
      <c r="L33" s="318" t="str">
        <f t="shared" si="5"/>
        <v/>
      </c>
      <c r="M33" s="319" t="str">
        <f t="shared" si="6"/>
        <v/>
      </c>
      <c r="N33" s="844"/>
      <c r="O33" s="308"/>
    </row>
    <row r="34" spans="2:24" ht="18.600000000000001" thickBot="1" x14ac:dyDescent="0.4">
      <c r="B34" s="837">
        <v>46262</v>
      </c>
      <c r="C34" s="838"/>
      <c r="D34" s="299" t="s">
        <v>13</v>
      </c>
      <c r="E34" s="300" t="s">
        <v>170</v>
      </c>
      <c r="F34" s="301">
        <v>290</v>
      </c>
      <c r="G34" s="302" t="s">
        <v>441</v>
      </c>
      <c r="H34" s="303">
        <v>0.11</v>
      </c>
      <c r="I34" s="304">
        <f t="shared" si="4"/>
        <v>0.5</v>
      </c>
      <c r="J34" s="305">
        <v>1.3</v>
      </c>
      <c r="K34" s="306">
        <f t="shared" si="3"/>
        <v>188.5</v>
      </c>
      <c r="L34" s="307">
        <f t="shared" si="5"/>
        <v>167.76500000000001</v>
      </c>
      <c r="M34" s="307">
        <f t="shared" si="6"/>
        <v>15.708333333333334</v>
      </c>
      <c r="N34" s="843">
        <f>SUM(L34:L35)</f>
        <v>167.76500000000001</v>
      </c>
      <c r="O34" s="30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839"/>
      <c r="C35" s="840"/>
      <c r="D35" s="309" t="s">
        <v>14</v>
      </c>
      <c r="E35" s="321"/>
      <c r="F35" s="314"/>
      <c r="G35" s="312"/>
      <c r="H35" s="313"/>
      <c r="I35" s="304" t="str">
        <f t="shared" si="4"/>
        <v/>
      </c>
      <c r="J35" s="305"/>
      <c r="K35" s="306" t="str">
        <f t="shared" si="3"/>
        <v/>
      </c>
      <c r="L35" s="318" t="str">
        <f>IFERROR(((F35*I35)*J35)*(1-H35),"")</f>
        <v/>
      </c>
      <c r="M35" s="319" t="str">
        <f t="shared" si="6"/>
        <v/>
      </c>
      <c r="N35" s="844"/>
      <c r="O35" s="308"/>
    </row>
    <row r="36" spans="2:24" ht="18.600000000000001" thickBot="1" x14ac:dyDescent="0.35">
      <c r="B36" s="837">
        <v>46263</v>
      </c>
      <c r="C36" s="838"/>
      <c r="D36" s="299" t="s">
        <v>13</v>
      </c>
      <c r="E36" s="300" t="s">
        <v>170</v>
      </c>
      <c r="F36" s="301">
        <v>411</v>
      </c>
      <c r="G36" s="302" t="s">
        <v>441</v>
      </c>
      <c r="H36" s="303">
        <v>0.1</v>
      </c>
      <c r="I36" s="304">
        <f t="shared" si="4"/>
        <v>0.5</v>
      </c>
      <c r="J36" s="305">
        <v>1.3</v>
      </c>
      <c r="K36" s="306">
        <f t="shared" si="3"/>
        <v>267.15000000000003</v>
      </c>
      <c r="L36" s="307">
        <f t="shared" si="5"/>
        <v>240.43500000000003</v>
      </c>
      <c r="M36" s="307">
        <f t="shared" ref="M36:M37" si="14">IFERROR((K36/12),"")</f>
        <v>22.262500000000003</v>
      </c>
      <c r="N36" s="843">
        <f>SUM(L36:L37)</f>
        <v>240.43500000000003</v>
      </c>
      <c r="O36" s="835" t="str">
        <f>'Crushing Down Time Hours'!G17</f>
        <v>istirahat jam 12-13, 14:00-15:00 ada loading material dari mining</v>
      </c>
    </row>
    <row r="37" spans="2:24" ht="18.600000000000001" thickBot="1" x14ac:dyDescent="0.35">
      <c r="B37" s="839"/>
      <c r="C37" s="840"/>
      <c r="D37" s="309" t="s">
        <v>14</v>
      </c>
      <c r="E37" s="321"/>
      <c r="F37" s="314"/>
      <c r="G37" s="312"/>
      <c r="H37" s="313"/>
      <c r="I37" s="304" t="str">
        <f t="shared" si="4"/>
        <v/>
      </c>
      <c r="J37" s="305"/>
      <c r="K37" s="306" t="str">
        <f t="shared" si="3"/>
        <v/>
      </c>
      <c r="L37" s="318" t="str">
        <f t="shared" si="5"/>
        <v/>
      </c>
      <c r="M37" s="319" t="str">
        <f t="shared" si="14"/>
        <v/>
      </c>
      <c r="N37" s="844"/>
      <c r="O37" s="836"/>
    </row>
    <row r="38" spans="2:24" ht="18.600000000000001" thickBot="1" x14ac:dyDescent="0.4">
      <c r="B38" s="837">
        <v>46264</v>
      </c>
      <c r="C38" s="838"/>
      <c r="D38" s="299" t="s">
        <v>13</v>
      </c>
      <c r="E38" s="300" t="s">
        <v>170</v>
      </c>
      <c r="F38" s="301">
        <v>92</v>
      </c>
      <c r="G38" s="302" t="s">
        <v>441</v>
      </c>
      <c r="H38" s="303">
        <v>0.1</v>
      </c>
      <c r="I38" s="304">
        <f t="shared" si="4"/>
        <v>0.5</v>
      </c>
      <c r="J38" s="305">
        <v>1.3</v>
      </c>
      <c r="K38" s="306">
        <f t="shared" si="3"/>
        <v>59.800000000000004</v>
      </c>
      <c r="L38" s="307">
        <f t="shared" si="5"/>
        <v>53.820000000000007</v>
      </c>
      <c r="M38" s="307">
        <f t="shared" si="6"/>
        <v>4.9833333333333334</v>
      </c>
      <c r="N38" s="843">
        <f t="shared" ref="N38" si="15">SUM(L38:L39)</f>
        <v>53.820000000000007</v>
      </c>
      <c r="O38" s="308"/>
      <c r="Q38" s="4"/>
    </row>
    <row r="39" spans="2:24" ht="18.600000000000001" thickBot="1" x14ac:dyDescent="0.4">
      <c r="B39" s="839"/>
      <c r="C39" s="840"/>
      <c r="D39" s="309" t="s">
        <v>14</v>
      </c>
      <c r="E39" s="321"/>
      <c r="F39" s="314"/>
      <c r="G39" s="312"/>
      <c r="H39" s="313"/>
      <c r="I39" s="304" t="str">
        <f t="shared" si="4"/>
        <v/>
      </c>
      <c r="J39" s="305"/>
      <c r="K39" s="306" t="str">
        <f t="shared" si="3"/>
        <v/>
      </c>
      <c r="L39" s="318" t="str">
        <f t="shared" si="5"/>
        <v/>
      </c>
      <c r="M39" s="319" t="str">
        <f t="shared" si="6"/>
        <v/>
      </c>
      <c r="N39" s="844"/>
      <c r="O39" s="308"/>
    </row>
    <row r="40" spans="2:24" ht="18.600000000000001" thickBot="1" x14ac:dyDescent="0.4">
      <c r="B40" s="837">
        <v>46265</v>
      </c>
      <c r="C40" s="838"/>
      <c r="D40" s="299" t="s">
        <v>13</v>
      </c>
      <c r="E40" s="300"/>
      <c r="F40" s="301"/>
      <c r="G40" s="302"/>
      <c r="H40" s="303"/>
      <c r="I40" s="304" t="str">
        <f t="shared" si="4"/>
        <v/>
      </c>
      <c r="J40" s="305"/>
      <c r="K40" s="306" t="str">
        <f t="shared" si="3"/>
        <v/>
      </c>
      <c r="L40" s="307" t="str">
        <f>IFERROR(((F40*I40)*J40)*(1-H40),"")</f>
        <v/>
      </c>
      <c r="M40" s="307" t="str">
        <f t="shared" si="6"/>
        <v/>
      </c>
      <c r="N40" s="843">
        <f>SUM(L40:L41)</f>
        <v>0</v>
      </c>
      <c r="O40" s="308"/>
    </row>
    <row r="41" spans="2:24" ht="18.600000000000001" thickBot="1" x14ac:dyDescent="0.4">
      <c r="B41" s="839"/>
      <c r="C41" s="840"/>
      <c r="D41" s="309" t="s">
        <v>14</v>
      </c>
      <c r="E41" s="321"/>
      <c r="F41" s="314"/>
      <c r="G41" s="312"/>
      <c r="H41" s="313"/>
      <c r="I41" s="304" t="str">
        <f t="shared" si="4"/>
        <v/>
      </c>
      <c r="J41" s="305"/>
      <c r="K41" s="306" t="str">
        <f t="shared" si="3"/>
        <v/>
      </c>
      <c r="L41" s="318" t="str">
        <f t="shared" si="5"/>
        <v/>
      </c>
      <c r="M41" s="319" t="str">
        <f t="shared" si="6"/>
        <v/>
      </c>
      <c r="N41" s="844"/>
      <c r="O41" s="308"/>
    </row>
    <row r="42" spans="2:24" ht="18.600000000000001" thickBot="1" x14ac:dyDescent="0.4">
      <c r="B42" s="837">
        <v>46266</v>
      </c>
      <c r="C42" s="838"/>
      <c r="D42" s="299" t="s">
        <v>13</v>
      </c>
      <c r="E42" s="335"/>
      <c r="F42" s="336"/>
      <c r="G42" s="337"/>
      <c r="H42" s="338"/>
      <c r="I42" s="304" t="str">
        <f t="shared" si="4"/>
        <v/>
      </c>
      <c r="J42" s="305"/>
      <c r="K42" s="306" t="str">
        <f t="shared" si="3"/>
        <v/>
      </c>
      <c r="L42" s="307" t="str">
        <f t="shared" si="5"/>
        <v/>
      </c>
      <c r="M42" s="307" t="str">
        <f t="shared" si="6"/>
        <v/>
      </c>
      <c r="N42" s="843">
        <f t="shared" ref="N42" si="16">SUM(L42:L43)</f>
        <v>0</v>
      </c>
      <c r="O42" s="308"/>
    </row>
    <row r="43" spans="2:24" ht="18.600000000000001" thickBot="1" x14ac:dyDescent="0.4">
      <c r="B43" s="839"/>
      <c r="C43" s="840"/>
      <c r="D43" s="309" t="s">
        <v>14</v>
      </c>
      <c r="E43" s="321"/>
      <c r="F43" s="314"/>
      <c r="G43" s="312"/>
      <c r="H43" s="313"/>
      <c r="I43" s="304" t="str">
        <f t="shared" si="4"/>
        <v/>
      </c>
      <c r="J43" s="305"/>
      <c r="K43" s="306" t="str">
        <f t="shared" si="3"/>
        <v/>
      </c>
      <c r="L43" s="318" t="str">
        <f t="shared" si="5"/>
        <v/>
      </c>
      <c r="M43" s="319" t="str">
        <f t="shared" si="6"/>
        <v/>
      </c>
      <c r="N43" s="844"/>
      <c r="O43" s="308"/>
    </row>
    <row r="44" spans="2:24" ht="18.600000000000001" thickBot="1" x14ac:dyDescent="0.4">
      <c r="B44" s="837">
        <v>46267</v>
      </c>
      <c r="C44" s="838"/>
      <c r="D44" s="299" t="s">
        <v>13</v>
      </c>
      <c r="E44" s="335"/>
      <c r="F44" s="336"/>
      <c r="G44" s="337"/>
      <c r="H44" s="338"/>
      <c r="I44" s="304" t="str">
        <f t="shared" si="4"/>
        <v/>
      </c>
      <c r="J44" s="305"/>
      <c r="K44" s="306" t="str">
        <f t="shared" si="3"/>
        <v/>
      </c>
      <c r="L44" s="307" t="str">
        <f t="shared" si="5"/>
        <v/>
      </c>
      <c r="M44" s="307" t="str">
        <f t="shared" si="6"/>
        <v/>
      </c>
      <c r="N44" s="843">
        <f t="shared" ref="N44" si="17">SUM(L44:L45)</f>
        <v>0</v>
      </c>
      <c r="O44" s="308"/>
    </row>
    <row r="45" spans="2:24" ht="18.600000000000001" thickBot="1" x14ac:dyDescent="0.4">
      <c r="B45" s="839"/>
      <c r="C45" s="840"/>
      <c r="D45" s="309" t="s">
        <v>14</v>
      </c>
      <c r="E45" s="321"/>
      <c r="F45" s="314"/>
      <c r="G45" s="312"/>
      <c r="H45" s="313"/>
      <c r="I45" s="304" t="str">
        <f t="shared" si="4"/>
        <v/>
      </c>
      <c r="J45" s="305"/>
      <c r="K45" s="306" t="str">
        <f t="shared" si="3"/>
        <v/>
      </c>
      <c r="L45" s="339" t="str">
        <f t="shared" si="5"/>
        <v/>
      </c>
      <c r="M45" s="340" t="str">
        <f>IFERROR((K45/12),"")</f>
        <v/>
      </c>
      <c r="N45" s="844"/>
      <c r="O45" s="308"/>
    </row>
    <row r="46" spans="2:24" ht="18.600000000000001" thickBot="1" x14ac:dyDescent="0.4">
      <c r="B46" s="837">
        <v>46268</v>
      </c>
      <c r="C46" s="838"/>
      <c r="D46" s="299" t="s">
        <v>13</v>
      </c>
      <c r="E46" s="335"/>
      <c r="F46" s="336"/>
      <c r="G46" s="337"/>
      <c r="H46" s="338"/>
      <c r="I46" s="304" t="str">
        <f t="shared" si="4"/>
        <v/>
      </c>
      <c r="J46" s="305"/>
      <c r="K46" s="306" t="str">
        <f t="shared" si="3"/>
        <v/>
      </c>
      <c r="L46" s="307" t="str">
        <f t="shared" si="5"/>
        <v/>
      </c>
      <c r="M46" s="307" t="str">
        <f t="shared" si="6"/>
        <v/>
      </c>
      <c r="N46" s="843">
        <f t="shared" ref="N46:N58" si="18">SUM(L46:L47)</f>
        <v>0</v>
      </c>
      <c r="O46" s="308"/>
    </row>
    <row r="47" spans="2:24" ht="18.600000000000001" thickBot="1" x14ac:dyDescent="0.4">
      <c r="B47" s="839"/>
      <c r="C47" s="840"/>
      <c r="D47" s="309" t="s">
        <v>14</v>
      </c>
      <c r="E47" s="321"/>
      <c r="F47" s="314"/>
      <c r="G47" s="312"/>
      <c r="H47" s="313"/>
      <c r="I47" s="304" t="str">
        <f t="shared" si="4"/>
        <v/>
      </c>
      <c r="J47" s="305"/>
      <c r="K47" s="306" t="str">
        <f t="shared" si="3"/>
        <v/>
      </c>
      <c r="L47" s="318" t="str">
        <f t="shared" si="5"/>
        <v/>
      </c>
      <c r="M47" s="319" t="str">
        <f t="shared" si="6"/>
        <v/>
      </c>
      <c r="N47" s="844"/>
      <c r="O47" s="308"/>
    </row>
    <row r="48" spans="2:24" ht="18.600000000000001" thickBot="1" x14ac:dyDescent="0.4">
      <c r="B48" s="837">
        <v>46269</v>
      </c>
      <c r="C48" s="838"/>
      <c r="D48" s="299" t="s">
        <v>13</v>
      </c>
      <c r="E48" s="335"/>
      <c r="F48" s="336"/>
      <c r="G48" s="337"/>
      <c r="H48" s="338"/>
      <c r="I48" s="304" t="str">
        <f t="shared" si="4"/>
        <v/>
      </c>
      <c r="J48" s="305"/>
      <c r="K48" s="306" t="str">
        <f t="shared" si="3"/>
        <v/>
      </c>
      <c r="L48" s="307" t="str">
        <f t="shared" si="5"/>
        <v/>
      </c>
      <c r="M48" s="307" t="str">
        <f>IFERROR((K48/12),"")</f>
        <v/>
      </c>
      <c r="N48" s="843">
        <f t="shared" si="18"/>
        <v>0</v>
      </c>
      <c r="O48" s="308"/>
    </row>
    <row r="49" spans="2:22" ht="18.600000000000001" thickBot="1" x14ac:dyDescent="0.4">
      <c r="B49" s="839"/>
      <c r="C49" s="840"/>
      <c r="D49" s="309" t="s">
        <v>14</v>
      </c>
      <c r="E49" s="321"/>
      <c r="F49" s="314"/>
      <c r="G49" s="312"/>
      <c r="H49" s="313"/>
      <c r="I49" s="304" t="str">
        <f t="shared" si="4"/>
        <v/>
      </c>
      <c r="J49" s="305"/>
      <c r="K49" s="306" t="str">
        <f t="shared" si="3"/>
        <v/>
      </c>
      <c r="L49" s="318" t="str">
        <f t="shared" si="5"/>
        <v/>
      </c>
      <c r="M49" s="319" t="str">
        <f>IFERROR((K49/12),"")</f>
        <v/>
      </c>
      <c r="N49" s="844"/>
      <c r="O49" s="308"/>
    </row>
    <row r="50" spans="2:22" ht="18.600000000000001" thickBot="1" x14ac:dyDescent="0.4">
      <c r="B50" s="837">
        <v>46270</v>
      </c>
      <c r="C50" s="838"/>
      <c r="D50" s="299" t="s">
        <v>13</v>
      </c>
      <c r="E50" s="335"/>
      <c r="F50" s="336"/>
      <c r="G50" s="337"/>
      <c r="H50" s="341"/>
      <c r="I50" s="304" t="str">
        <f t="shared" si="4"/>
        <v/>
      </c>
      <c r="J50" s="305"/>
      <c r="K50" s="306" t="str">
        <f t="shared" si="3"/>
        <v/>
      </c>
      <c r="L50" s="307" t="str">
        <f t="shared" si="5"/>
        <v/>
      </c>
      <c r="M50" s="307" t="str">
        <f t="shared" si="6"/>
        <v/>
      </c>
      <c r="N50" s="843">
        <f t="shared" si="18"/>
        <v>0</v>
      </c>
      <c r="O50" s="308"/>
      <c r="R50" s="1">
        <f>180/12</f>
        <v>15</v>
      </c>
    </row>
    <row r="51" spans="2:22" ht="18.600000000000001" thickBot="1" x14ac:dyDescent="0.4">
      <c r="B51" s="839"/>
      <c r="C51" s="840"/>
      <c r="D51" s="309" t="s">
        <v>14</v>
      </c>
      <c r="E51" s="321"/>
      <c r="F51" s="314"/>
      <c r="G51" s="312"/>
      <c r="H51" s="313"/>
      <c r="I51" s="304" t="str">
        <f t="shared" si="4"/>
        <v/>
      </c>
      <c r="J51" s="305"/>
      <c r="K51" s="306" t="str">
        <f t="shared" si="3"/>
        <v/>
      </c>
      <c r="L51" s="318" t="str">
        <f t="shared" si="5"/>
        <v/>
      </c>
      <c r="M51" s="319" t="str">
        <f t="shared" si="6"/>
        <v/>
      </c>
      <c r="N51" s="844"/>
      <c r="O51" s="308"/>
      <c r="P51" s="4"/>
    </row>
    <row r="52" spans="2:22" ht="18.600000000000001" thickBot="1" x14ac:dyDescent="0.4">
      <c r="B52" s="837">
        <v>46271</v>
      </c>
      <c r="C52" s="838"/>
      <c r="D52" s="299" t="s">
        <v>13</v>
      </c>
      <c r="E52" s="335"/>
      <c r="F52" s="336"/>
      <c r="G52" s="337"/>
      <c r="H52" s="338"/>
      <c r="I52" s="304" t="str">
        <f t="shared" si="4"/>
        <v/>
      </c>
      <c r="J52" s="305"/>
      <c r="K52" s="306" t="str">
        <f t="shared" si="3"/>
        <v/>
      </c>
      <c r="L52" s="307" t="str">
        <f t="shared" si="5"/>
        <v/>
      </c>
      <c r="M52" s="307" t="str">
        <f t="shared" si="6"/>
        <v/>
      </c>
      <c r="N52" s="843">
        <f t="shared" si="18"/>
        <v>0</v>
      </c>
      <c r="O52" s="308"/>
    </row>
    <row r="53" spans="2:22" ht="18.600000000000001" thickBot="1" x14ac:dyDescent="0.4">
      <c r="B53" s="839"/>
      <c r="C53" s="840"/>
      <c r="D53" s="309" t="s">
        <v>14</v>
      </c>
      <c r="E53" s="321"/>
      <c r="F53" s="314"/>
      <c r="G53" s="312"/>
      <c r="H53" s="313"/>
      <c r="I53" s="304" t="str">
        <f>IFERROR((VLOOKUP(G53,S$6:T$8,2,FALSE)),"")</f>
        <v/>
      </c>
      <c r="J53" s="305"/>
      <c r="K53" s="306" t="str">
        <f>IFERROR((F53*I53*J53),"")</f>
        <v/>
      </c>
      <c r="L53" s="318" t="str">
        <f t="shared" si="5"/>
        <v/>
      </c>
      <c r="M53" s="319" t="str">
        <f t="shared" si="6"/>
        <v/>
      </c>
      <c r="N53" s="844"/>
      <c r="O53" s="308"/>
      <c r="R53" s="1">
        <f>R50*4</f>
        <v>60</v>
      </c>
    </row>
    <row r="54" spans="2:22" ht="18.600000000000001" thickBot="1" x14ac:dyDescent="0.4">
      <c r="B54" s="837">
        <v>46272</v>
      </c>
      <c r="C54" s="838"/>
      <c r="D54" s="299" t="s">
        <v>13</v>
      </c>
      <c r="E54" s="321"/>
      <c r="F54" s="314"/>
      <c r="G54" s="337"/>
      <c r="H54" s="338"/>
      <c r="I54" s="304" t="str">
        <f t="shared" si="4"/>
        <v/>
      </c>
      <c r="J54" s="305"/>
      <c r="K54" s="306" t="str">
        <f t="shared" si="3"/>
        <v/>
      </c>
      <c r="L54" s="307" t="str">
        <f t="shared" si="5"/>
        <v/>
      </c>
      <c r="M54" s="307" t="str">
        <f t="shared" si="6"/>
        <v/>
      </c>
      <c r="N54" s="843">
        <f t="shared" si="18"/>
        <v>0</v>
      </c>
      <c r="O54" s="308"/>
    </row>
    <row r="55" spans="2:22" ht="18.600000000000001" thickBot="1" x14ac:dyDescent="0.4">
      <c r="B55" s="839"/>
      <c r="C55" s="840"/>
      <c r="D55" s="309" t="s">
        <v>14</v>
      </c>
      <c r="E55" s="321"/>
      <c r="F55" s="314"/>
      <c r="G55" s="312"/>
      <c r="H55" s="313"/>
      <c r="I55" s="304" t="str">
        <f t="shared" si="4"/>
        <v/>
      </c>
      <c r="J55" s="305"/>
      <c r="K55" s="306" t="str">
        <f t="shared" si="3"/>
        <v/>
      </c>
      <c r="L55" s="318" t="str">
        <f t="shared" si="5"/>
        <v/>
      </c>
      <c r="M55" s="319" t="str">
        <f t="shared" si="6"/>
        <v/>
      </c>
      <c r="N55" s="844"/>
      <c r="O55" s="308"/>
      <c r="R55" s="1">
        <f>R53*1.7</f>
        <v>102</v>
      </c>
      <c r="S55" s="1">
        <v>9570</v>
      </c>
    </row>
    <row r="56" spans="2:22" ht="18.600000000000001" thickBot="1" x14ac:dyDescent="0.4">
      <c r="B56" s="837">
        <v>46273</v>
      </c>
      <c r="C56" s="838"/>
      <c r="D56" s="299" t="s">
        <v>13</v>
      </c>
      <c r="E56" s="335"/>
      <c r="F56" s="336"/>
      <c r="G56" s="337"/>
      <c r="H56" s="338"/>
      <c r="I56" s="304" t="str">
        <f t="shared" si="4"/>
        <v/>
      </c>
      <c r="J56" s="305"/>
      <c r="K56" s="306" t="str">
        <f t="shared" si="3"/>
        <v/>
      </c>
      <c r="L56" s="307" t="str">
        <f t="shared" si="5"/>
        <v/>
      </c>
      <c r="M56" s="307" t="str">
        <f t="shared" si="6"/>
        <v/>
      </c>
      <c r="N56" s="843">
        <f t="shared" si="18"/>
        <v>0</v>
      </c>
      <c r="O56" s="308"/>
      <c r="R56" s="4"/>
      <c r="S56" s="1">
        <v>9795</v>
      </c>
      <c r="U56" s="2"/>
      <c r="V56" s="2"/>
    </row>
    <row r="57" spans="2:22" ht="18.600000000000001" thickBot="1" x14ac:dyDescent="0.4">
      <c r="B57" s="839"/>
      <c r="C57" s="840"/>
      <c r="D57" s="309" t="s">
        <v>14</v>
      </c>
      <c r="E57" s="321"/>
      <c r="F57" s="314"/>
      <c r="G57" s="312"/>
      <c r="H57" s="313"/>
      <c r="I57" s="304" t="str">
        <f t="shared" si="4"/>
        <v/>
      </c>
      <c r="J57" s="305"/>
      <c r="K57" s="306" t="str">
        <f t="shared" si="3"/>
        <v/>
      </c>
      <c r="L57" s="318" t="str">
        <f t="shared" si="5"/>
        <v/>
      </c>
      <c r="M57" s="319" t="str">
        <f t="shared" si="6"/>
        <v/>
      </c>
      <c r="N57" s="844"/>
      <c r="O57" s="308"/>
      <c r="Q57" s="4"/>
      <c r="R57" s="4"/>
      <c r="S57" s="1">
        <v>1190</v>
      </c>
    </row>
    <row r="58" spans="2:22" ht="18.600000000000001" thickBot="1" x14ac:dyDescent="0.4">
      <c r="B58" s="837">
        <v>46274</v>
      </c>
      <c r="C58" s="838"/>
      <c r="D58" s="299" t="s">
        <v>13</v>
      </c>
      <c r="E58" s="335"/>
      <c r="F58" s="336"/>
      <c r="G58" s="337"/>
      <c r="H58" s="338"/>
      <c r="I58" s="304" t="str">
        <f t="shared" si="4"/>
        <v/>
      </c>
      <c r="J58" s="305"/>
      <c r="K58" s="306" t="str">
        <f t="shared" si="3"/>
        <v/>
      </c>
      <c r="L58" s="307" t="str">
        <f t="shared" si="5"/>
        <v/>
      </c>
      <c r="M58" s="307" t="str">
        <f t="shared" si="6"/>
        <v/>
      </c>
      <c r="N58" s="843">
        <f t="shared" si="18"/>
        <v>0</v>
      </c>
      <c r="O58" s="308"/>
      <c r="P58" s="11"/>
      <c r="S58" s="1">
        <f>S56-S57</f>
        <v>8605</v>
      </c>
    </row>
    <row r="59" spans="2:22" ht="18.600000000000001" thickBot="1" x14ac:dyDescent="0.4">
      <c r="B59" s="839"/>
      <c r="C59" s="840"/>
      <c r="D59" s="309" t="s">
        <v>14</v>
      </c>
      <c r="E59" s="321"/>
      <c r="F59" s="314"/>
      <c r="G59" s="312"/>
      <c r="H59" s="338"/>
      <c r="I59" s="304" t="str">
        <f t="shared" si="4"/>
        <v/>
      </c>
      <c r="J59" s="305"/>
      <c r="K59" s="322" t="str">
        <f t="shared" si="3"/>
        <v/>
      </c>
      <c r="L59" s="318" t="str">
        <f t="shared" si="5"/>
        <v/>
      </c>
      <c r="M59" s="319" t="str">
        <f t="shared" si="6"/>
        <v/>
      </c>
      <c r="N59" s="844"/>
      <c r="O59" s="308"/>
      <c r="P59" s="4"/>
      <c r="S59" s="2">
        <f>(S55-S58)/S55</f>
        <v>0.10083594566353186</v>
      </c>
    </row>
    <row r="60" spans="2:22" ht="18.600000000000001" thickBot="1" x14ac:dyDescent="0.4">
      <c r="B60" s="837">
        <v>46275</v>
      </c>
      <c r="C60" s="838"/>
      <c r="D60" s="299" t="s">
        <v>13</v>
      </c>
      <c r="E60" s="335" t="s">
        <v>170</v>
      </c>
      <c r="F60" s="336">
        <v>113</v>
      </c>
      <c r="G60" s="337" t="s">
        <v>441</v>
      </c>
      <c r="H60" s="338">
        <v>0.1</v>
      </c>
      <c r="I60" s="304">
        <f t="shared" si="4"/>
        <v>0.5</v>
      </c>
      <c r="J60" s="305">
        <v>1.32</v>
      </c>
      <c r="K60" s="306">
        <f t="shared" si="3"/>
        <v>74.58</v>
      </c>
      <c r="L60" s="307">
        <f t="shared" si="5"/>
        <v>67.122</v>
      </c>
      <c r="M60" s="332">
        <f>IFERROR((K60/12),"")</f>
        <v>6.2149999999999999</v>
      </c>
      <c r="N60" s="841">
        <f>SUM(L60:L61)</f>
        <v>73.774799999999999</v>
      </c>
      <c r="O60" s="308"/>
      <c r="P60" s="11"/>
    </row>
    <row r="61" spans="2:22" ht="18.600000000000001" thickBot="1" x14ac:dyDescent="0.4">
      <c r="B61" s="839"/>
      <c r="C61" s="840"/>
      <c r="D61" s="309" t="s">
        <v>14</v>
      </c>
      <c r="E61" s="321" t="s">
        <v>170</v>
      </c>
      <c r="F61" s="314">
        <v>2</v>
      </c>
      <c r="G61" s="312" t="s">
        <v>16</v>
      </c>
      <c r="H61" s="313">
        <v>0.1</v>
      </c>
      <c r="I61" s="304">
        <f t="shared" si="4"/>
        <v>2.8</v>
      </c>
      <c r="J61" s="305">
        <v>1.32</v>
      </c>
      <c r="K61" s="322">
        <f t="shared" si="3"/>
        <v>7.3919999999999995</v>
      </c>
      <c r="L61" s="318">
        <f t="shared" si="5"/>
        <v>6.6528</v>
      </c>
      <c r="M61" s="333">
        <f t="shared" si="6"/>
        <v>0.61599999999999999</v>
      </c>
      <c r="N61" s="842"/>
      <c r="O61" s="308"/>
      <c r="P61" s="11"/>
    </row>
    <row r="62" spans="2:22" ht="18.600000000000001" thickBot="1" x14ac:dyDescent="0.4">
      <c r="B62" s="837">
        <v>46276</v>
      </c>
      <c r="C62" s="838"/>
      <c r="D62" s="299" t="s">
        <v>13</v>
      </c>
      <c r="E62" s="335"/>
      <c r="F62" s="336"/>
      <c r="G62" s="337"/>
      <c r="H62" s="338"/>
      <c r="I62" s="304" t="str">
        <f t="shared" si="4"/>
        <v/>
      </c>
      <c r="J62" s="305"/>
      <c r="K62" s="306" t="str">
        <f t="shared" ref="K62:K63" si="19">IFERROR((F62*I62*J62),"")</f>
        <v/>
      </c>
      <c r="L62" s="307" t="str">
        <f t="shared" ref="L62:L63" si="20">IFERROR(((F62*I62)*J62)*(1-H62),"")</f>
        <v/>
      </c>
      <c r="M62" s="332" t="str">
        <f t="shared" ref="M62:M63" si="21">IFERROR((K62/12),"")</f>
        <v/>
      </c>
      <c r="N62" s="841">
        <f>SUM(L62:L63)</f>
        <v>0</v>
      </c>
      <c r="O62" s="308"/>
      <c r="P62" s="11"/>
    </row>
    <row r="63" spans="2:22" ht="18.600000000000001" thickBot="1" x14ac:dyDescent="0.4">
      <c r="B63" s="839"/>
      <c r="C63" s="840"/>
      <c r="D63" s="309" t="s">
        <v>14</v>
      </c>
      <c r="E63" s="321"/>
      <c r="F63" s="314"/>
      <c r="G63" s="312"/>
      <c r="H63" s="313"/>
      <c r="I63" s="304" t="str">
        <f t="shared" si="4"/>
        <v/>
      </c>
      <c r="J63" s="305"/>
      <c r="K63" s="322" t="str">
        <f t="shared" si="19"/>
        <v/>
      </c>
      <c r="L63" s="318" t="str">
        <f t="shared" si="20"/>
        <v/>
      </c>
      <c r="M63" s="333" t="str">
        <f t="shared" si="21"/>
        <v/>
      </c>
      <c r="N63" s="842"/>
      <c r="O63" s="308"/>
      <c r="P63" s="11"/>
    </row>
    <row r="64" spans="2:22" ht="18.600000000000001" thickBot="1" x14ac:dyDescent="0.4">
      <c r="B64" s="837">
        <v>46277</v>
      </c>
      <c r="C64" s="838"/>
      <c r="D64" s="299" t="s">
        <v>13</v>
      </c>
      <c r="E64" s="335" t="s">
        <v>170</v>
      </c>
      <c r="F64" s="336">
        <v>329</v>
      </c>
      <c r="G64" s="337" t="s">
        <v>441</v>
      </c>
      <c r="H64" s="338">
        <v>0.1</v>
      </c>
      <c r="I64" s="304">
        <f t="shared" si="4"/>
        <v>0.5</v>
      </c>
      <c r="J64" s="305">
        <v>1.32</v>
      </c>
      <c r="K64" s="306">
        <f t="shared" ref="K64:K65" si="22">IFERROR((F64*I64*J64),"")</f>
        <v>217.14000000000001</v>
      </c>
      <c r="L64" s="307">
        <f t="shared" ref="L64:L65" si="23">IFERROR(((F64*I64)*J64)*(1-H64),"")</f>
        <v>195.42600000000002</v>
      </c>
      <c r="M64" s="332">
        <f t="shared" ref="M64:M65" si="24">IFERROR((K64/12),"")</f>
        <v>18.095000000000002</v>
      </c>
      <c r="N64" s="841">
        <f>SUM(L64:L65)</f>
        <v>333.82800000000003</v>
      </c>
      <c r="O64" s="308"/>
      <c r="P64" s="11"/>
    </row>
    <row r="65" spans="2:16" ht="18.600000000000001" thickBot="1" x14ac:dyDescent="0.4">
      <c r="B65" s="839"/>
      <c r="C65" s="840"/>
      <c r="D65" s="309" t="s">
        <v>14</v>
      </c>
      <c r="E65" s="321" t="s">
        <v>591</v>
      </c>
      <c r="F65" s="314">
        <v>233</v>
      </c>
      <c r="G65" s="312" t="s">
        <v>441</v>
      </c>
      <c r="H65" s="313">
        <v>0.1</v>
      </c>
      <c r="I65" s="304">
        <f t="shared" si="4"/>
        <v>0.5</v>
      </c>
      <c r="J65" s="305">
        <v>1.32</v>
      </c>
      <c r="K65" s="334">
        <f t="shared" si="22"/>
        <v>153.78</v>
      </c>
      <c r="L65" s="318">
        <f t="shared" si="23"/>
        <v>138.40200000000002</v>
      </c>
      <c r="M65" s="333">
        <f t="shared" si="24"/>
        <v>12.815</v>
      </c>
      <c r="N65" s="842"/>
      <c r="O65" s="308"/>
      <c r="P65" s="11"/>
    </row>
    <row r="66" spans="2:16" ht="18.600000000000001" thickBot="1" x14ac:dyDescent="0.4">
      <c r="B66" s="837">
        <v>46278</v>
      </c>
      <c r="C66" s="838"/>
      <c r="D66" s="299" t="s">
        <v>13</v>
      </c>
      <c r="E66" s="335"/>
      <c r="F66" s="336"/>
      <c r="G66" s="337"/>
      <c r="H66" s="338"/>
      <c r="I66" s="304" t="str">
        <f t="shared" si="4"/>
        <v/>
      </c>
      <c r="J66" s="305"/>
      <c r="K66" s="306" t="str">
        <f t="shared" ref="K66:K67" si="25">IFERROR((F66*I66*J66),"")</f>
        <v/>
      </c>
      <c r="L66" s="307" t="str">
        <f t="shared" ref="L66:L67" si="26">IFERROR(((F66*I66)*J66)*(1-H66),"")</f>
        <v/>
      </c>
      <c r="M66" s="332" t="str">
        <f t="shared" ref="M66:M67" si="27">IFERROR((K66/12),"")</f>
        <v/>
      </c>
      <c r="N66" s="841">
        <f>SUM(L66:L67)</f>
        <v>0</v>
      </c>
      <c r="O66" s="308"/>
      <c r="P66" s="11"/>
    </row>
    <row r="67" spans="2:16" ht="18.600000000000001" thickBot="1" x14ac:dyDescent="0.4">
      <c r="B67" s="839"/>
      <c r="C67" s="840"/>
      <c r="D67" s="309" t="s">
        <v>14</v>
      </c>
      <c r="E67" s="321"/>
      <c r="F67" s="314"/>
      <c r="G67" s="312"/>
      <c r="H67" s="313"/>
      <c r="I67" s="304" t="str">
        <f t="shared" si="4"/>
        <v/>
      </c>
      <c r="J67" s="305"/>
      <c r="K67" s="334" t="str">
        <f t="shared" si="25"/>
        <v/>
      </c>
      <c r="L67" s="318" t="str">
        <f t="shared" si="26"/>
        <v/>
      </c>
      <c r="M67" s="333" t="str">
        <f t="shared" si="27"/>
        <v/>
      </c>
      <c r="N67" s="842"/>
      <c r="O67" s="308"/>
      <c r="P67" s="11"/>
    </row>
    <row r="68" spans="2:16" ht="18.600000000000001" thickBot="1" x14ac:dyDescent="0.4">
      <c r="B68" s="837">
        <v>46279</v>
      </c>
      <c r="C68" s="838"/>
      <c r="D68" s="299" t="s">
        <v>13</v>
      </c>
      <c r="E68" s="335"/>
      <c r="F68" s="336"/>
      <c r="G68" s="337"/>
      <c r="H68" s="338"/>
      <c r="I68" s="304" t="str">
        <f t="shared" si="4"/>
        <v/>
      </c>
      <c r="J68" s="305"/>
      <c r="K68" s="306" t="str">
        <f t="shared" ref="K68:K75" si="28">IFERROR((F68*I68*J68),"")</f>
        <v/>
      </c>
      <c r="L68" s="307" t="str">
        <f t="shared" ref="L68:L75" si="29">IFERROR(((F68*I68)*J68)*(1-H68),"")</f>
        <v/>
      </c>
      <c r="M68" s="332" t="str">
        <f t="shared" ref="M68:M75" si="30">IFERROR((K68/12),"")</f>
        <v/>
      </c>
      <c r="N68" s="841">
        <f t="shared" ref="N68" si="31">SUM(L68:L69)</f>
        <v>0</v>
      </c>
      <c r="O68" s="308"/>
      <c r="P68" s="11"/>
    </row>
    <row r="69" spans="2:16" ht="18.600000000000001" thickBot="1" x14ac:dyDescent="0.4">
      <c r="B69" s="839"/>
      <c r="C69" s="840"/>
      <c r="D69" s="309" t="s">
        <v>14</v>
      </c>
      <c r="E69" s="321"/>
      <c r="F69" s="314"/>
      <c r="G69" s="312"/>
      <c r="H69" s="313"/>
      <c r="I69" s="304" t="str">
        <f t="shared" si="4"/>
        <v/>
      </c>
      <c r="J69" s="305"/>
      <c r="K69" s="334" t="str">
        <f t="shared" si="28"/>
        <v/>
      </c>
      <c r="L69" s="318" t="str">
        <f t="shared" si="29"/>
        <v/>
      </c>
      <c r="M69" s="333" t="str">
        <f t="shared" si="30"/>
        <v/>
      </c>
      <c r="N69" s="842"/>
      <c r="O69" s="308"/>
      <c r="P69" s="11"/>
    </row>
    <row r="70" spans="2:16" ht="18.600000000000001" thickBot="1" x14ac:dyDescent="0.4">
      <c r="B70" s="837">
        <v>46280</v>
      </c>
      <c r="C70" s="838"/>
      <c r="D70" s="299" t="s">
        <v>13</v>
      </c>
      <c r="E70" s="335"/>
      <c r="F70" s="336"/>
      <c r="G70" s="337"/>
      <c r="H70" s="338"/>
      <c r="I70" s="304" t="str">
        <f t="shared" si="4"/>
        <v/>
      </c>
      <c r="J70" s="305"/>
      <c r="K70" s="306" t="str">
        <f t="shared" si="28"/>
        <v/>
      </c>
      <c r="L70" s="307" t="str">
        <f t="shared" si="29"/>
        <v/>
      </c>
      <c r="M70" s="332" t="str">
        <f t="shared" si="30"/>
        <v/>
      </c>
      <c r="N70" s="841">
        <f t="shared" ref="N70" si="32">SUM(L70:L71)</f>
        <v>0</v>
      </c>
      <c r="O70" s="308"/>
      <c r="P70" s="11"/>
    </row>
    <row r="71" spans="2:16" ht="18.600000000000001" thickBot="1" x14ac:dyDescent="0.4">
      <c r="B71" s="839"/>
      <c r="C71" s="840"/>
      <c r="D71" s="309" t="s">
        <v>14</v>
      </c>
      <c r="E71" s="321"/>
      <c r="F71" s="314"/>
      <c r="G71" s="312"/>
      <c r="H71" s="313"/>
      <c r="I71" s="304" t="str">
        <f t="shared" si="4"/>
        <v/>
      </c>
      <c r="J71" s="305"/>
      <c r="K71" s="334" t="str">
        <f t="shared" si="28"/>
        <v/>
      </c>
      <c r="L71" s="318" t="str">
        <f t="shared" si="29"/>
        <v/>
      </c>
      <c r="M71" s="333" t="str">
        <f t="shared" si="30"/>
        <v/>
      </c>
      <c r="N71" s="842"/>
      <c r="O71" s="308"/>
      <c r="P71" s="11"/>
    </row>
    <row r="72" spans="2:16" ht="18.600000000000001" thickBot="1" x14ac:dyDescent="0.4">
      <c r="B72" s="837">
        <v>46281</v>
      </c>
      <c r="C72" s="838"/>
      <c r="D72" s="299" t="s">
        <v>13</v>
      </c>
      <c r="E72" s="335"/>
      <c r="F72" s="336"/>
      <c r="G72" s="337"/>
      <c r="H72" s="338"/>
      <c r="I72" s="304" t="str">
        <f t="shared" si="4"/>
        <v/>
      </c>
      <c r="J72" s="305"/>
      <c r="K72" s="306" t="str">
        <f t="shared" si="28"/>
        <v/>
      </c>
      <c r="L72" s="307" t="str">
        <f t="shared" si="29"/>
        <v/>
      </c>
      <c r="M72" s="332" t="str">
        <f t="shared" si="30"/>
        <v/>
      </c>
      <c r="N72" s="841">
        <f t="shared" ref="N72" si="33">SUM(L72:L73)</f>
        <v>0</v>
      </c>
      <c r="O72" s="308"/>
      <c r="P72" s="11"/>
    </row>
    <row r="73" spans="2:16" ht="18.600000000000001" thickBot="1" x14ac:dyDescent="0.4">
      <c r="B73" s="839"/>
      <c r="C73" s="840"/>
      <c r="D73" s="309" t="s">
        <v>14</v>
      </c>
      <c r="E73" s="321"/>
      <c r="F73" s="314"/>
      <c r="G73" s="312"/>
      <c r="H73" s="313"/>
      <c r="I73" s="304" t="str">
        <f t="shared" si="4"/>
        <v/>
      </c>
      <c r="J73" s="305"/>
      <c r="K73" s="334" t="str">
        <f t="shared" si="28"/>
        <v/>
      </c>
      <c r="L73" s="318" t="str">
        <f t="shared" si="29"/>
        <v/>
      </c>
      <c r="M73" s="333" t="str">
        <f t="shared" si="30"/>
        <v/>
      </c>
      <c r="N73" s="842"/>
      <c r="O73" s="308"/>
      <c r="P73" s="11"/>
    </row>
    <row r="74" spans="2:16" ht="18.600000000000001" thickBot="1" x14ac:dyDescent="0.4">
      <c r="B74" s="837">
        <v>46282</v>
      </c>
      <c r="C74" s="838"/>
      <c r="D74" s="299" t="s">
        <v>13</v>
      </c>
      <c r="E74" s="335"/>
      <c r="F74" s="336"/>
      <c r="G74" s="337"/>
      <c r="H74" s="338"/>
      <c r="I74" s="304" t="str">
        <f t="shared" si="4"/>
        <v/>
      </c>
      <c r="J74" s="305"/>
      <c r="K74" s="306" t="str">
        <f t="shared" si="28"/>
        <v/>
      </c>
      <c r="L74" s="307" t="str">
        <f t="shared" si="29"/>
        <v/>
      </c>
      <c r="M74" s="332" t="str">
        <f t="shared" si="30"/>
        <v/>
      </c>
      <c r="N74" s="841">
        <f t="shared" ref="N74" si="34">SUM(L74:L75)</f>
        <v>0</v>
      </c>
      <c r="O74" s="308"/>
      <c r="P74" s="11"/>
    </row>
    <row r="75" spans="2:16" ht="18.600000000000001" thickBot="1" x14ac:dyDescent="0.4">
      <c r="B75" s="839"/>
      <c r="C75" s="840"/>
      <c r="D75" s="309" t="s">
        <v>14</v>
      </c>
      <c r="E75" s="321"/>
      <c r="F75" s="314"/>
      <c r="G75" s="312"/>
      <c r="H75" s="313"/>
      <c r="I75" s="304" t="str">
        <f t="shared" si="4"/>
        <v/>
      </c>
      <c r="J75" s="305"/>
      <c r="K75" s="334" t="str">
        <f t="shared" si="28"/>
        <v/>
      </c>
      <c r="L75" s="318" t="str">
        <f t="shared" si="29"/>
        <v/>
      </c>
      <c r="M75" s="333" t="str">
        <f t="shared" si="30"/>
        <v/>
      </c>
      <c r="N75" s="842"/>
      <c r="O75" s="308"/>
      <c r="P75" s="11"/>
    </row>
    <row r="76" spans="2:16" ht="18.600000000000001" thickBot="1" x14ac:dyDescent="0.4">
      <c r="B76" s="837">
        <v>46283</v>
      </c>
      <c r="C76" s="838"/>
      <c r="D76" s="299" t="s">
        <v>13</v>
      </c>
      <c r="E76" s="335"/>
      <c r="F76" s="336"/>
      <c r="G76" s="337"/>
      <c r="H76" s="338"/>
      <c r="I76" s="304" t="str">
        <f t="shared" si="4"/>
        <v/>
      </c>
      <c r="J76" s="305"/>
      <c r="K76" s="306" t="str">
        <f t="shared" ref="K76:K79" si="35">IFERROR((F76*I76*J76),"")</f>
        <v/>
      </c>
      <c r="L76" s="307" t="str">
        <f>IFERROR(((F76*I76)*J76)*(1-H76),"")</f>
        <v/>
      </c>
      <c r="M76" s="332" t="str">
        <f t="shared" ref="M76:M79" si="36">IFERROR((K76/12),"")</f>
        <v/>
      </c>
      <c r="N76" s="841">
        <f>SUM(L76:L77)</f>
        <v>0</v>
      </c>
      <c r="O76" s="308"/>
      <c r="P76" s="11"/>
    </row>
    <row r="77" spans="2:16" ht="18.600000000000001" thickBot="1" x14ac:dyDescent="0.4">
      <c r="B77" s="839"/>
      <c r="C77" s="840"/>
      <c r="D77" s="309" t="s">
        <v>14</v>
      </c>
      <c r="E77" s="321"/>
      <c r="F77" s="314"/>
      <c r="G77" s="312"/>
      <c r="H77" s="313"/>
      <c r="I77" s="304" t="str">
        <f t="shared" si="4"/>
        <v/>
      </c>
      <c r="J77" s="305"/>
      <c r="K77" s="334" t="str">
        <f t="shared" si="35"/>
        <v/>
      </c>
      <c r="L77" s="318" t="str">
        <f t="shared" ref="L77:L79" si="37">IFERROR(((F77*I77)*J77)*(1-H77),"")</f>
        <v/>
      </c>
      <c r="M77" s="333" t="str">
        <f t="shared" si="36"/>
        <v/>
      </c>
      <c r="N77" s="842"/>
      <c r="O77" s="308"/>
      <c r="P77" s="11"/>
    </row>
    <row r="78" spans="2:16" ht="18.600000000000001" thickBot="1" x14ac:dyDescent="0.4">
      <c r="B78" s="837">
        <v>46284</v>
      </c>
      <c r="C78" s="838"/>
      <c r="D78" s="299" t="s">
        <v>13</v>
      </c>
      <c r="E78" s="335"/>
      <c r="F78" s="336"/>
      <c r="G78" s="337"/>
      <c r="H78" s="338"/>
      <c r="I78" s="304" t="str">
        <f t="shared" si="4"/>
        <v/>
      </c>
      <c r="J78" s="305"/>
      <c r="K78" s="306" t="str">
        <f t="shared" si="35"/>
        <v/>
      </c>
      <c r="L78" s="307" t="str">
        <f t="shared" si="37"/>
        <v/>
      </c>
      <c r="M78" s="332" t="str">
        <f t="shared" si="36"/>
        <v/>
      </c>
      <c r="N78" s="841">
        <f t="shared" ref="N78" si="38">SUM(L78:L79)</f>
        <v>0</v>
      </c>
      <c r="O78" s="308"/>
      <c r="P78" s="11"/>
    </row>
    <row r="79" spans="2:16" ht="18.600000000000001" thickBot="1" x14ac:dyDescent="0.4">
      <c r="B79" s="839"/>
      <c r="C79" s="840"/>
      <c r="D79" s="309" t="s">
        <v>14</v>
      </c>
      <c r="E79" s="321"/>
      <c r="F79" s="314"/>
      <c r="G79" s="312"/>
      <c r="H79" s="313"/>
      <c r="I79" s="304" t="str">
        <f t="shared" si="4"/>
        <v/>
      </c>
      <c r="J79" s="305"/>
      <c r="K79" s="334" t="str">
        <f t="shared" si="35"/>
        <v/>
      </c>
      <c r="L79" s="318" t="str">
        <f t="shared" si="37"/>
        <v/>
      </c>
      <c r="M79" s="333" t="str">
        <f t="shared" si="36"/>
        <v/>
      </c>
      <c r="N79" s="842"/>
      <c r="O79" s="308"/>
      <c r="P79" s="11"/>
    </row>
    <row r="80" spans="2:16" ht="18.600000000000001" thickBot="1" x14ac:dyDescent="0.4">
      <c r="B80" s="837">
        <v>46285</v>
      </c>
      <c r="C80" s="838"/>
      <c r="D80" s="299" t="s">
        <v>13</v>
      </c>
      <c r="E80" s="335"/>
      <c r="F80" s="336"/>
      <c r="G80" s="337"/>
      <c r="H80" s="338"/>
      <c r="I80" s="304" t="str">
        <f t="shared" si="4"/>
        <v/>
      </c>
      <c r="J80" s="305"/>
      <c r="K80" s="306" t="str">
        <f t="shared" ref="K80:K83" si="39">IFERROR((F80*I80*J80),"")</f>
        <v/>
      </c>
      <c r="L80" s="307" t="str">
        <f t="shared" ref="L80:L83" si="40">IFERROR(((F80*I80)*J80)*(1-H80),"")</f>
        <v/>
      </c>
      <c r="M80" s="332" t="str">
        <f t="shared" ref="M80:M83" si="41">IFERROR((K80/12),"")</f>
        <v/>
      </c>
      <c r="N80" s="841">
        <f t="shared" ref="N80" si="42">SUM(L80:L81)</f>
        <v>0</v>
      </c>
      <c r="O80" s="308"/>
      <c r="P80" s="11"/>
    </row>
    <row r="81" spans="2:19" ht="18.600000000000001" thickBot="1" x14ac:dyDescent="0.4">
      <c r="B81" s="839"/>
      <c r="C81" s="840"/>
      <c r="D81" s="309" t="s">
        <v>14</v>
      </c>
      <c r="E81" s="321"/>
      <c r="F81" s="314"/>
      <c r="G81" s="312"/>
      <c r="H81" s="313"/>
      <c r="I81" s="304" t="str">
        <f t="shared" si="4"/>
        <v/>
      </c>
      <c r="J81" s="305"/>
      <c r="K81" s="334" t="str">
        <f t="shared" si="39"/>
        <v/>
      </c>
      <c r="L81" s="318" t="str">
        <f t="shared" si="40"/>
        <v/>
      </c>
      <c r="M81" s="333" t="str">
        <f t="shared" si="41"/>
        <v/>
      </c>
      <c r="N81" s="842"/>
      <c r="O81" s="308"/>
      <c r="P81" s="11"/>
    </row>
    <row r="82" spans="2:19" ht="18.600000000000001" thickBot="1" x14ac:dyDescent="0.4">
      <c r="B82" s="837">
        <v>46286</v>
      </c>
      <c r="C82" s="838"/>
      <c r="D82" s="299" t="s">
        <v>13</v>
      </c>
      <c r="E82" s="335"/>
      <c r="F82" s="336"/>
      <c r="G82" s="337"/>
      <c r="H82" s="338"/>
      <c r="I82" s="304" t="str">
        <f t="shared" si="4"/>
        <v/>
      </c>
      <c r="J82" s="305"/>
      <c r="K82" s="306" t="str">
        <f t="shared" si="39"/>
        <v/>
      </c>
      <c r="L82" s="307" t="str">
        <f t="shared" si="40"/>
        <v/>
      </c>
      <c r="M82" s="332" t="str">
        <f t="shared" si="41"/>
        <v/>
      </c>
      <c r="N82" s="841">
        <f t="shared" ref="N82" si="43">SUM(L82:L83)</f>
        <v>0</v>
      </c>
      <c r="O82" s="308"/>
      <c r="P82" s="11"/>
    </row>
    <row r="83" spans="2:19" ht="18.600000000000001" thickBot="1" x14ac:dyDescent="0.4">
      <c r="B83" s="839"/>
      <c r="C83" s="840"/>
      <c r="D83" s="309" t="s">
        <v>14</v>
      </c>
      <c r="E83" s="321"/>
      <c r="F83" s="314"/>
      <c r="G83" s="312"/>
      <c r="H83" s="313"/>
      <c r="I83" s="304" t="str">
        <f t="shared" si="4"/>
        <v/>
      </c>
      <c r="J83" s="305"/>
      <c r="K83" s="334" t="str">
        <f t="shared" si="39"/>
        <v/>
      </c>
      <c r="L83" s="318" t="str">
        <f t="shared" si="40"/>
        <v/>
      </c>
      <c r="M83" s="333" t="str">
        <f t="shared" si="41"/>
        <v/>
      </c>
      <c r="N83" s="842"/>
      <c r="O83" s="308"/>
      <c r="P83" s="11"/>
    </row>
    <row r="84" spans="2:19" ht="18.600000000000001" thickBot="1" x14ac:dyDescent="0.4">
      <c r="B84" s="837">
        <v>46287</v>
      </c>
      <c r="C84" s="838"/>
      <c r="D84" s="299" t="s">
        <v>13</v>
      </c>
      <c r="E84" s="335"/>
      <c r="F84" s="336"/>
      <c r="G84" s="337"/>
      <c r="H84" s="338"/>
      <c r="I84" s="304" t="str">
        <f t="shared" si="4"/>
        <v/>
      </c>
      <c r="J84" s="305"/>
      <c r="K84" s="306" t="str">
        <f t="shared" ref="K84:K85" si="44">IFERROR((F84*I84*J84),"")</f>
        <v/>
      </c>
      <c r="L84" s="307" t="str">
        <f t="shared" ref="L84:L85" si="45">IFERROR(((F84*I84)*J84)*(1-H84),"")</f>
        <v/>
      </c>
      <c r="M84" s="332" t="str">
        <f t="shared" ref="M84:M85" si="46">IFERROR((K84/12),"")</f>
        <v/>
      </c>
      <c r="N84" s="841">
        <f t="shared" ref="N84" si="47">SUM(L84:L85)</f>
        <v>0</v>
      </c>
      <c r="O84" s="308"/>
      <c r="P84" s="11"/>
    </row>
    <row r="85" spans="2:19" ht="18.600000000000001" thickBot="1" x14ac:dyDescent="0.4">
      <c r="B85" s="839"/>
      <c r="C85" s="840"/>
      <c r="D85" s="309" t="s">
        <v>14</v>
      </c>
      <c r="E85" s="321"/>
      <c r="F85" s="314"/>
      <c r="G85" s="312"/>
      <c r="H85" s="313"/>
      <c r="I85" s="304" t="str">
        <f t="shared" si="4"/>
        <v/>
      </c>
      <c r="J85" s="305"/>
      <c r="K85" s="334" t="str">
        <f t="shared" si="44"/>
        <v/>
      </c>
      <c r="L85" s="318" t="str">
        <f t="shared" si="45"/>
        <v/>
      </c>
      <c r="M85" s="333" t="str">
        <f t="shared" si="46"/>
        <v/>
      </c>
      <c r="N85" s="842"/>
      <c r="O85" s="308"/>
      <c r="P85" s="11"/>
    </row>
    <row r="86" spans="2:19" ht="18" x14ac:dyDescent="0.35">
      <c r="B86" s="845" t="s">
        <v>17</v>
      </c>
      <c r="C86" s="846"/>
      <c r="D86" s="342"/>
      <c r="E86" s="343"/>
      <c r="F86" s="344">
        <f>AVERAGE(F6:F85)</f>
        <v>219.15789473684211</v>
      </c>
      <c r="G86" s="345"/>
      <c r="H86" s="346">
        <f>AVERAGE(H6:H83)</f>
        <v>0.11526315789473689</v>
      </c>
      <c r="I86" s="347" t="str">
        <f t="shared" si="4"/>
        <v/>
      </c>
      <c r="J86" s="348"/>
      <c r="K86" s="349">
        <f>AVERAGE(K6:K67)</f>
        <v>151.55405263157894</v>
      </c>
      <c r="L86" s="350">
        <f>AVERAGE(L6:L79)</f>
        <v>134.64849473684208</v>
      </c>
      <c r="M86" s="351">
        <f>AVERAGE(M6:M16)</f>
        <v>12.786250000000001</v>
      </c>
      <c r="N86" s="358">
        <f>AVERAGE(N6:N83)</f>
        <v>65.597984615384632</v>
      </c>
      <c r="O86" s="308"/>
      <c r="S86" s="4"/>
    </row>
    <row r="87" spans="2:19" ht="18.600000000000001" thickBot="1" x14ac:dyDescent="0.4">
      <c r="B87" s="847" t="s">
        <v>18</v>
      </c>
      <c r="C87" s="848"/>
      <c r="D87" s="352"/>
      <c r="E87" s="352"/>
      <c r="F87" s="353">
        <f>SUM(F6:F83)</f>
        <v>4164</v>
      </c>
      <c r="G87" s="352"/>
      <c r="H87" s="354"/>
      <c r="I87" s="354"/>
      <c r="J87" s="352"/>
      <c r="K87" s="355"/>
      <c r="L87" s="356"/>
      <c r="M87" s="352"/>
      <c r="N87" s="359">
        <f>SUM(N6:N85)</f>
        <v>2558.3214000000007</v>
      </c>
      <c r="O87" s="308"/>
      <c r="Q87" s="4"/>
      <c r="R87" s="4"/>
      <c r="S87" s="2"/>
    </row>
    <row r="88" spans="2:19" ht="15" thickBot="1" x14ac:dyDescent="0.35">
      <c r="D88" s="7"/>
      <c r="F88" s="288"/>
      <c r="H88" s="291"/>
      <c r="I88" s="293"/>
    </row>
    <row r="89" spans="2:19" x14ac:dyDescent="0.3">
      <c r="K89" s="13"/>
    </row>
    <row r="90" spans="2:19" x14ac:dyDescent="0.3">
      <c r="F90" s="289"/>
      <c r="I90" s="289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" zoomScale="78" zoomScaleNormal="55" workbookViewId="0">
      <selection activeCell="Q32" sqref="Q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4" customWidth="1"/>
    <col min="9" max="9" width="9.5546875" style="384" customWidth="1"/>
    <col min="10" max="10" width="11.21875" style="384" customWidth="1"/>
    <col min="11" max="11" width="12" style="384" customWidth="1"/>
    <col min="12" max="12" width="11.77734375" style="384" customWidth="1"/>
    <col min="13" max="13" width="14.44140625" style="38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63" t="s">
        <v>420</v>
      </c>
      <c r="C2" s="864"/>
      <c r="D2" s="864"/>
      <c r="E2" s="864"/>
      <c r="F2" s="864"/>
      <c r="G2" s="864"/>
      <c r="H2" s="864"/>
      <c r="I2" s="864"/>
      <c r="J2" s="864"/>
      <c r="K2" s="864"/>
      <c r="L2" s="864"/>
      <c r="M2" s="865"/>
      <c r="AD2" s="16">
        <v>2</v>
      </c>
      <c r="AE2" s="16">
        <v>9.9000000000000005E-2</v>
      </c>
    </row>
    <row r="3" spans="2:31" ht="15" thickBot="1" x14ac:dyDescent="0.35">
      <c r="B3" s="863" t="s">
        <v>198</v>
      </c>
      <c r="C3" s="864"/>
      <c r="D3" s="864"/>
      <c r="E3" s="864"/>
      <c r="F3" s="864"/>
      <c r="G3" s="864"/>
      <c r="H3" s="864"/>
      <c r="I3" s="864"/>
      <c r="J3" s="864"/>
      <c r="K3" s="864"/>
      <c r="L3" s="864"/>
      <c r="M3" s="865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5"/>
      <c r="I4" s="385"/>
      <c r="J4" s="385"/>
      <c r="K4" s="385"/>
      <c r="L4" s="385"/>
      <c r="M4" s="385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5"/>
      <c r="I5" s="385"/>
      <c r="J5" s="385"/>
      <c r="K5" s="385"/>
      <c r="L5" s="385"/>
      <c r="M5" s="38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3" t="s">
        <v>179</v>
      </c>
      <c r="E7" s="383" t="s">
        <v>180</v>
      </c>
      <c r="F7" s="383" t="s">
        <v>181</v>
      </c>
      <c r="G7" s="383" t="s">
        <v>182</v>
      </c>
      <c r="H7" s="383" t="s">
        <v>183</v>
      </c>
      <c r="I7" s="383" t="s">
        <v>184</v>
      </c>
      <c r="J7" s="383" t="s">
        <v>380</v>
      </c>
      <c r="K7" s="383" t="s">
        <v>381</v>
      </c>
      <c r="L7" s="383" t="s">
        <v>186</v>
      </c>
      <c r="M7" s="383" t="s">
        <v>196</v>
      </c>
      <c r="Q7" s="828" t="s">
        <v>346</v>
      </c>
      <c r="R7" s="828"/>
      <c r="S7" s="828"/>
      <c r="T7" s="828"/>
      <c r="U7" s="828"/>
      <c r="V7" s="828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6">
        <v>41</v>
      </c>
      <c r="I8" s="386">
        <v>1.35</v>
      </c>
      <c r="J8" s="391">
        <f>H8*I8</f>
        <v>55.35</v>
      </c>
      <c r="K8" s="391">
        <f>I8*G8</f>
        <v>0</v>
      </c>
      <c r="L8" s="386">
        <v>1.0269999999999999</v>
      </c>
      <c r="M8" s="391">
        <f>L8*J8</f>
        <v>56.844449999999995</v>
      </c>
      <c r="N8" s="1" t="s">
        <v>206</v>
      </c>
      <c r="O8" s="1">
        <f>MEDIAN(L8:L39)</f>
        <v>1.1160000000000001</v>
      </c>
      <c r="Q8" s="275" t="s">
        <v>71</v>
      </c>
      <c r="R8" s="275" t="s">
        <v>347</v>
      </c>
      <c r="S8" s="275" t="s">
        <v>1</v>
      </c>
      <c r="T8" s="275" t="s">
        <v>348</v>
      </c>
      <c r="U8" s="275" t="s">
        <v>349</v>
      </c>
      <c r="V8" s="27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6">
        <v>16</v>
      </c>
      <c r="I9" s="386">
        <v>1.35</v>
      </c>
      <c r="J9" s="391">
        <f t="shared" ref="J9:J12" si="0">H9*I9</f>
        <v>21.6</v>
      </c>
      <c r="K9" s="391">
        <f t="shared" ref="K9:K12" si="1">I9*G9</f>
        <v>0</v>
      </c>
      <c r="L9" s="386">
        <v>1.228</v>
      </c>
      <c r="M9" s="391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6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6">
        <v>93</v>
      </c>
      <c r="I10" s="386">
        <v>1.35</v>
      </c>
      <c r="J10" s="391">
        <f t="shared" si="0"/>
        <v>125.55000000000001</v>
      </c>
      <c r="K10" s="391">
        <f t="shared" si="1"/>
        <v>0</v>
      </c>
      <c r="L10" s="394">
        <v>0.6</v>
      </c>
      <c r="M10" s="391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6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6">
        <v>40</v>
      </c>
      <c r="I11" s="386">
        <v>1.35</v>
      </c>
      <c r="J11" s="391">
        <f t="shared" si="0"/>
        <v>54</v>
      </c>
      <c r="K11" s="391">
        <f t="shared" si="1"/>
        <v>0</v>
      </c>
      <c r="L11" s="386">
        <v>1.0269999999999999</v>
      </c>
      <c r="M11" s="391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6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6">
        <v>13</v>
      </c>
      <c r="I12" s="386">
        <v>1.35</v>
      </c>
      <c r="J12" s="391">
        <f t="shared" si="0"/>
        <v>17.55</v>
      </c>
      <c r="K12" s="391">
        <f t="shared" si="1"/>
        <v>0</v>
      </c>
      <c r="L12" s="386">
        <v>1.228</v>
      </c>
      <c r="M12" s="391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6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6">
        <v>310</v>
      </c>
      <c r="I13" s="386">
        <v>1.39</v>
      </c>
      <c r="J13" s="391">
        <f>H13*I13</f>
        <v>430.9</v>
      </c>
      <c r="K13" s="391">
        <f t="shared" ref="K13:K22" si="3">I13*G13</f>
        <v>278</v>
      </c>
      <c r="L13" s="386">
        <v>1.1220000000000001</v>
      </c>
      <c r="M13" s="391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7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6">
        <v>190</v>
      </c>
      <c r="I14" s="386">
        <v>1.39</v>
      </c>
      <c r="J14" s="391">
        <f>H14*I14</f>
        <v>264.09999999999997</v>
      </c>
      <c r="K14" s="391">
        <f t="shared" si="3"/>
        <v>305.79999999999995</v>
      </c>
      <c r="L14" s="386">
        <v>1.1220000000000001</v>
      </c>
      <c r="M14" s="39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7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6">
        <v>34</v>
      </c>
      <c r="I15" s="386">
        <v>1.39</v>
      </c>
      <c r="J15" s="391">
        <f>H15*I15</f>
        <v>47.26</v>
      </c>
      <c r="K15" s="391">
        <f t="shared" si="3"/>
        <v>291.89999999999998</v>
      </c>
      <c r="L15" s="386">
        <v>1.02</v>
      </c>
      <c r="M15" s="391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6"/>
      <c r="E16" s="16"/>
      <c r="F16" s="16" t="s">
        <v>343</v>
      </c>
      <c r="G16" s="16">
        <v>30</v>
      </c>
      <c r="H16" s="386">
        <v>64</v>
      </c>
      <c r="I16" s="386">
        <v>1.39</v>
      </c>
      <c r="J16" s="391">
        <f>H16*I16</f>
        <v>88.96</v>
      </c>
      <c r="K16" s="391">
        <f t="shared" si="3"/>
        <v>41.699999999999996</v>
      </c>
      <c r="L16" s="425">
        <v>1.02</v>
      </c>
      <c r="M16" s="391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6">
        <v>62</v>
      </c>
      <c r="I17" s="386">
        <v>1.39</v>
      </c>
      <c r="J17" s="391">
        <f t="shared" ref="J17:J39" si="4">H17*I17</f>
        <v>86.179999999999993</v>
      </c>
      <c r="K17" s="391">
        <f t="shared" si="3"/>
        <v>83.399999999999991</v>
      </c>
      <c r="L17" s="386">
        <v>0.93500000000000005</v>
      </c>
      <c r="M17" s="391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6">
        <v>108</v>
      </c>
      <c r="I18" s="386">
        <v>1.39</v>
      </c>
      <c r="J18" s="391">
        <f t="shared" si="4"/>
        <v>150.11999999999998</v>
      </c>
      <c r="K18" s="391">
        <f t="shared" si="3"/>
        <v>83.399999999999991</v>
      </c>
      <c r="L18" s="386">
        <v>1.1100000000000001</v>
      </c>
      <c r="M18" s="391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6">
        <v>130</v>
      </c>
      <c r="I19" s="386">
        <v>1.39</v>
      </c>
      <c r="J19" s="391">
        <f>H19*I19</f>
        <v>180.7</v>
      </c>
      <c r="K19" s="391">
        <f t="shared" si="3"/>
        <v>208.49999999999997</v>
      </c>
      <c r="L19" s="386">
        <v>12.308999999999999</v>
      </c>
      <c r="M19" s="391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6">
        <v>94</v>
      </c>
      <c r="I20" s="386">
        <v>1.39</v>
      </c>
      <c r="J20" s="391">
        <f t="shared" si="4"/>
        <v>130.66</v>
      </c>
      <c r="K20" s="391">
        <f t="shared" si="3"/>
        <v>152.89999999999998</v>
      </c>
      <c r="L20" s="386">
        <v>0.86</v>
      </c>
      <c r="M20" s="39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6">
        <v>310</v>
      </c>
      <c r="I21" s="412">
        <v>1.3</v>
      </c>
      <c r="J21" s="391">
        <f t="shared" si="4"/>
        <v>403</v>
      </c>
      <c r="K21" s="391">
        <f t="shared" si="3"/>
        <v>130</v>
      </c>
      <c r="L21" s="386">
        <v>1.2969999999999999</v>
      </c>
      <c r="M21" s="391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6">
        <v>56</v>
      </c>
      <c r="I22" s="412">
        <v>1.3</v>
      </c>
      <c r="J22" s="391">
        <f t="shared" si="4"/>
        <v>72.8</v>
      </c>
      <c r="K22" s="391">
        <f t="shared" si="3"/>
        <v>364</v>
      </c>
      <c r="L22" s="386">
        <v>1.4970000000000001</v>
      </c>
      <c r="M22" s="39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8">
        <v>46263</v>
      </c>
      <c r="D23" s="427"/>
      <c r="E23" s="427"/>
      <c r="F23" s="427"/>
      <c r="G23" s="270"/>
      <c r="H23" s="270"/>
      <c r="I23" s="270"/>
      <c r="J23" s="270"/>
      <c r="K23" s="270"/>
      <c r="L23" s="387"/>
      <c r="M23" s="391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8">
        <v>46264</v>
      </c>
      <c r="D24" s="6"/>
      <c r="E24" s="6"/>
      <c r="F24" s="6"/>
      <c r="G24" s="6"/>
      <c r="H24" s="387"/>
      <c r="I24" s="386">
        <v>1.35</v>
      </c>
      <c r="J24" s="391">
        <f t="shared" si="4"/>
        <v>0</v>
      </c>
      <c r="K24" s="391"/>
      <c r="L24" s="387"/>
      <c r="M24" s="391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8">
        <v>46265</v>
      </c>
      <c r="D25" s="6"/>
      <c r="E25" s="6"/>
      <c r="F25" s="16" t="s">
        <v>343</v>
      </c>
      <c r="G25" s="6"/>
      <c r="H25" s="387">
        <v>23</v>
      </c>
      <c r="I25" s="386">
        <v>1.3</v>
      </c>
      <c r="J25" s="391">
        <f t="shared" si="4"/>
        <v>29.900000000000002</v>
      </c>
      <c r="K25" s="391"/>
      <c r="L25" s="387">
        <v>1.23</v>
      </c>
      <c r="M25" s="391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8">
        <v>46266</v>
      </c>
      <c r="D26" s="6"/>
      <c r="E26" s="6"/>
      <c r="F26" s="16"/>
      <c r="G26" s="6"/>
      <c r="H26" s="387"/>
      <c r="I26" s="386">
        <v>1.35</v>
      </c>
      <c r="J26" s="391">
        <f t="shared" si="4"/>
        <v>0</v>
      </c>
      <c r="K26" s="391"/>
      <c r="L26" s="387"/>
      <c r="M26" s="391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8">
        <v>46267</v>
      </c>
      <c r="D27" s="6"/>
      <c r="E27" s="6"/>
      <c r="F27" s="16"/>
      <c r="G27" s="6"/>
      <c r="H27" s="387"/>
      <c r="I27" s="386">
        <v>1.35</v>
      </c>
      <c r="J27" s="391">
        <f t="shared" si="4"/>
        <v>0</v>
      </c>
      <c r="K27" s="391"/>
      <c r="L27" s="387"/>
      <c r="M27" s="39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8">
        <v>46268</v>
      </c>
      <c r="D28" s="6"/>
      <c r="E28" s="6"/>
      <c r="F28" s="16"/>
      <c r="G28" s="6"/>
      <c r="H28" s="387"/>
      <c r="I28" s="386">
        <v>1.35</v>
      </c>
      <c r="J28" s="391">
        <f t="shared" si="4"/>
        <v>0</v>
      </c>
      <c r="K28" s="391"/>
      <c r="L28" s="387"/>
      <c r="M28" s="39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8">
        <v>46269</v>
      </c>
      <c r="D29" s="6"/>
      <c r="E29" s="6"/>
      <c r="F29" s="16" t="s">
        <v>343</v>
      </c>
      <c r="G29" s="6"/>
      <c r="H29" s="387">
        <v>90</v>
      </c>
      <c r="I29" s="386">
        <v>1.35</v>
      </c>
      <c r="J29" s="391">
        <f t="shared" si="4"/>
        <v>121.50000000000001</v>
      </c>
      <c r="K29" s="391"/>
      <c r="L29" s="387">
        <v>0.8</v>
      </c>
      <c r="M29" s="391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8">
        <v>46270</v>
      </c>
      <c r="D30" s="6"/>
      <c r="E30" s="6"/>
      <c r="F30" s="16"/>
      <c r="G30" s="6"/>
      <c r="H30" s="387"/>
      <c r="I30" s="386">
        <v>1.35</v>
      </c>
      <c r="J30" s="391">
        <f t="shared" si="4"/>
        <v>0</v>
      </c>
      <c r="K30" s="391"/>
      <c r="L30" s="387"/>
      <c r="M30" s="391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8">
        <v>46271</v>
      </c>
      <c r="D31" s="6"/>
      <c r="E31" s="6"/>
      <c r="F31" s="16"/>
      <c r="G31" s="6"/>
      <c r="H31" s="387"/>
      <c r="I31" s="386">
        <v>1.35</v>
      </c>
      <c r="J31" s="391">
        <f t="shared" si="4"/>
        <v>0</v>
      </c>
      <c r="K31" s="391"/>
      <c r="L31" s="387"/>
      <c r="M31" s="391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8">
        <v>46272</v>
      </c>
      <c r="D32" s="6"/>
      <c r="E32" s="6"/>
      <c r="F32" s="16"/>
      <c r="G32" s="6"/>
      <c r="H32" s="387"/>
      <c r="I32" s="386">
        <v>1.35</v>
      </c>
      <c r="J32" s="391">
        <f t="shared" si="4"/>
        <v>0</v>
      </c>
      <c r="K32" s="391"/>
      <c r="L32" s="387"/>
      <c r="M32" s="391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8">
        <v>46273</v>
      </c>
      <c r="D33" s="6"/>
      <c r="E33" s="6"/>
      <c r="F33" s="16"/>
      <c r="G33" s="6"/>
      <c r="H33" s="387"/>
      <c r="I33" s="386">
        <v>1.35</v>
      </c>
      <c r="J33" s="391">
        <f t="shared" si="4"/>
        <v>0</v>
      </c>
      <c r="K33" s="391"/>
      <c r="L33" s="387"/>
      <c r="M33" s="391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8">
        <v>46274</v>
      </c>
      <c r="D34" s="6"/>
      <c r="E34" s="6"/>
      <c r="F34" s="16"/>
      <c r="G34" s="6"/>
      <c r="H34" s="387"/>
      <c r="I34" s="386">
        <v>1.35</v>
      </c>
      <c r="J34" s="391">
        <f t="shared" si="4"/>
        <v>0</v>
      </c>
      <c r="K34" s="391"/>
      <c r="L34" s="387"/>
      <c r="M34" s="391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8">
        <v>46275</v>
      </c>
      <c r="D35" s="6"/>
      <c r="E35" s="6"/>
      <c r="F35" s="16" t="s">
        <v>343</v>
      </c>
      <c r="G35" s="6"/>
      <c r="H35" s="387">
        <v>312</v>
      </c>
      <c r="I35" s="386">
        <v>1.35</v>
      </c>
      <c r="J35" s="391">
        <f t="shared" si="4"/>
        <v>421.20000000000005</v>
      </c>
      <c r="K35" s="391"/>
      <c r="L35" s="387">
        <v>1.3</v>
      </c>
      <c r="M35" s="391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8">
        <v>46276</v>
      </c>
      <c r="D36" s="6"/>
      <c r="E36" s="6"/>
      <c r="F36" s="6"/>
      <c r="G36" s="6"/>
      <c r="H36" s="387"/>
      <c r="I36" s="386">
        <v>1.35</v>
      </c>
      <c r="J36" s="391">
        <f t="shared" si="4"/>
        <v>0</v>
      </c>
      <c r="K36" s="391"/>
      <c r="L36" s="387"/>
      <c r="M36" s="391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8">
        <v>46277</v>
      </c>
      <c r="D37" s="6"/>
      <c r="E37" s="6"/>
      <c r="F37" s="6"/>
      <c r="G37" s="6"/>
      <c r="H37" s="387"/>
      <c r="I37" s="386">
        <v>1.35</v>
      </c>
      <c r="J37" s="391">
        <f t="shared" si="4"/>
        <v>0</v>
      </c>
      <c r="K37" s="391"/>
      <c r="L37" s="387"/>
      <c r="M37" s="391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8">
        <v>46278</v>
      </c>
      <c r="D38" s="6"/>
      <c r="E38" s="6"/>
      <c r="F38" s="6"/>
      <c r="G38" s="6"/>
      <c r="H38" s="387"/>
      <c r="I38" s="386">
        <v>1.35</v>
      </c>
      <c r="J38" s="391">
        <f t="shared" si="4"/>
        <v>0</v>
      </c>
      <c r="K38" s="391"/>
      <c r="L38" s="387"/>
      <c r="M38" s="391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8">
        <v>46279</v>
      </c>
      <c r="D39" s="6"/>
      <c r="E39" s="6"/>
      <c r="F39" s="6"/>
      <c r="G39" s="6"/>
      <c r="H39" s="387"/>
      <c r="I39" s="386">
        <v>1.35</v>
      </c>
      <c r="J39" s="391">
        <f t="shared" si="4"/>
        <v>0</v>
      </c>
      <c r="K39" s="391"/>
      <c r="L39" s="387"/>
      <c r="M39" s="391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66" t="s">
        <v>423</v>
      </c>
      <c r="AH39" s="867"/>
      <c r="AI39" s="867"/>
      <c r="AJ39" s="867"/>
      <c r="AK39" s="867"/>
      <c r="AL39" s="868"/>
    </row>
    <row r="40" spans="2:38" x14ac:dyDescent="0.3">
      <c r="B40" s="140" t="s">
        <v>122</v>
      </c>
      <c r="C40" s="428">
        <v>46280</v>
      </c>
      <c r="D40" s="140"/>
      <c r="E40" s="140"/>
      <c r="F40" s="140"/>
      <c r="G40" s="140"/>
      <c r="H40" s="388"/>
      <c r="I40" s="388"/>
      <c r="J40" s="388"/>
      <c r="K40" s="388"/>
      <c r="L40" s="426">
        <f>AVERAGE(L8:L22)</f>
        <v>1.8267999999999998</v>
      </c>
      <c r="M40" s="396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69"/>
      <c r="AH40" s="739"/>
      <c r="AI40" s="739"/>
      <c r="AJ40" s="739"/>
      <c r="AK40" s="739"/>
      <c r="AL40" s="870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9">
        <f>SUM(H8:H39)</f>
        <v>1986</v>
      </c>
      <c r="I41" s="389"/>
      <c r="J41" s="392">
        <f>SUM(J8:J39)</f>
        <v>2701.3300000000008</v>
      </c>
      <c r="K41" s="392">
        <f>SUM(K8:K39)</f>
        <v>1939.6</v>
      </c>
      <c r="L41" s="426">
        <f>MEDIAN(L8:L22)</f>
        <v>1.1100000000000001</v>
      </c>
      <c r="M41" s="392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7">
        <v>1</v>
      </c>
      <c r="AH41" s="32">
        <v>0.81</v>
      </c>
      <c r="AJ41" s="1">
        <v>1</v>
      </c>
      <c r="AK41" s="186">
        <v>1.6</v>
      </c>
      <c r="AL41" s="398"/>
    </row>
    <row r="42" spans="2:38" x14ac:dyDescent="0.3">
      <c r="L42" s="395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7">
        <v>2</v>
      </c>
      <c r="AH42" s="32">
        <v>0.81</v>
      </c>
      <c r="AJ42" s="1">
        <v>2</v>
      </c>
      <c r="AK42" s="186">
        <v>1.6</v>
      </c>
      <c r="AL42" s="398"/>
    </row>
    <row r="43" spans="2:38" ht="43.2" x14ac:dyDescent="0.3">
      <c r="L43" s="413" t="s">
        <v>440</v>
      </c>
      <c r="M43" s="412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7">
        <v>3</v>
      </c>
      <c r="AH43" s="32">
        <v>0.81</v>
      </c>
      <c r="AJ43" s="1">
        <v>3</v>
      </c>
      <c r="AK43" s="186">
        <v>1.6</v>
      </c>
      <c r="AL43" s="398"/>
    </row>
    <row r="44" spans="2:38" x14ac:dyDescent="0.3">
      <c r="I44" s="390"/>
      <c r="J44" s="390"/>
      <c r="K44" s="390"/>
      <c r="L44" s="395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7">
        <v>4</v>
      </c>
      <c r="AH44" s="32">
        <v>0.81</v>
      </c>
      <c r="AJ44" s="1">
        <v>4</v>
      </c>
      <c r="AK44" s="186">
        <v>1.6</v>
      </c>
      <c r="AL44" s="398"/>
    </row>
    <row r="45" spans="2:38" x14ac:dyDescent="0.3">
      <c r="I45" s="390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7">
        <v>5</v>
      </c>
      <c r="AH45" s="32">
        <v>0.81</v>
      </c>
      <c r="AJ45" s="1">
        <v>5</v>
      </c>
      <c r="AK45" s="186">
        <v>1.6</v>
      </c>
      <c r="AL45" s="398"/>
    </row>
    <row r="46" spans="2:38" x14ac:dyDescent="0.3">
      <c r="J46" s="390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7">
        <v>6</v>
      </c>
      <c r="AH46" s="32">
        <v>0.81</v>
      </c>
      <c r="AJ46" s="1">
        <v>6</v>
      </c>
      <c r="AK46" s="186">
        <v>1.6</v>
      </c>
      <c r="AL46" s="398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6">
        <v>271</v>
      </c>
      <c r="I47" s="386">
        <v>1.35</v>
      </c>
      <c r="J47" s="391">
        <f>H47*I47</f>
        <v>365.85</v>
      </c>
      <c r="K47" s="393"/>
      <c r="M47" s="390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7">
        <v>7</v>
      </c>
      <c r="AH47" s="32">
        <v>0.81</v>
      </c>
      <c r="AJ47" s="1">
        <v>7</v>
      </c>
      <c r="AK47" s="186">
        <v>1.6</v>
      </c>
      <c r="AL47" s="398"/>
    </row>
    <row r="48" spans="2:38" x14ac:dyDescent="0.3">
      <c r="J48" s="390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7">
        <v>8</v>
      </c>
      <c r="AH48" s="32">
        <v>0.81</v>
      </c>
      <c r="AJ48" s="1">
        <v>8</v>
      </c>
      <c r="AK48" s="186">
        <v>1.6</v>
      </c>
      <c r="AL48" s="398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7">
        <v>9</v>
      </c>
      <c r="AH49" s="32">
        <v>0.81</v>
      </c>
      <c r="AJ49" s="1">
        <v>9</v>
      </c>
      <c r="AK49" s="186">
        <v>1.6</v>
      </c>
      <c r="AL49" s="398"/>
    </row>
    <row r="50" spans="7:38" x14ac:dyDescent="0.3">
      <c r="G50" s="16">
        <v>41</v>
      </c>
      <c r="J50" s="390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7">
        <v>10</v>
      </c>
      <c r="AH50" s="32">
        <v>0.81</v>
      </c>
      <c r="AJ50" s="1">
        <v>10</v>
      </c>
      <c r="AK50" s="186">
        <v>1.6</v>
      </c>
      <c r="AL50" s="398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7">
        <v>11</v>
      </c>
      <c r="AH51" s="32">
        <v>0.81</v>
      </c>
      <c r="AJ51" s="1">
        <v>11</v>
      </c>
      <c r="AK51" s="186">
        <v>1.6</v>
      </c>
      <c r="AL51" s="398"/>
    </row>
    <row r="52" spans="7:38" x14ac:dyDescent="0.3">
      <c r="G52" s="16">
        <v>93</v>
      </c>
      <c r="I52" s="390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7">
        <v>12</v>
      </c>
      <c r="AH52" s="32">
        <v>0.81</v>
      </c>
      <c r="AJ52" s="1">
        <v>12</v>
      </c>
      <c r="AK52" s="186">
        <v>1.6</v>
      </c>
      <c r="AL52" s="398"/>
    </row>
    <row r="53" spans="7:38" x14ac:dyDescent="0.3">
      <c r="G53" s="16">
        <v>40</v>
      </c>
      <c r="H53" s="384">
        <f>1800+1000</f>
        <v>2800</v>
      </c>
      <c r="Q53" s="220">
        <v>45</v>
      </c>
      <c r="R53" s="220" t="s">
        <v>399</v>
      </c>
      <c r="S53" s="286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7">
        <v>13</v>
      </c>
      <c r="AH53" s="32">
        <v>0.81</v>
      </c>
      <c r="AJ53" s="1">
        <v>13</v>
      </c>
      <c r="AK53" s="186">
        <v>1.6</v>
      </c>
      <c r="AL53" s="398"/>
    </row>
    <row r="54" spans="7:38" x14ac:dyDescent="0.3">
      <c r="G54" s="16">
        <v>13</v>
      </c>
      <c r="Q54" s="220">
        <v>46</v>
      </c>
      <c r="R54" s="220" t="s">
        <v>400</v>
      </c>
      <c r="S54" s="286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7">
        <v>14</v>
      </c>
      <c r="AH54" s="32">
        <v>0.81</v>
      </c>
      <c r="AJ54" s="1">
        <v>14</v>
      </c>
      <c r="AK54" s="186">
        <v>1.6</v>
      </c>
      <c r="AL54" s="398"/>
    </row>
    <row r="55" spans="7:38" x14ac:dyDescent="0.3">
      <c r="G55" s="16">
        <v>190</v>
      </c>
      <c r="Q55" s="220">
        <v>47</v>
      </c>
      <c r="R55" s="220" t="s">
        <v>401</v>
      </c>
      <c r="S55" s="286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7">
        <v>15</v>
      </c>
      <c r="AH55" s="32">
        <v>0.81</v>
      </c>
      <c r="AJ55" s="1">
        <v>15</v>
      </c>
      <c r="AK55" s="186">
        <v>1.6</v>
      </c>
      <c r="AL55" s="398"/>
    </row>
    <row r="56" spans="7:38" x14ac:dyDescent="0.3">
      <c r="G56" s="16">
        <v>220</v>
      </c>
      <c r="Q56" s="220">
        <v>48</v>
      </c>
      <c r="R56" s="220" t="s">
        <v>402</v>
      </c>
      <c r="S56" s="286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7">
        <v>16</v>
      </c>
      <c r="AH56" s="32">
        <v>0.81</v>
      </c>
      <c r="AJ56" s="1">
        <v>16</v>
      </c>
      <c r="AK56" s="186">
        <v>1.6</v>
      </c>
      <c r="AL56" s="398"/>
    </row>
    <row r="57" spans="7:38" x14ac:dyDescent="0.3">
      <c r="Q57" s="220">
        <v>49</v>
      </c>
      <c r="R57" s="220" t="s">
        <v>403</v>
      </c>
      <c r="S57" s="286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7">
        <v>17</v>
      </c>
      <c r="AH57" s="32">
        <v>0.81</v>
      </c>
      <c r="AJ57" s="1">
        <v>17</v>
      </c>
      <c r="AK57" s="186">
        <v>1.6</v>
      </c>
      <c r="AL57" s="398"/>
    </row>
    <row r="58" spans="7:38" x14ac:dyDescent="0.3">
      <c r="Q58" s="220">
        <v>50</v>
      </c>
      <c r="R58" s="220" t="s">
        <v>404</v>
      </c>
      <c r="S58" s="286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7">
        <v>18</v>
      </c>
      <c r="AH58" s="32">
        <v>0.81</v>
      </c>
      <c r="AJ58" s="1">
        <v>18</v>
      </c>
      <c r="AK58" s="186">
        <v>1.6</v>
      </c>
      <c r="AL58" s="398"/>
    </row>
    <row r="59" spans="7:38" x14ac:dyDescent="0.3">
      <c r="Q59" s="220">
        <v>51</v>
      </c>
      <c r="R59" s="220" t="s">
        <v>405</v>
      </c>
      <c r="S59" s="286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7">
        <v>19</v>
      </c>
      <c r="AH59" s="32">
        <v>0.81</v>
      </c>
      <c r="AJ59" s="1">
        <v>19</v>
      </c>
      <c r="AK59" s="186">
        <v>1.6</v>
      </c>
      <c r="AL59" s="398"/>
    </row>
    <row r="60" spans="7:38" x14ac:dyDescent="0.3">
      <c r="Q60" s="220">
        <v>52</v>
      </c>
      <c r="R60" s="220" t="s">
        <v>406</v>
      </c>
      <c r="S60" s="286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7">
        <v>20</v>
      </c>
      <c r="AH60" s="32">
        <v>0.81</v>
      </c>
      <c r="AJ60" s="1">
        <v>20</v>
      </c>
      <c r="AK60" s="186">
        <v>1.6</v>
      </c>
      <c r="AL60" s="398"/>
    </row>
    <row r="61" spans="7:38" x14ac:dyDescent="0.3">
      <c r="Q61" s="220">
        <v>53</v>
      </c>
      <c r="R61" s="220" t="s">
        <v>407</v>
      </c>
      <c r="S61" s="286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7">
        <v>21</v>
      </c>
      <c r="AH61" s="32">
        <v>0.81</v>
      </c>
      <c r="AJ61" s="1">
        <v>21</v>
      </c>
      <c r="AK61" s="186">
        <v>1.6</v>
      </c>
      <c r="AL61" s="398"/>
    </row>
    <row r="62" spans="7:38" x14ac:dyDescent="0.3">
      <c r="Q62" s="220">
        <v>54</v>
      </c>
      <c r="R62" s="220" t="s">
        <v>408</v>
      </c>
      <c r="S62" s="286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7">
        <v>22</v>
      </c>
      <c r="AH62" s="32">
        <v>0.81</v>
      </c>
      <c r="AJ62" s="1">
        <v>22</v>
      </c>
      <c r="AK62" s="186">
        <v>1.6</v>
      </c>
      <c r="AL62" s="398"/>
    </row>
    <row r="63" spans="7:38" x14ac:dyDescent="0.3">
      <c r="Q63" s="220">
        <v>55</v>
      </c>
      <c r="R63" s="220" t="s">
        <v>409</v>
      </c>
      <c r="S63" s="286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7">
        <v>23</v>
      </c>
      <c r="AH63" s="32">
        <v>0.81</v>
      </c>
      <c r="AJ63" s="1">
        <v>23</v>
      </c>
      <c r="AK63" s="186">
        <v>1.6</v>
      </c>
      <c r="AL63" s="398"/>
    </row>
    <row r="64" spans="7:38" x14ac:dyDescent="0.3">
      <c r="Q64" s="220">
        <v>56</v>
      </c>
      <c r="R64" s="220" t="s">
        <v>410</v>
      </c>
      <c r="S64" s="286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7">
        <v>24</v>
      </c>
      <c r="AH64" s="32">
        <v>0.81</v>
      </c>
      <c r="AJ64" s="1">
        <v>24</v>
      </c>
      <c r="AK64" s="186">
        <v>1.6</v>
      </c>
      <c r="AL64" s="398"/>
    </row>
    <row r="65" spans="17:38" x14ac:dyDescent="0.3">
      <c r="Q65" s="220">
        <v>57</v>
      </c>
      <c r="R65" s="220" t="s">
        <v>411</v>
      </c>
      <c r="S65" s="286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7">
        <v>25</v>
      </c>
      <c r="AH65" s="32">
        <v>0.81</v>
      </c>
      <c r="AJ65" s="1">
        <v>25</v>
      </c>
      <c r="AK65" s="186">
        <v>1.6</v>
      </c>
      <c r="AL65" s="398"/>
    </row>
    <row r="66" spans="17:38" x14ac:dyDescent="0.3">
      <c r="Q66" s="220">
        <v>58</v>
      </c>
      <c r="R66" s="220" t="s">
        <v>412</v>
      </c>
      <c r="S66" s="286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7">
        <v>26</v>
      </c>
      <c r="AH66" s="32">
        <v>0.81</v>
      </c>
      <c r="AJ66" s="1">
        <v>26</v>
      </c>
      <c r="AK66" s="186">
        <v>1.6</v>
      </c>
      <c r="AL66" s="398"/>
    </row>
    <row r="67" spans="17:38" x14ac:dyDescent="0.3">
      <c r="Q67" s="220">
        <v>59</v>
      </c>
      <c r="R67" s="220" t="s">
        <v>413</v>
      </c>
      <c r="S67" s="28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7">
        <v>27</v>
      </c>
      <c r="AH67" s="32">
        <v>0.81</v>
      </c>
      <c r="AJ67" s="1">
        <v>27</v>
      </c>
      <c r="AK67" s="186">
        <v>1.6</v>
      </c>
      <c r="AL67" s="398"/>
    </row>
    <row r="68" spans="17:38" x14ac:dyDescent="0.3">
      <c r="Q68" s="220">
        <v>60</v>
      </c>
      <c r="R68" s="220" t="s">
        <v>393</v>
      </c>
      <c r="S68" s="28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7">
        <v>28</v>
      </c>
      <c r="AH68" s="32">
        <v>0.81</v>
      </c>
      <c r="AJ68" s="1">
        <v>28</v>
      </c>
      <c r="AK68" s="186">
        <v>1.6</v>
      </c>
      <c r="AL68" s="398"/>
    </row>
    <row r="69" spans="17:38" x14ac:dyDescent="0.3">
      <c r="Q69" s="220">
        <v>61</v>
      </c>
      <c r="R69" s="220" t="s">
        <v>394</v>
      </c>
      <c r="S69" s="28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7">
        <v>29</v>
      </c>
      <c r="AH69" s="32">
        <v>0.81</v>
      </c>
      <c r="AJ69" s="1">
        <v>29</v>
      </c>
      <c r="AK69" s="186">
        <v>1.6</v>
      </c>
      <c r="AL69" s="398"/>
    </row>
    <row r="70" spans="17:38" x14ac:dyDescent="0.3">
      <c r="Q70" s="220">
        <v>62</v>
      </c>
      <c r="R70" s="220" t="s">
        <v>395</v>
      </c>
      <c r="S70" s="28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7">
        <v>30</v>
      </c>
      <c r="AH70" s="32">
        <v>0.81</v>
      </c>
      <c r="AJ70" s="1">
        <v>30</v>
      </c>
      <c r="AK70" s="186">
        <v>1.6</v>
      </c>
      <c r="AL70" s="398"/>
    </row>
    <row r="71" spans="17:38" x14ac:dyDescent="0.3">
      <c r="Q71" s="220">
        <v>63</v>
      </c>
      <c r="R71" s="220" t="s">
        <v>414</v>
      </c>
      <c r="S71" s="28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7">
        <v>31</v>
      </c>
      <c r="AH71" s="32">
        <v>0.81</v>
      </c>
      <c r="AJ71" s="1">
        <v>31</v>
      </c>
      <c r="AK71" s="186">
        <v>1.6</v>
      </c>
      <c r="AL71" s="398"/>
    </row>
    <row r="72" spans="17:38" x14ac:dyDescent="0.3">
      <c r="Q72" s="220">
        <v>64</v>
      </c>
      <c r="R72" s="220" t="s">
        <v>415</v>
      </c>
      <c r="S72" s="28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7">
        <v>32</v>
      </c>
      <c r="AH72" s="32">
        <v>0.81</v>
      </c>
      <c r="AJ72" s="1">
        <v>32</v>
      </c>
      <c r="AK72" s="186">
        <v>1.6</v>
      </c>
      <c r="AL72" s="398"/>
    </row>
    <row r="73" spans="17:38" x14ac:dyDescent="0.3">
      <c r="Q73" s="220">
        <v>65</v>
      </c>
      <c r="R73" s="220" t="s">
        <v>399</v>
      </c>
      <c r="S73" s="28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7">
        <v>33</v>
      </c>
      <c r="AH73" s="32">
        <v>0.81</v>
      </c>
      <c r="AJ73" s="1">
        <v>33</v>
      </c>
      <c r="AK73" s="186">
        <v>1.6</v>
      </c>
      <c r="AL73" s="398"/>
    </row>
    <row r="74" spans="17:38" x14ac:dyDescent="0.3">
      <c r="Q74" s="220">
        <v>66</v>
      </c>
      <c r="R74" s="220" t="s">
        <v>401</v>
      </c>
      <c r="S74" s="28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7">
        <v>34</v>
      </c>
      <c r="AH74" s="32">
        <v>0.81</v>
      </c>
      <c r="AJ74" s="1">
        <v>34</v>
      </c>
      <c r="AK74" s="186">
        <v>1.6</v>
      </c>
      <c r="AL74" s="398"/>
    </row>
    <row r="75" spans="17:38" x14ac:dyDescent="0.3">
      <c r="Q75" s="220">
        <v>67</v>
      </c>
      <c r="R75" s="220" t="s">
        <v>403</v>
      </c>
      <c r="S75" s="28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7">
        <v>35</v>
      </c>
      <c r="AH75" s="32">
        <v>0.81</v>
      </c>
      <c r="AJ75" s="1">
        <v>35</v>
      </c>
      <c r="AK75" s="186">
        <v>1.6</v>
      </c>
      <c r="AL75" s="398"/>
    </row>
    <row r="76" spans="17:38" x14ac:dyDescent="0.3">
      <c r="Q76" s="220">
        <v>68</v>
      </c>
      <c r="R76" s="220" t="s">
        <v>405</v>
      </c>
      <c r="S76" s="28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7">
        <v>36</v>
      </c>
      <c r="AH76" s="32">
        <v>0.81</v>
      </c>
      <c r="AJ76" s="1">
        <v>36</v>
      </c>
      <c r="AK76" s="186">
        <v>1.6</v>
      </c>
      <c r="AL76" s="398"/>
    </row>
    <row r="77" spans="17:38" x14ac:dyDescent="0.3">
      <c r="Q77" s="220">
        <v>69</v>
      </c>
      <c r="R77" s="220" t="s">
        <v>407</v>
      </c>
      <c r="S77" s="28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7">
        <v>37</v>
      </c>
      <c r="AH77" s="32">
        <v>0.81</v>
      </c>
      <c r="AJ77" s="1">
        <v>37</v>
      </c>
      <c r="AK77" s="186">
        <v>1.6</v>
      </c>
      <c r="AL77" s="398"/>
    </row>
    <row r="78" spans="17:38" x14ac:dyDescent="0.3">
      <c r="Q78" s="220">
        <v>70</v>
      </c>
      <c r="R78" s="220" t="s">
        <v>409</v>
      </c>
      <c r="S78" s="28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7">
        <v>38</v>
      </c>
      <c r="AH78" s="32">
        <v>0.81</v>
      </c>
      <c r="AJ78" s="1">
        <v>38</v>
      </c>
      <c r="AK78" s="186">
        <v>1.6</v>
      </c>
      <c r="AL78" s="398"/>
    </row>
    <row r="79" spans="17:38" x14ac:dyDescent="0.3">
      <c r="Q79" s="220">
        <v>71</v>
      </c>
      <c r="R79" s="220" t="s">
        <v>411</v>
      </c>
      <c r="S79" s="28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7">
        <v>39</v>
      </c>
      <c r="AH79" s="32">
        <v>0.81</v>
      </c>
      <c r="AJ79" s="1">
        <v>39</v>
      </c>
      <c r="AK79" s="186">
        <v>1.6</v>
      </c>
      <c r="AL79" s="398"/>
    </row>
    <row r="80" spans="17:38" x14ac:dyDescent="0.3">
      <c r="Q80" s="220">
        <v>72</v>
      </c>
      <c r="R80" s="220" t="s">
        <v>413</v>
      </c>
      <c r="S80" s="28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7">
        <v>40</v>
      </c>
      <c r="AH80" s="32">
        <v>0.81</v>
      </c>
      <c r="AJ80" s="1">
        <v>40</v>
      </c>
      <c r="AK80" s="186">
        <v>1.6</v>
      </c>
      <c r="AL80" s="398"/>
    </row>
    <row r="81" spans="17:38" x14ac:dyDescent="0.3">
      <c r="Q81" s="220">
        <v>73</v>
      </c>
      <c r="R81" s="220" t="s">
        <v>394</v>
      </c>
      <c r="S81" s="28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7">
        <v>41</v>
      </c>
      <c r="AH81" s="32">
        <v>0.81</v>
      </c>
      <c r="AJ81" s="1">
        <v>41</v>
      </c>
      <c r="AK81" s="186">
        <v>1.6</v>
      </c>
      <c r="AL81" s="398"/>
    </row>
    <row r="82" spans="17:38" x14ac:dyDescent="0.3">
      <c r="Q82" s="220">
        <v>74</v>
      </c>
      <c r="R82" s="220" t="s">
        <v>414</v>
      </c>
      <c r="S82" s="28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7">
        <v>42</v>
      </c>
      <c r="AH82" s="32">
        <v>0.81</v>
      </c>
      <c r="AJ82" s="1">
        <v>42</v>
      </c>
      <c r="AK82" s="186">
        <v>1.6</v>
      </c>
      <c r="AL82" s="398"/>
    </row>
    <row r="83" spans="17:38" x14ac:dyDescent="0.3">
      <c r="Q83" s="220">
        <v>75</v>
      </c>
      <c r="R83" s="220" t="s">
        <v>416</v>
      </c>
      <c r="S83" s="28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7">
        <v>43</v>
      </c>
      <c r="AH83" s="32">
        <v>0.81</v>
      </c>
      <c r="AJ83" s="1">
        <v>43</v>
      </c>
      <c r="AK83" s="186">
        <v>1.6</v>
      </c>
      <c r="AL83" s="398"/>
    </row>
    <row r="84" spans="17:38" x14ac:dyDescent="0.3">
      <c r="Q84" s="220">
        <v>76</v>
      </c>
      <c r="R84" s="220" t="s">
        <v>399</v>
      </c>
      <c r="S84" s="28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7">
        <v>44</v>
      </c>
      <c r="AH84" s="32">
        <v>0.81</v>
      </c>
      <c r="AJ84" s="1">
        <v>44</v>
      </c>
      <c r="AK84" s="186">
        <v>1.6</v>
      </c>
      <c r="AL84" s="398"/>
    </row>
    <row r="85" spans="17:38" x14ac:dyDescent="0.3">
      <c r="Q85" s="220">
        <v>77</v>
      </c>
      <c r="R85" s="220" t="s">
        <v>401</v>
      </c>
      <c r="S85" s="28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7">
        <v>45</v>
      </c>
      <c r="AH85" s="32">
        <v>0.81</v>
      </c>
      <c r="AJ85" s="1">
        <v>45</v>
      </c>
      <c r="AK85" s="186">
        <v>1.6</v>
      </c>
      <c r="AL85" s="398"/>
    </row>
    <row r="86" spans="17:38" x14ac:dyDescent="0.3">
      <c r="Q86" s="220">
        <v>78</v>
      </c>
      <c r="R86" s="220" t="s">
        <v>403</v>
      </c>
      <c r="S86" s="28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7">
        <v>46</v>
      </c>
      <c r="AH86" s="32">
        <v>0.81</v>
      </c>
      <c r="AJ86" s="1">
        <v>46</v>
      </c>
      <c r="AK86" s="186">
        <v>1.6</v>
      </c>
      <c r="AL86" s="398"/>
    </row>
    <row r="87" spans="17:38" x14ac:dyDescent="0.3">
      <c r="Q87" s="220">
        <v>79</v>
      </c>
      <c r="R87" s="220" t="s">
        <v>405</v>
      </c>
      <c r="S87" s="28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7">
        <v>47</v>
      </c>
      <c r="AH87" s="32">
        <v>0.81</v>
      </c>
      <c r="AJ87" s="1">
        <v>47</v>
      </c>
      <c r="AK87" s="186">
        <v>1.6</v>
      </c>
      <c r="AL87" s="398"/>
    </row>
    <row r="88" spans="17:38" x14ac:dyDescent="0.3">
      <c r="Q88" s="220">
        <v>80</v>
      </c>
      <c r="R88" s="220" t="s">
        <v>407</v>
      </c>
      <c r="S88" s="28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7">
        <v>48</v>
      </c>
      <c r="AH88" s="32">
        <v>0.81</v>
      </c>
      <c r="AJ88" s="1">
        <v>48</v>
      </c>
      <c r="AK88" s="186">
        <v>1.6</v>
      </c>
      <c r="AL88" s="398"/>
    </row>
    <row r="89" spans="17:38" x14ac:dyDescent="0.3">
      <c r="Q89" s="220">
        <v>81</v>
      </c>
      <c r="R89" s="220" t="s">
        <v>409</v>
      </c>
      <c r="S89" s="28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7">
        <v>49</v>
      </c>
      <c r="AH89" s="32">
        <v>0.81</v>
      </c>
      <c r="AJ89" s="1">
        <v>49</v>
      </c>
      <c r="AK89" s="186">
        <v>1.6</v>
      </c>
      <c r="AL89" s="398"/>
    </row>
    <row r="90" spans="17:38" x14ac:dyDescent="0.3">
      <c r="Q90" s="220">
        <v>82</v>
      </c>
      <c r="R90" s="220" t="s">
        <v>411</v>
      </c>
      <c r="S90" s="28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7">
        <v>50</v>
      </c>
      <c r="AH90" s="32">
        <v>0.81</v>
      </c>
      <c r="AJ90" s="1">
        <v>50</v>
      </c>
      <c r="AK90" s="186">
        <v>1.6</v>
      </c>
      <c r="AL90" s="398"/>
    </row>
    <row r="91" spans="17:38" x14ac:dyDescent="0.3">
      <c r="Q91" s="220">
        <v>83</v>
      </c>
      <c r="R91" s="220" t="s">
        <v>413</v>
      </c>
      <c r="S91" s="28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7">
        <v>51</v>
      </c>
      <c r="AH91" s="32">
        <v>0.81</v>
      </c>
      <c r="AJ91" s="1">
        <v>51</v>
      </c>
      <c r="AK91" s="186">
        <v>1.6</v>
      </c>
      <c r="AL91" s="398"/>
    </row>
    <row r="92" spans="17:38" x14ac:dyDescent="0.3">
      <c r="Q92" s="220">
        <v>84</v>
      </c>
      <c r="R92" s="220" t="s">
        <v>394</v>
      </c>
      <c r="S92" s="28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7">
        <v>52</v>
      </c>
      <c r="AH92" s="32">
        <v>0.81</v>
      </c>
      <c r="AJ92" s="1">
        <v>52</v>
      </c>
      <c r="AK92" s="186">
        <v>1.6</v>
      </c>
      <c r="AL92" s="398"/>
    </row>
    <row r="93" spans="17:38" x14ac:dyDescent="0.3">
      <c r="Q93" s="220">
        <v>85</v>
      </c>
      <c r="R93" s="220" t="s">
        <v>401</v>
      </c>
      <c r="S93" s="28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7">
        <v>53</v>
      </c>
      <c r="AH93" s="32">
        <v>0.81</v>
      </c>
      <c r="AJ93" s="1">
        <v>53</v>
      </c>
      <c r="AK93" s="186">
        <v>1.6</v>
      </c>
      <c r="AL93" s="398"/>
    </row>
    <row r="94" spans="17:38" x14ac:dyDescent="0.3">
      <c r="Q94" s="220">
        <v>86</v>
      </c>
      <c r="R94" s="220" t="s">
        <v>403</v>
      </c>
      <c r="S94" s="28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7">
        <v>54</v>
      </c>
      <c r="AH94" s="32">
        <v>0.81</v>
      </c>
      <c r="AJ94" s="1">
        <v>54</v>
      </c>
      <c r="AK94" s="186">
        <v>1.6</v>
      </c>
      <c r="AL94" s="398"/>
    </row>
    <row r="95" spans="17:38" x14ac:dyDescent="0.3">
      <c r="Q95" s="220">
        <v>87</v>
      </c>
      <c r="R95" s="220" t="s">
        <v>405</v>
      </c>
      <c r="S95" s="28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7">
        <v>55</v>
      </c>
      <c r="AH95" s="32">
        <v>0.81</v>
      </c>
      <c r="AJ95" s="1">
        <v>55</v>
      </c>
      <c r="AK95" s="186">
        <v>1.6</v>
      </c>
      <c r="AL95" s="398"/>
    </row>
    <row r="96" spans="17:38" x14ac:dyDescent="0.3">
      <c r="Q96" s="220">
        <v>88</v>
      </c>
      <c r="R96" s="220" t="s">
        <v>407</v>
      </c>
      <c r="S96" s="28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7">
        <v>56</v>
      </c>
      <c r="AH96" s="32">
        <v>0.81</v>
      </c>
      <c r="AJ96" s="1">
        <v>56</v>
      </c>
      <c r="AK96" s="186">
        <v>1.6</v>
      </c>
      <c r="AL96" s="398"/>
    </row>
    <row r="97" spans="2:38" x14ac:dyDescent="0.3">
      <c r="Q97" s="220">
        <v>89</v>
      </c>
      <c r="R97" s="220" t="s">
        <v>409</v>
      </c>
      <c r="S97" s="28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7">
        <v>57</v>
      </c>
      <c r="AH97" s="32">
        <v>0.81</v>
      </c>
      <c r="AJ97" s="1">
        <v>57</v>
      </c>
      <c r="AK97" s="186">
        <v>1.6</v>
      </c>
      <c r="AL97" s="398"/>
    </row>
    <row r="98" spans="2:38" x14ac:dyDescent="0.3">
      <c r="Q98" s="220">
        <v>90</v>
      </c>
      <c r="R98" s="220" t="s">
        <v>411</v>
      </c>
      <c r="S98" s="28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7">
        <v>58</v>
      </c>
      <c r="AH98" s="32">
        <v>0.81</v>
      </c>
      <c r="AJ98" s="1">
        <v>58</v>
      </c>
      <c r="AK98" s="186">
        <v>1.6</v>
      </c>
      <c r="AL98" s="398"/>
    </row>
    <row r="99" spans="2:38" x14ac:dyDescent="0.3">
      <c r="Q99" s="220">
        <v>91</v>
      </c>
      <c r="R99" s="220" t="s">
        <v>413</v>
      </c>
      <c r="S99" s="28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7">
        <v>59</v>
      </c>
      <c r="AH99" s="32">
        <v>0.81</v>
      </c>
      <c r="AJ99" s="1">
        <v>59</v>
      </c>
      <c r="AK99" s="186">
        <v>1.6</v>
      </c>
      <c r="AL99" s="398"/>
    </row>
    <row r="100" spans="2:38" x14ac:dyDescent="0.3">
      <c r="Q100" s="220">
        <v>92</v>
      </c>
      <c r="R100" s="220" t="s">
        <v>394</v>
      </c>
      <c r="S100" s="28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7">
        <v>60</v>
      </c>
      <c r="AH100" s="32">
        <v>0.81</v>
      </c>
      <c r="AJ100" s="1">
        <v>60</v>
      </c>
      <c r="AK100" s="186">
        <v>1.6</v>
      </c>
      <c r="AL100" s="398"/>
    </row>
    <row r="101" spans="2:38" x14ac:dyDescent="0.3">
      <c r="Q101" s="220">
        <v>93</v>
      </c>
      <c r="R101" s="220" t="s">
        <v>414</v>
      </c>
      <c r="S101" s="28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7">
        <v>61</v>
      </c>
      <c r="AH101" s="32">
        <v>0.81</v>
      </c>
      <c r="AJ101" s="1">
        <v>61</v>
      </c>
      <c r="AK101" s="186">
        <v>1.6</v>
      </c>
      <c r="AL101" s="398"/>
    </row>
    <row r="102" spans="2:38" x14ac:dyDescent="0.3">
      <c r="Q102" s="220">
        <v>94</v>
      </c>
      <c r="R102" s="220" t="s">
        <v>399</v>
      </c>
      <c r="S102" s="28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7">
        <v>62</v>
      </c>
      <c r="AH102" s="32">
        <v>0.81</v>
      </c>
      <c r="AJ102" s="1">
        <v>62</v>
      </c>
      <c r="AK102" s="186">
        <v>1.6</v>
      </c>
      <c r="AL102" s="398"/>
    </row>
    <row r="103" spans="2:38" x14ac:dyDescent="0.3">
      <c r="Q103" s="220">
        <v>95</v>
      </c>
      <c r="R103" s="220" t="s">
        <v>401</v>
      </c>
      <c r="S103" s="28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7">
        <v>63</v>
      </c>
      <c r="AH103" s="32">
        <v>0.81</v>
      </c>
      <c r="AJ103" s="1">
        <v>63</v>
      </c>
      <c r="AK103" s="186">
        <v>1.6</v>
      </c>
      <c r="AL103" s="398"/>
    </row>
    <row r="104" spans="2:38" x14ac:dyDescent="0.3">
      <c r="Q104" s="220">
        <v>96</v>
      </c>
      <c r="R104" s="220" t="s">
        <v>403</v>
      </c>
      <c r="S104" s="28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7">
        <v>64</v>
      </c>
      <c r="AH104" s="32">
        <v>0.81</v>
      </c>
      <c r="AJ104" s="1">
        <v>64</v>
      </c>
      <c r="AK104" s="186">
        <v>1.6</v>
      </c>
      <c r="AL104" s="398"/>
    </row>
    <row r="105" spans="2:38" x14ac:dyDescent="0.3">
      <c r="Q105" s="220">
        <v>97</v>
      </c>
      <c r="R105" s="220" t="s">
        <v>405</v>
      </c>
      <c r="S105" s="28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7">
        <v>65</v>
      </c>
      <c r="AH105" s="32">
        <v>0.81</v>
      </c>
      <c r="AJ105" s="1">
        <v>65</v>
      </c>
      <c r="AK105" s="186">
        <v>1.6</v>
      </c>
      <c r="AL105" s="398"/>
    </row>
    <row r="106" spans="2:38" x14ac:dyDescent="0.3">
      <c r="Q106" s="220">
        <v>98</v>
      </c>
      <c r="R106" s="220" t="s">
        <v>407</v>
      </c>
      <c r="S106" s="28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7">
        <v>66</v>
      </c>
      <c r="AH106" s="32">
        <v>0.81</v>
      </c>
      <c r="AJ106" s="1">
        <v>66</v>
      </c>
      <c r="AK106" s="186">
        <v>1.6</v>
      </c>
      <c r="AL106" s="398"/>
    </row>
    <row r="107" spans="2:38" x14ac:dyDescent="0.3">
      <c r="Q107" s="220">
        <v>99</v>
      </c>
      <c r="R107" s="220" t="s">
        <v>409</v>
      </c>
      <c r="S107" s="28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7">
        <v>67</v>
      </c>
      <c r="AH107" s="32">
        <v>0.81</v>
      </c>
      <c r="AJ107" s="1">
        <v>67</v>
      </c>
      <c r="AK107" s="186">
        <v>1.6</v>
      </c>
      <c r="AL107" s="398"/>
    </row>
    <row r="108" spans="2:38" x14ac:dyDescent="0.3">
      <c r="Q108" s="220">
        <v>100</v>
      </c>
      <c r="R108" s="220" t="s">
        <v>411</v>
      </c>
      <c r="S108" s="28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7">
        <v>68</v>
      </c>
      <c r="AH108" s="32">
        <v>0.81</v>
      </c>
      <c r="AJ108" s="1">
        <v>68</v>
      </c>
      <c r="AK108" s="186">
        <v>1.6</v>
      </c>
      <c r="AL108" s="398"/>
    </row>
    <row r="109" spans="2:38" x14ac:dyDescent="0.3">
      <c r="Q109" s="220">
        <v>101</v>
      </c>
      <c r="R109" s="220" t="s">
        <v>413</v>
      </c>
      <c r="S109" s="28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7">
        <v>69</v>
      </c>
      <c r="AH109" s="32">
        <v>0.81</v>
      </c>
      <c r="AJ109" s="1">
        <v>69</v>
      </c>
      <c r="AK109" s="186">
        <v>1.6</v>
      </c>
      <c r="AL109" s="398"/>
    </row>
    <row r="110" spans="2:38" x14ac:dyDescent="0.3">
      <c r="Q110" s="220">
        <v>102</v>
      </c>
      <c r="R110" s="220" t="s">
        <v>394</v>
      </c>
      <c r="S110" s="28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7">
        <v>70</v>
      </c>
      <c r="AH110" s="32">
        <v>0.81</v>
      </c>
      <c r="AJ110" s="1">
        <v>70</v>
      </c>
      <c r="AK110" s="186">
        <v>1.6</v>
      </c>
      <c r="AL110" s="398"/>
    </row>
    <row r="111" spans="2:38" x14ac:dyDescent="0.3">
      <c r="Q111" s="220">
        <v>103</v>
      </c>
      <c r="R111" s="220" t="s">
        <v>407</v>
      </c>
      <c r="S111" s="28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7">
        <v>71</v>
      </c>
      <c r="AH111" s="32">
        <v>0.81</v>
      </c>
      <c r="AJ111" s="1">
        <v>71</v>
      </c>
      <c r="AK111" s="186">
        <v>1.6</v>
      </c>
      <c r="AL111" s="398"/>
    </row>
    <row r="112" spans="2:38" x14ac:dyDescent="0.3">
      <c r="B112" s="871" t="s">
        <v>435</v>
      </c>
      <c r="C112" s="871"/>
      <c r="D112" s="871"/>
      <c r="E112" s="871"/>
      <c r="F112" s="871"/>
      <c r="G112" s="871"/>
      <c r="H112" s="871"/>
      <c r="I112" s="871"/>
      <c r="J112" s="871"/>
      <c r="Q112" s="220">
        <v>104</v>
      </c>
      <c r="R112" s="220" t="s">
        <v>409</v>
      </c>
      <c r="S112" s="28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7">
        <v>72</v>
      </c>
      <c r="AH112" s="32">
        <v>0.81</v>
      </c>
      <c r="AJ112" s="1">
        <v>72</v>
      </c>
      <c r="AK112" s="186">
        <v>1.6</v>
      </c>
      <c r="AL112" s="398"/>
    </row>
    <row r="113" spans="2:38" x14ac:dyDescent="0.3">
      <c r="B113" s="871"/>
      <c r="C113" s="871"/>
      <c r="D113" s="871"/>
      <c r="E113" s="871"/>
      <c r="F113" s="871"/>
      <c r="G113" s="871"/>
      <c r="H113" s="871"/>
      <c r="I113" s="871"/>
      <c r="J113" s="871"/>
      <c r="Q113" s="220">
        <v>105</v>
      </c>
      <c r="R113" s="220" t="s">
        <v>411</v>
      </c>
      <c r="S113" s="28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7">
        <v>73</v>
      </c>
      <c r="AH113" s="32">
        <v>0.81</v>
      </c>
      <c r="AJ113" s="1">
        <v>73</v>
      </c>
      <c r="AK113" s="186">
        <v>1.6</v>
      </c>
      <c r="AL113" s="398"/>
    </row>
    <row r="114" spans="2:38" x14ac:dyDescent="0.3">
      <c r="Q114" s="220">
        <v>106</v>
      </c>
      <c r="R114" s="220" t="s">
        <v>413</v>
      </c>
      <c r="S114" s="28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7">
        <v>74</v>
      </c>
      <c r="AH114" s="32">
        <v>0.81</v>
      </c>
      <c r="AJ114" s="1">
        <v>74</v>
      </c>
      <c r="AK114" s="186">
        <v>1.6</v>
      </c>
      <c r="AL114" s="398"/>
    </row>
    <row r="115" spans="2:38" x14ac:dyDescent="0.3">
      <c r="Q115" s="220">
        <v>107</v>
      </c>
      <c r="R115" s="220" t="s">
        <v>394</v>
      </c>
      <c r="S115" s="28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7">
        <v>75</v>
      </c>
      <c r="AH115" s="32">
        <v>0.81</v>
      </c>
      <c r="AJ115" s="1">
        <v>75</v>
      </c>
      <c r="AK115" s="186">
        <v>1.6</v>
      </c>
      <c r="AL115" s="398"/>
    </row>
    <row r="116" spans="2:38" x14ac:dyDescent="0.3">
      <c r="Q116" s="220">
        <v>108</v>
      </c>
      <c r="R116" s="220" t="s">
        <v>414</v>
      </c>
      <c r="S116" s="28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7">
        <v>76</v>
      </c>
      <c r="AH116" s="32">
        <v>0.81</v>
      </c>
      <c r="AJ116" s="1">
        <v>76</v>
      </c>
      <c r="AK116" s="186">
        <v>1.6</v>
      </c>
      <c r="AL116" s="398"/>
    </row>
    <row r="117" spans="2:38" x14ac:dyDescent="0.3">
      <c r="Q117" s="220">
        <v>109</v>
      </c>
      <c r="R117" s="220" t="s">
        <v>416</v>
      </c>
      <c r="S117" s="28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7">
        <v>77</v>
      </c>
      <c r="AH117" s="32">
        <v>0.81</v>
      </c>
      <c r="AJ117" s="1">
        <v>77</v>
      </c>
      <c r="AK117" s="186">
        <v>1.6</v>
      </c>
      <c r="AL117" s="398"/>
    </row>
    <row r="118" spans="2:38" x14ac:dyDescent="0.3">
      <c r="Q118" s="220">
        <v>110</v>
      </c>
      <c r="R118" s="220" t="s">
        <v>399</v>
      </c>
      <c r="S118" s="28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7">
        <v>78</v>
      </c>
      <c r="AH118" s="32">
        <v>0.81</v>
      </c>
      <c r="AJ118" s="1">
        <v>78</v>
      </c>
      <c r="AK118" s="186">
        <v>1.6</v>
      </c>
      <c r="AL118" s="398"/>
    </row>
    <row r="119" spans="2:38" x14ac:dyDescent="0.3">
      <c r="Q119" s="220">
        <v>111</v>
      </c>
      <c r="R119" s="220" t="s">
        <v>401</v>
      </c>
      <c r="S119" s="28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7">
        <v>79</v>
      </c>
      <c r="AH119" s="32">
        <v>0.81</v>
      </c>
      <c r="AJ119" s="1">
        <v>79</v>
      </c>
      <c r="AK119" s="186">
        <v>1.6</v>
      </c>
      <c r="AL119" s="398"/>
    </row>
    <row r="120" spans="2:38" x14ac:dyDescent="0.3">
      <c r="Q120" s="220">
        <v>112</v>
      </c>
      <c r="R120" s="220" t="s">
        <v>403</v>
      </c>
      <c r="S120" s="28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7">
        <v>80</v>
      </c>
      <c r="AH120" s="32">
        <v>0.81</v>
      </c>
      <c r="AJ120" s="1">
        <v>80</v>
      </c>
      <c r="AK120" s="186">
        <v>1.6</v>
      </c>
      <c r="AL120" s="398"/>
    </row>
    <row r="121" spans="2:38" x14ac:dyDescent="0.3">
      <c r="Q121" s="220">
        <v>113</v>
      </c>
      <c r="R121" s="220" t="s">
        <v>407</v>
      </c>
      <c r="S121" s="28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7">
        <v>81</v>
      </c>
      <c r="AH121" s="32">
        <v>0.81</v>
      </c>
      <c r="AJ121" s="1">
        <v>81</v>
      </c>
      <c r="AK121" s="186">
        <v>1.6</v>
      </c>
      <c r="AL121" s="398"/>
    </row>
    <row r="122" spans="2:38" x14ac:dyDescent="0.3">
      <c r="Q122" s="220">
        <v>114</v>
      </c>
      <c r="R122" s="220" t="s">
        <v>409</v>
      </c>
      <c r="S122" s="28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7">
        <v>82</v>
      </c>
      <c r="AH122" s="32">
        <v>0.81</v>
      </c>
      <c r="AJ122" s="1">
        <v>82</v>
      </c>
      <c r="AK122" s="186">
        <v>1.6</v>
      </c>
      <c r="AL122" s="398"/>
    </row>
    <row r="123" spans="2:38" x14ac:dyDescent="0.3">
      <c r="Q123" s="220">
        <v>115</v>
      </c>
      <c r="R123" s="220" t="s">
        <v>411</v>
      </c>
      <c r="S123" s="28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7">
        <v>83</v>
      </c>
      <c r="AH123" s="32">
        <v>0.81</v>
      </c>
      <c r="AJ123" s="1">
        <v>83</v>
      </c>
      <c r="AK123" s="186">
        <v>1.6</v>
      </c>
      <c r="AL123" s="398"/>
    </row>
    <row r="124" spans="2:38" x14ac:dyDescent="0.3">
      <c r="Q124" s="220">
        <v>116</v>
      </c>
      <c r="R124" s="220" t="s">
        <v>413</v>
      </c>
      <c r="S124" s="28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7">
        <v>84</v>
      </c>
      <c r="AH124" s="32">
        <v>0.81</v>
      </c>
      <c r="AJ124" s="1">
        <v>84</v>
      </c>
      <c r="AK124" s="186">
        <v>1.6</v>
      </c>
      <c r="AL124" s="398"/>
    </row>
    <row r="125" spans="2:38" ht="15" thickBot="1" x14ac:dyDescent="0.35">
      <c r="Q125" s="220">
        <v>117</v>
      </c>
      <c r="R125" s="220" t="s">
        <v>394</v>
      </c>
      <c r="S125" s="28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9">
        <v>85</v>
      </c>
      <c r="AH125" s="32">
        <v>0.81</v>
      </c>
      <c r="AI125" s="400"/>
      <c r="AJ125" s="1">
        <v>85</v>
      </c>
      <c r="AK125" s="186">
        <v>1.6</v>
      </c>
      <c r="AL125" s="401"/>
    </row>
    <row r="126" spans="2:38" x14ac:dyDescent="0.3">
      <c r="Q126" s="220">
        <v>118</v>
      </c>
      <c r="R126" s="220" t="s">
        <v>414</v>
      </c>
      <c r="S126" s="28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7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7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9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7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7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9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7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7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6">
        <v>46263</v>
      </c>
      <c r="T134" s="6">
        <v>0.21</v>
      </c>
      <c r="U134" s="6"/>
      <c r="V134" s="6"/>
      <c r="AG134" s="397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6">
        <v>46263</v>
      </c>
      <c r="T135" s="6">
        <v>0.42</v>
      </c>
      <c r="U135" s="6"/>
      <c r="V135" s="6"/>
      <c r="AG135" s="399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6">
        <v>46263</v>
      </c>
      <c r="T136" s="6">
        <v>1.044</v>
      </c>
      <c r="U136" s="6"/>
      <c r="V136" s="6"/>
      <c r="AG136" s="397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6">
        <v>46263</v>
      </c>
      <c r="T137" s="6">
        <v>0.38800000000000001</v>
      </c>
      <c r="U137" s="6"/>
      <c r="V137" s="6"/>
      <c r="AG137" s="397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6">
        <v>46264</v>
      </c>
      <c r="T138" s="6">
        <v>0.91700000000000004</v>
      </c>
      <c r="U138" s="6"/>
      <c r="V138" s="6"/>
      <c r="AG138" s="397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6">
        <v>46264</v>
      </c>
      <c r="T139" s="6">
        <v>0.98599999999999999</v>
      </c>
      <c r="U139" s="6"/>
      <c r="V139" s="6"/>
      <c r="AG139" s="399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6">
        <v>46264</v>
      </c>
      <c r="T140" s="6">
        <v>1.2170000000000001</v>
      </c>
      <c r="U140" s="6"/>
      <c r="V140" s="6"/>
      <c r="AG140" s="397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6">
        <v>46264</v>
      </c>
      <c r="T141" s="6">
        <v>0.83599999999999997</v>
      </c>
      <c r="U141" s="6"/>
      <c r="V141" s="6"/>
      <c r="AG141" s="397">
        <v>101</v>
      </c>
      <c r="AH141" s="32">
        <v>0.81</v>
      </c>
    </row>
    <row r="142" spans="17:34" x14ac:dyDescent="0.3">
      <c r="Q142" s="220">
        <v>134</v>
      </c>
      <c r="R142" s="6"/>
      <c r="S142" s="286"/>
      <c r="T142" s="6"/>
      <c r="U142" s="6"/>
      <c r="V142" s="6"/>
      <c r="AG142" s="397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6"/>
      <c r="T143" s="6"/>
      <c r="U143" s="6"/>
      <c r="V143" s="6"/>
      <c r="AG143" s="399">
        <v>103</v>
      </c>
      <c r="AH143" s="32">
        <v>0.81</v>
      </c>
    </row>
    <row r="144" spans="17:34" x14ac:dyDescent="0.3">
      <c r="Q144" s="220">
        <v>136</v>
      </c>
      <c r="R144" s="6"/>
      <c r="S144" s="286"/>
      <c r="T144" s="6"/>
      <c r="U144" s="6"/>
      <c r="V144" s="6"/>
      <c r="AG144" s="397">
        <v>104</v>
      </c>
      <c r="AH144" s="32">
        <v>0.81</v>
      </c>
    </row>
    <row r="145" spans="2:34" x14ac:dyDescent="0.3">
      <c r="Q145" s="220">
        <v>137</v>
      </c>
      <c r="R145" s="6"/>
      <c r="S145" s="286"/>
      <c r="T145" s="6"/>
      <c r="U145" s="6"/>
      <c r="V145" s="6"/>
      <c r="AG145" s="397">
        <v>105</v>
      </c>
      <c r="AH145" s="32">
        <v>0.81</v>
      </c>
    </row>
    <row r="146" spans="2:34" x14ac:dyDescent="0.3">
      <c r="Q146" s="220">
        <v>138</v>
      </c>
      <c r="R146" s="6"/>
      <c r="S146" s="286"/>
      <c r="T146" s="6"/>
      <c r="U146" s="6"/>
      <c r="V146" s="6"/>
      <c r="AG146" s="397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6"/>
      <c r="T147" s="6"/>
      <c r="U147" s="6"/>
      <c r="V147" s="6"/>
      <c r="AG147" s="399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6"/>
      <c r="T148" s="6"/>
      <c r="U148" s="6"/>
      <c r="V148" s="6"/>
      <c r="AG148" s="397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6"/>
      <c r="T149" s="6"/>
      <c r="U149" s="6"/>
      <c r="V149" s="6"/>
      <c r="AG149" s="397">
        <v>109</v>
      </c>
      <c r="AH149" s="32">
        <v>0.81</v>
      </c>
    </row>
    <row r="150" spans="2:34" x14ac:dyDescent="0.3">
      <c r="Q150" s="220">
        <v>142</v>
      </c>
      <c r="R150" s="6"/>
      <c r="S150" s="286"/>
      <c r="T150" s="6"/>
      <c r="U150" s="6"/>
      <c r="V150" s="6"/>
      <c r="AG150" s="397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6"/>
      <c r="T151" s="6"/>
      <c r="U151" s="6"/>
      <c r="V151" s="6"/>
      <c r="AG151" s="399">
        <v>111</v>
      </c>
      <c r="AH151" s="32">
        <v>0.81</v>
      </c>
    </row>
    <row r="152" spans="2:34" x14ac:dyDescent="0.3">
      <c r="Q152" s="220">
        <v>144</v>
      </c>
      <c r="R152" s="6"/>
      <c r="S152" s="286"/>
      <c r="T152" s="6"/>
      <c r="U152" s="6"/>
      <c r="V152" s="6"/>
      <c r="AG152" s="397">
        <v>112</v>
      </c>
      <c r="AH152" s="32">
        <v>0.81</v>
      </c>
    </row>
    <row r="153" spans="2:34" x14ac:dyDescent="0.3">
      <c r="Q153" s="220">
        <v>145</v>
      </c>
      <c r="R153" s="6"/>
      <c r="S153" s="286"/>
      <c r="T153" s="6"/>
      <c r="U153" s="6"/>
      <c r="V153" s="6"/>
      <c r="AG153" s="397">
        <v>113</v>
      </c>
      <c r="AH153" s="32">
        <v>0.81</v>
      </c>
    </row>
    <row r="154" spans="2:34" x14ac:dyDescent="0.3">
      <c r="Q154" s="220">
        <v>146</v>
      </c>
      <c r="R154" s="6"/>
      <c r="S154" s="286"/>
      <c r="T154" s="6"/>
      <c r="U154" s="6"/>
      <c r="V154" s="6"/>
      <c r="AG154" s="397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6"/>
      <c r="T155" s="6"/>
      <c r="U155" s="6"/>
      <c r="V155" s="6"/>
      <c r="AG155" s="399">
        <v>115</v>
      </c>
      <c r="AH155" s="32">
        <v>0.81</v>
      </c>
    </row>
    <row r="156" spans="2:34" x14ac:dyDescent="0.3">
      <c r="Q156" s="220">
        <v>148</v>
      </c>
      <c r="R156" s="6"/>
      <c r="S156" s="286"/>
      <c r="T156" s="6"/>
      <c r="U156" s="6"/>
      <c r="V156" s="6"/>
      <c r="AG156" s="397">
        <v>116</v>
      </c>
      <c r="AH156" s="32">
        <v>0.81</v>
      </c>
    </row>
    <row r="157" spans="2:34" x14ac:dyDescent="0.3">
      <c r="Q157" s="220">
        <v>149</v>
      </c>
      <c r="R157" s="6"/>
      <c r="S157" s="286"/>
      <c r="T157" s="6"/>
      <c r="U157" s="6"/>
      <c r="V157" s="6"/>
      <c r="AG157" s="397">
        <v>117</v>
      </c>
      <c r="AH157" s="32">
        <v>0.81</v>
      </c>
    </row>
    <row r="158" spans="2:34" x14ac:dyDescent="0.3">
      <c r="Q158" s="220">
        <v>150</v>
      </c>
      <c r="R158" s="6"/>
      <c r="S158" s="286"/>
      <c r="T158" s="6"/>
      <c r="U158" s="6"/>
      <c r="V158" s="6"/>
      <c r="AG158" s="397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6"/>
      <c r="T159" s="6"/>
      <c r="U159" s="6"/>
      <c r="V159" s="6"/>
      <c r="AG159" s="399">
        <v>119</v>
      </c>
      <c r="AH159" s="32">
        <v>0.81</v>
      </c>
    </row>
    <row r="160" spans="2:34" x14ac:dyDescent="0.3">
      <c r="Q160" s="220">
        <v>152</v>
      </c>
      <c r="R160" s="6"/>
      <c r="S160" s="286"/>
      <c r="T160" s="6"/>
      <c r="U160" s="6"/>
      <c r="V160" s="6"/>
      <c r="AG160" s="397">
        <v>120</v>
      </c>
      <c r="AH160" s="32">
        <v>0.81</v>
      </c>
    </row>
    <row r="161" spans="17:34" x14ac:dyDescent="0.3">
      <c r="Q161" s="220">
        <v>153</v>
      </c>
      <c r="R161" s="6"/>
      <c r="S161" s="286"/>
      <c r="T161" s="6"/>
      <c r="U161" s="6"/>
      <c r="V161" s="6"/>
      <c r="AG161" s="397">
        <v>121</v>
      </c>
      <c r="AH161" s="32">
        <v>0.81</v>
      </c>
    </row>
    <row r="162" spans="17:34" x14ac:dyDescent="0.3">
      <c r="Q162" s="220">
        <v>154</v>
      </c>
      <c r="R162" s="6"/>
      <c r="S162" s="286"/>
      <c r="T162" s="6"/>
      <c r="U162" s="6"/>
      <c r="V162" s="6"/>
      <c r="AG162" s="397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6"/>
      <c r="T163" s="6"/>
      <c r="U163" s="6"/>
      <c r="V163" s="6"/>
      <c r="AG163" s="399">
        <v>123</v>
      </c>
      <c r="AH163" s="32">
        <v>0.81</v>
      </c>
    </row>
    <row r="164" spans="17:34" x14ac:dyDescent="0.3">
      <c r="Q164" s="220">
        <v>156</v>
      </c>
      <c r="R164" s="6"/>
      <c r="S164" s="286"/>
      <c r="T164" s="6"/>
      <c r="U164" s="6"/>
      <c r="V164" s="6"/>
      <c r="AG164" s="397">
        <v>124</v>
      </c>
      <c r="AH164" s="32">
        <v>0.81</v>
      </c>
    </row>
    <row r="165" spans="17:34" x14ac:dyDescent="0.3">
      <c r="Q165" s="220">
        <v>157</v>
      </c>
      <c r="R165" s="6"/>
      <c r="S165" s="286"/>
      <c r="T165" s="6"/>
      <c r="U165" s="6"/>
      <c r="V165" s="6"/>
      <c r="AG165" s="397">
        <v>125</v>
      </c>
      <c r="AH165" s="32">
        <v>0.81</v>
      </c>
    </row>
    <row r="166" spans="17:34" x14ac:dyDescent="0.3">
      <c r="Q166" s="220">
        <v>158</v>
      </c>
      <c r="R166" s="6"/>
      <c r="S166" s="286"/>
      <c r="T166" s="6"/>
      <c r="U166" s="6"/>
      <c r="V166" s="6"/>
      <c r="AG166" s="397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6"/>
      <c r="T167" s="6"/>
      <c r="U167" s="6"/>
      <c r="V167" s="6"/>
      <c r="AG167" s="399">
        <v>127</v>
      </c>
      <c r="AH167" s="32">
        <v>0.81</v>
      </c>
    </row>
    <row r="168" spans="17:34" x14ac:dyDescent="0.3">
      <c r="Q168" s="220">
        <v>160</v>
      </c>
      <c r="R168" s="6"/>
      <c r="S168" s="286"/>
      <c r="T168" s="6"/>
      <c r="U168" s="6"/>
      <c r="V168" s="6"/>
      <c r="AG168" s="397">
        <v>128</v>
      </c>
      <c r="AH168" s="32">
        <v>0.81</v>
      </c>
    </row>
    <row r="169" spans="17:34" x14ac:dyDescent="0.3">
      <c r="Q169" s="220">
        <v>161</v>
      </c>
      <c r="R169" s="6"/>
      <c r="S169" s="286"/>
      <c r="T169" s="6"/>
      <c r="U169" s="6"/>
      <c r="V169" s="6"/>
      <c r="AG169" s="397">
        <v>129</v>
      </c>
      <c r="AH169" s="32">
        <v>0.81</v>
      </c>
    </row>
    <row r="170" spans="17:34" x14ac:dyDescent="0.3">
      <c r="Q170" s="220">
        <v>162</v>
      </c>
      <c r="R170" s="6"/>
      <c r="S170" s="286"/>
      <c r="T170" s="6"/>
      <c r="U170" s="6"/>
      <c r="V170" s="6"/>
      <c r="AG170" s="397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6"/>
      <c r="T171" s="6"/>
      <c r="U171" s="6"/>
      <c r="V171" s="6"/>
      <c r="AG171" s="399">
        <v>131</v>
      </c>
      <c r="AH171" s="32">
        <v>0.81</v>
      </c>
    </row>
    <row r="172" spans="17:34" x14ac:dyDescent="0.3">
      <c r="Q172" s="220">
        <v>164</v>
      </c>
      <c r="R172" s="6"/>
      <c r="S172" s="286"/>
      <c r="T172" s="6"/>
      <c r="U172" s="6"/>
      <c r="V172" s="6"/>
      <c r="AG172" s="397">
        <v>132</v>
      </c>
      <c r="AH172" s="32">
        <v>0.81</v>
      </c>
    </row>
    <row r="173" spans="17:34" x14ac:dyDescent="0.3">
      <c r="Q173" s="220">
        <v>165</v>
      </c>
      <c r="R173" s="6"/>
      <c r="S173" s="286"/>
      <c r="T173" s="6"/>
      <c r="U173" s="6"/>
      <c r="V173" s="6"/>
      <c r="AG173" s="397">
        <v>133</v>
      </c>
      <c r="AH173" s="32">
        <v>0.81</v>
      </c>
    </row>
    <row r="174" spans="17:34" x14ac:dyDescent="0.3">
      <c r="Q174" s="220">
        <v>166</v>
      </c>
      <c r="R174" s="6"/>
      <c r="S174" s="286"/>
      <c r="T174" s="6"/>
      <c r="U174" s="6"/>
      <c r="V174" s="6"/>
    </row>
    <row r="175" spans="17:34" x14ac:dyDescent="0.3">
      <c r="Q175" s="220">
        <v>167</v>
      </c>
      <c r="R175" s="6"/>
      <c r="S175" s="286"/>
      <c r="T175" s="6"/>
      <c r="U175" s="6"/>
      <c r="V175" s="6"/>
    </row>
    <row r="176" spans="17:34" x14ac:dyDescent="0.3">
      <c r="Q176" s="220">
        <v>168</v>
      </c>
      <c r="R176" s="6"/>
      <c r="S176" s="286"/>
      <c r="T176" s="6"/>
      <c r="U176" s="6"/>
      <c r="V176" s="6"/>
    </row>
    <row r="177" spans="17:22" x14ac:dyDescent="0.3">
      <c r="Q177" s="220">
        <v>169</v>
      </c>
      <c r="R177" s="6"/>
      <c r="S177" s="286"/>
      <c r="T177" s="6"/>
      <c r="U177" s="6"/>
      <c r="V177" s="6"/>
    </row>
    <row r="178" spans="17:22" x14ac:dyDescent="0.3">
      <c r="Q178" s="220">
        <v>170</v>
      </c>
      <c r="R178" s="6"/>
      <c r="S178" s="286"/>
      <c r="T178" s="6"/>
      <c r="U178" s="6"/>
      <c r="V178" s="6"/>
    </row>
    <row r="179" spans="17:22" x14ac:dyDescent="0.3">
      <c r="Q179" s="220">
        <v>171</v>
      </c>
      <c r="R179" s="6"/>
      <c r="S179" s="286"/>
      <c r="T179" s="6"/>
      <c r="U179" s="6"/>
      <c r="V179" s="6"/>
    </row>
    <row r="180" spans="17:22" x14ac:dyDescent="0.3">
      <c r="Q180" s="220">
        <v>172</v>
      </c>
      <c r="R180" s="6"/>
      <c r="S180" s="286"/>
      <c r="T180" s="6"/>
      <c r="U180" s="6"/>
      <c r="V180" s="6"/>
    </row>
    <row r="181" spans="17:22" x14ac:dyDescent="0.3">
      <c r="Q181" s="220">
        <v>173</v>
      </c>
      <c r="R181" s="6"/>
      <c r="S181" s="286"/>
      <c r="T181" s="6"/>
      <c r="U181" s="6"/>
      <c r="V181" s="6"/>
    </row>
    <row r="182" spans="17:22" x14ac:dyDescent="0.3">
      <c r="Q182" s="220">
        <v>174</v>
      </c>
      <c r="R182" s="6"/>
      <c r="S182" s="286"/>
      <c r="T182" s="6"/>
      <c r="U182" s="6"/>
      <c r="V182" s="6"/>
    </row>
    <row r="183" spans="17:22" x14ac:dyDescent="0.3">
      <c r="Q183" s="220">
        <v>175</v>
      </c>
      <c r="R183" s="6"/>
      <c r="S183" s="286"/>
      <c r="T183" s="6"/>
      <c r="U183" s="6"/>
      <c r="V183" s="6"/>
    </row>
    <row r="184" spans="17:22" x14ac:dyDescent="0.3">
      <c r="Q184" s="220">
        <v>176</v>
      </c>
      <c r="R184" s="6"/>
      <c r="S184" s="286"/>
      <c r="T184" s="6"/>
      <c r="U184" s="6"/>
      <c r="V184" s="6"/>
    </row>
    <row r="185" spans="17:22" x14ac:dyDescent="0.3">
      <c r="Q185" s="220">
        <v>177</v>
      </c>
      <c r="R185" s="6"/>
      <c r="S185" s="286"/>
      <c r="T185" s="6"/>
      <c r="U185" s="6"/>
      <c r="V185" s="6"/>
    </row>
    <row r="186" spans="17:22" x14ac:dyDescent="0.3">
      <c r="Q186" s="220">
        <v>178</v>
      </c>
      <c r="R186" s="6"/>
      <c r="S186" s="286"/>
      <c r="T186" s="6"/>
      <c r="U186" s="6"/>
      <c r="V186" s="6"/>
    </row>
    <row r="187" spans="17:22" x14ac:dyDescent="0.3">
      <c r="Q187" s="220">
        <v>179</v>
      </c>
      <c r="R187" s="6"/>
      <c r="S187" s="286"/>
      <c r="T187" s="6"/>
      <c r="U187" s="6"/>
      <c r="V187" s="6"/>
    </row>
    <row r="188" spans="17:22" x14ac:dyDescent="0.3">
      <c r="Q188" s="220">
        <v>180</v>
      </c>
      <c r="R188" s="6"/>
      <c r="S188" s="286"/>
      <c r="T188" s="6"/>
      <c r="U188" s="6"/>
      <c r="V188" s="6"/>
    </row>
    <row r="189" spans="17:22" x14ac:dyDescent="0.3">
      <c r="Q189" s="220">
        <v>181</v>
      </c>
      <c r="R189" s="6"/>
      <c r="S189" s="286"/>
      <c r="T189" s="6"/>
      <c r="U189" s="6"/>
      <c r="V189" s="6"/>
    </row>
    <row r="190" spans="17:22" x14ac:dyDescent="0.3">
      <c r="Q190" s="220">
        <v>182</v>
      </c>
      <c r="R190" s="6"/>
      <c r="S190" s="286"/>
      <c r="T190" s="6"/>
      <c r="U190" s="6"/>
      <c r="V190" s="6"/>
    </row>
    <row r="191" spans="17:22" x14ac:dyDescent="0.3">
      <c r="Q191" s="220">
        <v>183</v>
      </c>
      <c r="R191" s="6"/>
      <c r="S191" s="286"/>
      <c r="T191" s="6"/>
      <c r="U191" s="6"/>
      <c r="V191" s="6"/>
    </row>
    <row r="192" spans="17:22" x14ac:dyDescent="0.3">
      <c r="Q192" s="220">
        <v>184</v>
      </c>
      <c r="R192" s="6"/>
      <c r="S192" s="286"/>
      <c r="T192" s="6"/>
      <c r="U192" s="6"/>
      <c r="V192" s="6"/>
    </row>
    <row r="193" spans="17:22" x14ac:dyDescent="0.3">
      <c r="Q193" s="220">
        <v>185</v>
      </c>
      <c r="R193" s="6"/>
      <c r="S193" s="286"/>
      <c r="T193" s="6"/>
      <c r="U193" s="6"/>
      <c r="V193" s="6"/>
    </row>
    <row r="194" spans="17:22" x14ac:dyDescent="0.3">
      <c r="Q194" s="220">
        <v>186</v>
      </c>
      <c r="R194" s="6"/>
      <c r="S194" s="286"/>
      <c r="T194" s="6"/>
      <c r="U194" s="6"/>
      <c r="V194" s="6"/>
    </row>
    <row r="195" spans="17:22" x14ac:dyDescent="0.3">
      <c r="Q195" s="220">
        <v>187</v>
      </c>
      <c r="R195" s="6"/>
      <c r="S195" s="286"/>
      <c r="T195" s="6"/>
      <c r="U195" s="6"/>
      <c r="V195" s="6"/>
    </row>
    <row r="196" spans="17:22" x14ac:dyDescent="0.3">
      <c r="Q196" s="220">
        <v>188</v>
      </c>
      <c r="R196" s="6"/>
      <c r="S196" s="286"/>
      <c r="T196" s="6"/>
      <c r="U196" s="6"/>
      <c r="V196" s="6"/>
    </row>
    <row r="197" spans="17:22" x14ac:dyDescent="0.3">
      <c r="Q197" s="220">
        <v>189</v>
      </c>
      <c r="R197" s="6"/>
      <c r="S197" s="286"/>
      <c r="T197" s="6"/>
      <c r="U197" s="6"/>
      <c r="V197" s="6"/>
    </row>
    <row r="198" spans="17:22" x14ac:dyDescent="0.3">
      <c r="Q198" s="220">
        <v>190</v>
      </c>
      <c r="R198" s="6"/>
      <c r="S198" s="286"/>
      <c r="T198" s="6"/>
      <c r="U198" s="6"/>
      <c r="V198" s="6"/>
    </row>
    <row r="199" spans="17:22" x14ac:dyDescent="0.3">
      <c r="Q199" s="220">
        <v>191</v>
      </c>
      <c r="R199" s="6"/>
      <c r="S199" s="286"/>
      <c r="T199" s="6"/>
      <c r="U199" s="6"/>
      <c r="V199" s="6"/>
    </row>
    <row r="200" spans="17:22" x14ac:dyDescent="0.3">
      <c r="Q200" s="220">
        <v>192</v>
      </c>
      <c r="R200" s="6"/>
      <c r="S200" s="286"/>
      <c r="T200" s="6"/>
      <c r="U200" s="6"/>
      <c r="V200" s="6"/>
    </row>
    <row r="201" spans="17:22" x14ac:dyDescent="0.3">
      <c r="Q201" s="220">
        <v>193</v>
      </c>
      <c r="R201" s="6"/>
      <c r="S201" s="286"/>
      <c r="T201" s="6"/>
      <c r="U201" s="6"/>
      <c r="V201" s="6"/>
    </row>
    <row r="202" spans="17:22" x14ac:dyDescent="0.3">
      <c r="Q202" s="220">
        <v>194</v>
      </c>
      <c r="R202" s="6"/>
      <c r="S202" s="286"/>
      <c r="T202" s="6"/>
      <c r="U202" s="6"/>
      <c r="V202" s="6"/>
    </row>
    <row r="203" spans="17:22" x14ac:dyDescent="0.3">
      <c r="Q203" s="220">
        <v>195</v>
      </c>
      <c r="R203" s="6"/>
      <c r="S203" s="286"/>
      <c r="T203" s="6"/>
      <c r="U203" s="6"/>
      <c r="V203" s="6"/>
    </row>
    <row r="204" spans="17:22" x14ac:dyDescent="0.3">
      <c r="Q204" s="220">
        <v>196</v>
      </c>
      <c r="R204" s="6"/>
      <c r="S204" s="286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6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6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6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6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6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6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6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8" zoomScale="79" workbookViewId="0">
      <selection activeCell="G61" sqref="G6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28" t="s">
        <v>471</v>
      </c>
      <c r="C2" s="828"/>
      <c r="D2" s="828"/>
      <c r="E2" s="828"/>
      <c r="F2" s="828"/>
      <c r="G2" s="828"/>
      <c r="H2" s="828"/>
      <c r="T2" s="872" t="s">
        <v>512</v>
      </c>
      <c r="U2" s="872"/>
      <c r="V2" s="872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3" t="s">
        <v>468</v>
      </c>
      <c r="Q3" s="17" t="s">
        <v>469</v>
      </c>
      <c r="R3" s="17" t="s">
        <v>470</v>
      </c>
      <c r="S3" s="17" t="s">
        <v>350</v>
      </c>
      <c r="T3" s="276" t="s">
        <v>254</v>
      </c>
      <c r="U3" s="276" t="s">
        <v>255</v>
      </c>
      <c r="V3" s="276" t="s">
        <v>256</v>
      </c>
    </row>
    <row r="4" spans="2:28" x14ac:dyDescent="0.3">
      <c r="B4" s="645">
        <v>1</v>
      </c>
      <c r="C4" s="545">
        <v>1</v>
      </c>
      <c r="D4" s="685" t="s">
        <v>473</v>
      </c>
      <c r="E4" s="686">
        <v>46265</v>
      </c>
      <c r="F4" s="685">
        <v>1.0229999999999999</v>
      </c>
      <c r="G4" s="685">
        <v>0.31</v>
      </c>
      <c r="H4" s="685">
        <v>6.1559999999999997</v>
      </c>
      <c r="M4" s="252">
        <v>1</v>
      </c>
      <c r="N4" s="16">
        <v>1</v>
      </c>
      <c r="O4" s="6" t="s">
        <v>502</v>
      </c>
      <c r="P4" s="47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5">
        <v>2</v>
      </c>
      <c r="C5" s="545">
        <v>1</v>
      </c>
      <c r="D5" s="685" t="s">
        <v>474</v>
      </c>
      <c r="E5" s="686">
        <v>46265</v>
      </c>
      <c r="F5" s="685">
        <v>0.94899999999999995</v>
      </c>
      <c r="G5" s="685">
        <v>0.51300000000000001</v>
      </c>
      <c r="H5" s="685">
        <v>5.9560000000000004</v>
      </c>
      <c r="M5" s="252">
        <v>2</v>
      </c>
      <c r="N5" s="16">
        <v>1</v>
      </c>
      <c r="O5" s="6" t="s">
        <v>503</v>
      </c>
      <c r="P5" s="47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5">
        <v>3</v>
      </c>
      <c r="C6" s="545">
        <v>1</v>
      </c>
      <c r="D6" s="685" t="s">
        <v>475</v>
      </c>
      <c r="E6" s="686">
        <v>46265</v>
      </c>
      <c r="F6" s="685">
        <v>0.92900000000000005</v>
      </c>
      <c r="G6" s="685">
        <v>0.40699999999999997</v>
      </c>
      <c r="H6" s="685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5">
        <v>4</v>
      </c>
      <c r="C7" s="545">
        <v>1</v>
      </c>
      <c r="D7" s="685" t="s">
        <v>476</v>
      </c>
      <c r="E7" s="686">
        <v>46265</v>
      </c>
      <c r="F7" s="685">
        <v>0.64100000000000001</v>
      </c>
      <c r="G7" s="685">
        <v>0.55700000000000005</v>
      </c>
      <c r="H7" s="685">
        <v>7.72</v>
      </c>
      <c r="M7" s="252">
        <v>4</v>
      </c>
      <c r="N7" s="16">
        <v>1</v>
      </c>
      <c r="O7" s="6" t="s">
        <v>505</v>
      </c>
      <c r="P7" s="47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5">
        <v>5</v>
      </c>
      <c r="C8" s="545">
        <v>1</v>
      </c>
      <c r="D8" s="685" t="s">
        <v>477</v>
      </c>
      <c r="E8" s="686">
        <v>46265</v>
      </c>
      <c r="F8" s="685">
        <v>0.63700000000000001</v>
      </c>
      <c r="G8" s="685">
        <v>0.502</v>
      </c>
      <c r="H8" s="685">
        <v>7.51</v>
      </c>
      <c r="M8" s="502">
        <v>5</v>
      </c>
      <c r="N8" s="503">
        <v>1</v>
      </c>
      <c r="O8" s="504" t="s">
        <v>506</v>
      </c>
      <c r="P8" s="505">
        <v>46265</v>
      </c>
      <c r="Q8" s="504">
        <v>1.123</v>
      </c>
      <c r="R8" s="504">
        <v>0.28899999999999998</v>
      </c>
      <c r="S8" s="504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5">
        <v>6</v>
      </c>
      <c r="C9" s="545">
        <v>1</v>
      </c>
      <c r="D9" s="685" t="s">
        <v>478</v>
      </c>
      <c r="E9" s="686">
        <v>46265</v>
      </c>
      <c r="F9" s="685">
        <v>0.54900000000000004</v>
      </c>
      <c r="G9" s="685">
        <v>0.52600000000000002</v>
      </c>
      <c r="H9" s="685">
        <v>7.64</v>
      </c>
      <c r="M9" s="252">
        <v>6</v>
      </c>
      <c r="N9" s="16">
        <v>1</v>
      </c>
      <c r="O9" s="6" t="s">
        <v>507</v>
      </c>
      <c r="P9" s="47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5">
        <v>7</v>
      </c>
      <c r="C10" s="545">
        <v>1</v>
      </c>
      <c r="D10" s="685" t="s">
        <v>473</v>
      </c>
      <c r="E10" s="686">
        <v>46266</v>
      </c>
      <c r="F10" s="685">
        <v>0.64600000000000002</v>
      </c>
      <c r="G10" s="685">
        <v>0.68100000000000005</v>
      </c>
      <c r="H10" s="685">
        <v>7.62</v>
      </c>
      <c r="M10" s="252">
        <v>7</v>
      </c>
      <c r="N10" s="16">
        <v>1</v>
      </c>
      <c r="O10" s="6" t="s">
        <v>502</v>
      </c>
      <c r="P10" s="47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5">
        <v>8</v>
      </c>
      <c r="C11" s="545">
        <v>1</v>
      </c>
      <c r="D11" s="685" t="s">
        <v>474</v>
      </c>
      <c r="E11" s="686">
        <v>46266</v>
      </c>
      <c r="F11" s="685">
        <v>0.64500000000000002</v>
      </c>
      <c r="G11" s="685">
        <v>0.68700000000000006</v>
      </c>
      <c r="H11" s="685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5">
        <v>9</v>
      </c>
      <c r="C12" s="545">
        <v>1</v>
      </c>
      <c r="D12" s="685" t="s">
        <v>475</v>
      </c>
      <c r="E12" s="686">
        <v>46266</v>
      </c>
      <c r="F12" s="685">
        <v>0.65</v>
      </c>
      <c r="G12" s="685">
        <v>0.65500000000000003</v>
      </c>
      <c r="H12" s="685">
        <v>7.43</v>
      </c>
      <c r="M12" s="252">
        <v>9</v>
      </c>
      <c r="N12" s="16">
        <v>1</v>
      </c>
      <c r="O12" s="6" t="s">
        <v>504</v>
      </c>
      <c r="P12" s="47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5">
        <v>10</v>
      </c>
      <c r="C13" s="545">
        <v>1</v>
      </c>
      <c r="D13" s="685" t="s">
        <v>476</v>
      </c>
      <c r="E13" s="686">
        <v>46266</v>
      </c>
      <c r="F13" s="685">
        <v>0.64100000000000001</v>
      </c>
      <c r="G13" s="685">
        <v>0.55700000000000005</v>
      </c>
      <c r="H13" s="685">
        <v>7.72</v>
      </c>
      <c r="M13" s="502">
        <v>10</v>
      </c>
      <c r="N13" s="503">
        <v>1</v>
      </c>
      <c r="O13" s="504" t="s">
        <v>506</v>
      </c>
      <c r="P13" s="505">
        <v>46266</v>
      </c>
      <c r="Q13" s="504">
        <v>0.73699999999999999</v>
      </c>
      <c r="R13" s="504">
        <v>0.81499999999999995</v>
      </c>
      <c r="S13" s="504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5">
        <v>11</v>
      </c>
      <c r="C14" s="545">
        <v>1</v>
      </c>
      <c r="D14" s="685" t="s">
        <v>477</v>
      </c>
      <c r="E14" s="686">
        <v>46266</v>
      </c>
      <c r="F14" s="685">
        <v>0.63700000000000001</v>
      </c>
      <c r="G14" s="685">
        <v>0.502</v>
      </c>
      <c r="H14" s="685">
        <v>7.51</v>
      </c>
      <c r="M14" s="252">
        <v>11</v>
      </c>
      <c r="N14" s="16">
        <v>1</v>
      </c>
      <c r="O14" s="6" t="s">
        <v>508</v>
      </c>
      <c r="P14" s="47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5">
        <v>12</v>
      </c>
      <c r="C15" s="545">
        <v>1</v>
      </c>
      <c r="D15" s="685" t="s">
        <v>478</v>
      </c>
      <c r="E15" s="686">
        <v>46266</v>
      </c>
      <c r="F15" s="685">
        <v>0.54900000000000004</v>
      </c>
      <c r="G15" s="685">
        <v>0.52600000000000002</v>
      </c>
      <c r="H15" s="685">
        <v>7.64</v>
      </c>
      <c r="M15" s="252">
        <v>12</v>
      </c>
      <c r="N15" s="16">
        <v>1</v>
      </c>
      <c r="O15" s="6" t="s">
        <v>509</v>
      </c>
      <c r="P15" s="47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7">
        <v>13</v>
      </c>
      <c r="C16" s="550">
        <v>2</v>
      </c>
      <c r="D16" s="688" t="s">
        <v>473</v>
      </c>
      <c r="E16" s="689">
        <v>46267</v>
      </c>
      <c r="F16" s="688">
        <v>0.66</v>
      </c>
      <c r="G16" s="688">
        <v>0.32</v>
      </c>
      <c r="H16" s="688">
        <v>9.6300000000000008</v>
      </c>
      <c r="M16" s="252">
        <v>13</v>
      </c>
      <c r="N16" s="16">
        <v>2</v>
      </c>
      <c r="O16" s="6" t="s">
        <v>510</v>
      </c>
      <c r="P16" s="47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7">
        <v>14</v>
      </c>
      <c r="C17" s="550">
        <v>2</v>
      </c>
      <c r="D17" s="688" t="s">
        <v>474</v>
      </c>
      <c r="E17" s="689">
        <v>46267</v>
      </c>
      <c r="F17" s="688">
        <v>0.82399999999999995</v>
      </c>
      <c r="G17" s="688">
        <v>0.67</v>
      </c>
      <c r="H17" s="688">
        <v>9.7899999999999991</v>
      </c>
      <c r="M17" s="252">
        <v>14</v>
      </c>
      <c r="N17" s="16">
        <v>2</v>
      </c>
      <c r="O17" s="6" t="s">
        <v>511</v>
      </c>
      <c r="P17" s="47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7">
        <v>15</v>
      </c>
      <c r="C18" s="550">
        <v>2</v>
      </c>
      <c r="D18" s="688" t="s">
        <v>475</v>
      </c>
      <c r="E18" s="689">
        <v>46267</v>
      </c>
      <c r="F18" s="688">
        <v>0.75</v>
      </c>
      <c r="G18" s="688">
        <v>0.78</v>
      </c>
      <c r="H18" s="688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2">
        <v>15</v>
      </c>
      <c r="N18" s="503">
        <v>2</v>
      </c>
      <c r="O18" s="504" t="s">
        <v>506</v>
      </c>
      <c r="P18" s="505">
        <v>46267</v>
      </c>
      <c r="Q18" s="504">
        <v>0.95899999999999996</v>
      </c>
      <c r="R18" s="504">
        <v>0.62</v>
      </c>
      <c r="S18" s="50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7">
        <v>16</v>
      </c>
      <c r="C19" s="550">
        <v>2</v>
      </c>
      <c r="D19" s="688" t="s">
        <v>476</v>
      </c>
      <c r="E19" s="689">
        <v>46267</v>
      </c>
      <c r="F19" s="690">
        <v>0.63200000000000001</v>
      </c>
      <c r="G19" s="688">
        <v>1.103</v>
      </c>
      <c r="H19" s="688">
        <v>9.26</v>
      </c>
      <c r="M19" s="252">
        <v>16</v>
      </c>
      <c r="N19" s="16">
        <v>2</v>
      </c>
      <c r="O19" s="6" t="s">
        <v>503</v>
      </c>
      <c r="P19" s="47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7">
        <v>17</v>
      </c>
      <c r="C20" s="550">
        <v>2</v>
      </c>
      <c r="D20" s="688" t="s">
        <v>477</v>
      </c>
      <c r="E20" s="689">
        <v>46267</v>
      </c>
      <c r="F20" s="688">
        <v>0.63100000000000001</v>
      </c>
      <c r="G20" s="688">
        <v>1.008</v>
      </c>
      <c r="H20" s="688">
        <v>9.24</v>
      </c>
      <c r="M20" s="252">
        <v>17</v>
      </c>
      <c r="N20" s="16">
        <v>2</v>
      </c>
      <c r="O20" s="6" t="s">
        <v>504</v>
      </c>
      <c r="P20" s="47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7">
        <v>18</v>
      </c>
      <c r="C21" s="550">
        <v>2</v>
      </c>
      <c r="D21" s="688" t="s">
        <v>478</v>
      </c>
      <c r="E21" s="689">
        <v>46267</v>
      </c>
      <c r="F21" s="688">
        <v>0.67500000000000004</v>
      </c>
      <c r="G21" s="688">
        <v>1.089</v>
      </c>
      <c r="H21" s="688">
        <v>9.27</v>
      </c>
      <c r="M21" s="502">
        <v>18</v>
      </c>
      <c r="N21" s="503">
        <v>2</v>
      </c>
      <c r="O21" s="504" t="s">
        <v>506</v>
      </c>
      <c r="P21" s="505">
        <v>46268</v>
      </c>
      <c r="Q21" s="504">
        <v>0.76400000000000001</v>
      </c>
      <c r="R21" s="504">
        <v>0.67</v>
      </c>
      <c r="S21" s="504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7">
        <v>19</v>
      </c>
      <c r="C22" s="550">
        <v>2</v>
      </c>
      <c r="D22" s="688" t="s">
        <v>473</v>
      </c>
      <c r="E22" s="689">
        <v>46268</v>
      </c>
      <c r="F22" s="688">
        <v>0.66800000000000004</v>
      </c>
      <c r="G22" s="688">
        <v>0.61</v>
      </c>
      <c r="H22" s="688">
        <v>8.17</v>
      </c>
      <c r="M22" s="252">
        <v>19</v>
      </c>
      <c r="N22" s="16">
        <v>3</v>
      </c>
      <c r="O22" s="6" t="s">
        <v>507</v>
      </c>
      <c r="P22" s="47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7">
        <v>20</v>
      </c>
      <c r="C23" s="550">
        <v>2</v>
      </c>
      <c r="D23" s="688" t="s">
        <v>474</v>
      </c>
      <c r="E23" s="689">
        <v>46268</v>
      </c>
      <c r="F23" s="688">
        <v>0.59399999999999997</v>
      </c>
      <c r="G23" s="688">
        <v>0.71</v>
      </c>
      <c r="H23" s="688">
        <v>7.54</v>
      </c>
      <c r="M23" s="252">
        <v>20</v>
      </c>
      <c r="N23" s="16">
        <v>3</v>
      </c>
      <c r="O23" s="6" t="s">
        <v>502</v>
      </c>
      <c r="P23" s="47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7">
        <v>21</v>
      </c>
      <c r="C24" s="550">
        <v>2</v>
      </c>
      <c r="D24" s="688" t="s">
        <v>475</v>
      </c>
      <c r="E24" s="689">
        <v>46268</v>
      </c>
      <c r="F24" s="688">
        <v>0.72199999999999998</v>
      </c>
      <c r="G24" s="688">
        <v>0.85</v>
      </c>
      <c r="H24" s="688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5">
        <v>22</v>
      </c>
      <c r="C25" s="545">
        <v>3</v>
      </c>
      <c r="D25" s="685" t="s">
        <v>476</v>
      </c>
      <c r="E25" s="686">
        <v>46270</v>
      </c>
      <c r="F25" s="685">
        <v>1.0980000000000001</v>
      </c>
      <c r="G25" s="685">
        <v>0.82</v>
      </c>
      <c r="H25" s="685">
        <v>8.17</v>
      </c>
      <c r="M25" s="252">
        <v>21</v>
      </c>
      <c r="N25" s="16">
        <v>3</v>
      </c>
      <c r="O25" s="6" t="s">
        <v>505</v>
      </c>
      <c r="P25" s="47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5">
        <v>23</v>
      </c>
      <c r="C26" s="545">
        <v>3</v>
      </c>
      <c r="D26" s="685" t="s">
        <v>477</v>
      </c>
      <c r="E26" s="686">
        <v>46270</v>
      </c>
      <c r="F26" s="685">
        <v>1.0880000000000001</v>
      </c>
      <c r="G26" s="685">
        <v>0.75</v>
      </c>
      <c r="H26" s="685">
        <v>8.1</v>
      </c>
      <c r="M26" s="502">
        <v>21</v>
      </c>
      <c r="N26" s="503">
        <v>3</v>
      </c>
      <c r="O26" s="504" t="s">
        <v>506</v>
      </c>
      <c r="P26" s="505">
        <v>46271</v>
      </c>
      <c r="Q26" s="504">
        <v>1.1679999999999999</v>
      </c>
      <c r="R26" s="504">
        <v>0.83</v>
      </c>
      <c r="S26" s="504">
        <v>9.84</v>
      </c>
    </row>
    <row r="27" spans="2:28" x14ac:dyDescent="0.3">
      <c r="B27" s="645">
        <v>24</v>
      </c>
      <c r="C27" s="545">
        <v>3</v>
      </c>
      <c r="D27" s="685" t="s">
        <v>478</v>
      </c>
      <c r="E27" s="686">
        <v>46270</v>
      </c>
      <c r="F27" s="685">
        <v>1.075</v>
      </c>
      <c r="G27" s="685">
        <v>0.75</v>
      </c>
      <c r="H27" s="685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5">
        <v>25</v>
      </c>
      <c r="C28" s="545">
        <v>3</v>
      </c>
      <c r="D28" s="685" t="s">
        <v>473</v>
      </c>
      <c r="E28" s="686">
        <v>46271</v>
      </c>
      <c r="F28" s="685">
        <v>0.92</v>
      </c>
      <c r="G28" s="685">
        <v>0.56999999999999995</v>
      </c>
      <c r="H28" s="685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5">
        <v>26</v>
      </c>
      <c r="C29" s="545">
        <v>3</v>
      </c>
      <c r="D29" s="685" t="s">
        <v>474</v>
      </c>
      <c r="E29" s="686">
        <v>46271</v>
      </c>
      <c r="F29" s="685">
        <v>0.86</v>
      </c>
      <c r="G29" s="685">
        <v>0.54</v>
      </c>
      <c r="H29" s="685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5">
        <v>27</v>
      </c>
      <c r="C30" s="545">
        <v>3</v>
      </c>
      <c r="D30" s="685" t="s">
        <v>475</v>
      </c>
      <c r="E30" s="686">
        <v>46271</v>
      </c>
      <c r="F30" s="685">
        <v>0.92700000000000005</v>
      </c>
      <c r="G30" s="685">
        <v>0.6</v>
      </c>
      <c r="H30" s="685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5">
        <v>28</v>
      </c>
      <c r="C31" s="545">
        <v>3</v>
      </c>
      <c r="D31" s="685" t="s">
        <v>476</v>
      </c>
      <c r="E31" s="686">
        <v>46271</v>
      </c>
      <c r="F31" s="685">
        <v>0.78800000000000003</v>
      </c>
      <c r="G31" s="685">
        <v>0.62</v>
      </c>
      <c r="H31" s="685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5">
        <v>29</v>
      </c>
      <c r="C32" s="545">
        <v>3</v>
      </c>
      <c r="D32" s="685" t="s">
        <v>477</v>
      </c>
      <c r="E32" s="686">
        <v>46271</v>
      </c>
      <c r="F32" s="685">
        <v>0.74199999999999999</v>
      </c>
      <c r="G32" s="685">
        <v>0.6</v>
      </c>
      <c r="H32" s="685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5">
        <v>30</v>
      </c>
      <c r="C33" s="545">
        <v>3</v>
      </c>
      <c r="D33" s="685" t="s">
        <v>478</v>
      </c>
      <c r="E33" s="686">
        <v>46271</v>
      </c>
      <c r="F33" s="685">
        <v>0.91300000000000003</v>
      </c>
      <c r="G33" s="685">
        <v>0.68</v>
      </c>
      <c r="H33" s="685">
        <v>9.42</v>
      </c>
    </row>
    <row r="34" spans="2:8" x14ac:dyDescent="0.3">
      <c r="B34" s="645">
        <v>31</v>
      </c>
      <c r="C34" s="685"/>
      <c r="D34" s="685" t="s">
        <v>473</v>
      </c>
      <c r="E34" s="686">
        <v>46272</v>
      </c>
      <c r="F34" s="685">
        <v>0.91100000000000003</v>
      </c>
      <c r="G34" s="685">
        <v>0.95</v>
      </c>
      <c r="H34" s="685">
        <v>9.3800000000000008</v>
      </c>
    </row>
    <row r="35" spans="2:8" x14ac:dyDescent="0.3">
      <c r="B35" s="645">
        <v>32</v>
      </c>
      <c r="C35" s="685"/>
      <c r="D35" s="685" t="s">
        <v>474</v>
      </c>
      <c r="E35" s="686">
        <v>46272</v>
      </c>
      <c r="F35" s="685">
        <v>0.95199999999999996</v>
      </c>
      <c r="G35" s="685">
        <v>0.98</v>
      </c>
      <c r="H35" s="685">
        <v>9.4</v>
      </c>
    </row>
    <row r="36" spans="2:8" x14ac:dyDescent="0.3">
      <c r="B36" s="645">
        <v>33</v>
      </c>
      <c r="C36" s="685"/>
      <c r="D36" s="685" t="s">
        <v>475</v>
      </c>
      <c r="E36" s="686">
        <v>46272</v>
      </c>
      <c r="F36" s="685">
        <v>0.873</v>
      </c>
      <c r="G36" s="685">
        <v>0.93</v>
      </c>
      <c r="H36" s="685">
        <v>9.41</v>
      </c>
    </row>
    <row r="37" spans="2:8" x14ac:dyDescent="0.3">
      <c r="B37" s="687">
        <v>34</v>
      </c>
      <c r="C37" s="876">
        <v>4</v>
      </c>
      <c r="D37" s="688" t="s">
        <v>476</v>
      </c>
      <c r="E37" s="689">
        <v>46272</v>
      </c>
      <c r="F37" s="688">
        <v>0.53100000000000003</v>
      </c>
      <c r="G37" s="688">
        <v>1.07</v>
      </c>
      <c r="H37" s="688">
        <v>8.8699999999999992</v>
      </c>
    </row>
    <row r="38" spans="2:8" x14ac:dyDescent="0.3">
      <c r="B38" s="687">
        <v>35</v>
      </c>
      <c r="C38" s="777"/>
      <c r="D38" s="688" t="s">
        <v>477</v>
      </c>
      <c r="E38" s="689">
        <v>46272</v>
      </c>
      <c r="F38" s="688">
        <v>0.501</v>
      </c>
      <c r="G38" s="688">
        <v>1.1200000000000001</v>
      </c>
      <c r="H38" s="688">
        <v>8.99</v>
      </c>
    </row>
    <row r="39" spans="2:8" x14ac:dyDescent="0.3">
      <c r="B39" s="687">
        <v>36</v>
      </c>
      <c r="C39" s="777"/>
      <c r="D39" s="688" t="s">
        <v>478</v>
      </c>
      <c r="E39" s="689">
        <v>46272</v>
      </c>
      <c r="F39" s="688">
        <v>0.55900000000000005</v>
      </c>
      <c r="G39" s="688">
        <v>1.02</v>
      </c>
      <c r="H39" s="688">
        <v>8.92</v>
      </c>
    </row>
    <row r="40" spans="2:8" x14ac:dyDescent="0.3">
      <c r="B40" s="687">
        <v>37</v>
      </c>
      <c r="C40" s="777"/>
      <c r="D40" s="688" t="s">
        <v>473</v>
      </c>
      <c r="E40" s="689">
        <v>46273</v>
      </c>
      <c r="F40" s="688">
        <v>0.66400000000000003</v>
      </c>
      <c r="G40" s="688">
        <v>0.98</v>
      </c>
      <c r="H40" s="688">
        <v>9.0500000000000007</v>
      </c>
    </row>
    <row r="41" spans="2:8" x14ac:dyDescent="0.3">
      <c r="B41" s="687">
        <v>38</v>
      </c>
      <c r="C41" s="777"/>
      <c r="D41" s="688" t="s">
        <v>474</v>
      </c>
      <c r="E41" s="689">
        <v>46273</v>
      </c>
      <c r="F41" s="688">
        <v>0.64500000000000002</v>
      </c>
      <c r="G41" s="688">
        <v>0.94</v>
      </c>
      <c r="H41" s="688">
        <v>9.0299999999999994</v>
      </c>
    </row>
    <row r="42" spans="2:8" x14ac:dyDescent="0.3">
      <c r="B42" s="687">
        <v>39</v>
      </c>
      <c r="C42" s="777"/>
      <c r="D42" s="688" t="s">
        <v>475</v>
      </c>
      <c r="E42" s="689">
        <v>46273</v>
      </c>
      <c r="F42" s="688">
        <v>0.63100000000000001</v>
      </c>
      <c r="G42" s="688">
        <v>0.97</v>
      </c>
      <c r="H42" s="688">
        <v>9.23</v>
      </c>
    </row>
    <row r="43" spans="2:8" x14ac:dyDescent="0.3">
      <c r="B43" s="687">
        <v>40</v>
      </c>
      <c r="C43" s="777"/>
      <c r="D43" s="688" t="s">
        <v>476</v>
      </c>
      <c r="E43" s="689">
        <v>46273</v>
      </c>
      <c r="F43" s="688">
        <v>0.61</v>
      </c>
      <c r="G43" s="688">
        <v>1.01</v>
      </c>
      <c r="H43" s="688">
        <v>7.79</v>
      </c>
    </row>
    <row r="44" spans="2:8" x14ac:dyDescent="0.3">
      <c r="B44" s="687">
        <v>41</v>
      </c>
      <c r="C44" s="777"/>
      <c r="D44" s="688" t="s">
        <v>477</v>
      </c>
      <c r="E44" s="689">
        <v>46273</v>
      </c>
      <c r="F44" s="688">
        <v>0.63300000000000001</v>
      </c>
      <c r="G44" s="688">
        <v>1.05</v>
      </c>
      <c r="H44" s="688">
        <v>7.71</v>
      </c>
    </row>
    <row r="45" spans="2:8" x14ac:dyDescent="0.3">
      <c r="B45" s="687">
        <v>42</v>
      </c>
      <c r="C45" s="777"/>
      <c r="D45" s="688" t="s">
        <v>478</v>
      </c>
      <c r="E45" s="689">
        <v>46273</v>
      </c>
      <c r="F45" s="688">
        <v>0.66200000000000003</v>
      </c>
      <c r="G45" s="688">
        <v>1.04</v>
      </c>
      <c r="H45" s="688">
        <v>7.93</v>
      </c>
    </row>
    <row r="46" spans="2:8" x14ac:dyDescent="0.3">
      <c r="B46" s="687">
        <v>43</v>
      </c>
      <c r="C46" s="777"/>
      <c r="D46" s="688" t="s">
        <v>473</v>
      </c>
      <c r="E46" s="689">
        <v>46274</v>
      </c>
      <c r="F46" s="691">
        <v>0.59599999999999997</v>
      </c>
      <c r="G46" s="688">
        <v>0.64</v>
      </c>
      <c r="H46" s="688">
        <v>7.27</v>
      </c>
    </row>
    <row r="47" spans="2:8" x14ac:dyDescent="0.3">
      <c r="B47" s="687">
        <v>44</v>
      </c>
      <c r="C47" s="777"/>
      <c r="D47" s="688" t="s">
        <v>474</v>
      </c>
      <c r="E47" s="689">
        <v>46274</v>
      </c>
      <c r="F47" s="688">
        <v>0.59399999999999997</v>
      </c>
      <c r="G47" s="688">
        <v>0.68</v>
      </c>
      <c r="H47" s="688">
        <v>7.24</v>
      </c>
    </row>
    <row r="48" spans="2:8" x14ac:dyDescent="0.3">
      <c r="B48" s="687">
        <v>45</v>
      </c>
      <c r="C48" s="877"/>
      <c r="D48" s="688" t="s">
        <v>475</v>
      </c>
      <c r="E48" s="689">
        <v>46274</v>
      </c>
      <c r="F48" s="688">
        <v>0.58699999999999997</v>
      </c>
      <c r="G48" s="688">
        <v>0.68</v>
      </c>
      <c r="H48" s="688">
        <v>7.21</v>
      </c>
    </row>
    <row r="49" spans="2:8" x14ac:dyDescent="0.3">
      <c r="B49" s="252">
        <v>46</v>
      </c>
      <c r="C49" s="6"/>
      <c r="D49" s="6" t="s">
        <v>476</v>
      </c>
      <c r="E49" s="474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4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4">
        <v>46274</v>
      </c>
      <c r="F51" s="6"/>
      <c r="G51" s="6"/>
      <c r="H51" s="6"/>
    </row>
    <row r="52" spans="2:8" x14ac:dyDescent="0.3">
      <c r="B52" s="687">
        <v>49</v>
      </c>
      <c r="C52" s="873">
        <v>5</v>
      </c>
      <c r="D52" s="688" t="s">
        <v>473</v>
      </c>
      <c r="E52" s="689">
        <v>46275</v>
      </c>
      <c r="F52" s="688">
        <v>0.79600000000000004</v>
      </c>
      <c r="G52" s="688">
        <v>0.64</v>
      </c>
      <c r="H52" s="688">
        <v>9.08</v>
      </c>
    </row>
    <row r="53" spans="2:8" x14ac:dyDescent="0.3">
      <c r="B53" s="687">
        <v>50</v>
      </c>
      <c r="C53" s="874"/>
      <c r="D53" s="688" t="s">
        <v>474</v>
      </c>
      <c r="E53" s="689">
        <v>46275</v>
      </c>
      <c r="F53" s="688">
        <v>0.82599999999999996</v>
      </c>
      <c r="G53" s="688">
        <v>0.72</v>
      </c>
      <c r="H53" s="688">
        <v>8.82</v>
      </c>
    </row>
    <row r="54" spans="2:8" x14ac:dyDescent="0.3">
      <c r="B54" s="687">
        <v>51</v>
      </c>
      <c r="C54" s="874"/>
      <c r="D54" s="688" t="s">
        <v>475</v>
      </c>
      <c r="E54" s="689">
        <v>46275</v>
      </c>
      <c r="F54" s="688">
        <v>0.73</v>
      </c>
      <c r="G54" s="688">
        <v>0.63</v>
      </c>
      <c r="H54" s="688">
        <v>8.57</v>
      </c>
    </row>
    <row r="55" spans="2:8" x14ac:dyDescent="0.3">
      <c r="B55" s="687">
        <v>52</v>
      </c>
      <c r="C55" s="874"/>
      <c r="D55" s="688" t="s">
        <v>476</v>
      </c>
      <c r="E55" s="689">
        <v>46275</v>
      </c>
      <c r="F55" s="688"/>
      <c r="G55" s="688"/>
      <c r="H55" s="688"/>
    </row>
    <row r="56" spans="2:8" x14ac:dyDescent="0.3">
      <c r="B56" s="687">
        <v>53</v>
      </c>
      <c r="C56" s="874"/>
      <c r="D56" s="688" t="s">
        <v>477</v>
      </c>
      <c r="E56" s="689">
        <v>46275</v>
      </c>
      <c r="F56" s="688"/>
      <c r="G56" s="688"/>
      <c r="H56" s="688"/>
    </row>
    <row r="57" spans="2:8" x14ac:dyDescent="0.3">
      <c r="B57" s="687">
        <v>54</v>
      </c>
      <c r="C57" s="874"/>
      <c r="D57" s="688" t="s">
        <v>478</v>
      </c>
      <c r="E57" s="689">
        <v>46275</v>
      </c>
      <c r="F57" s="688"/>
      <c r="G57" s="688"/>
      <c r="H57" s="688"/>
    </row>
    <row r="58" spans="2:8" x14ac:dyDescent="0.3">
      <c r="B58" s="687">
        <v>55</v>
      </c>
      <c r="C58" s="874"/>
      <c r="D58" s="688" t="s">
        <v>473</v>
      </c>
      <c r="E58" s="689">
        <v>46276</v>
      </c>
      <c r="F58" s="688"/>
      <c r="G58" s="688"/>
      <c r="H58" s="688"/>
    </row>
    <row r="59" spans="2:8" x14ac:dyDescent="0.3">
      <c r="B59" s="687">
        <v>56</v>
      </c>
      <c r="C59" s="874"/>
      <c r="D59" s="688" t="s">
        <v>474</v>
      </c>
      <c r="E59" s="689">
        <v>46276</v>
      </c>
      <c r="F59" s="688"/>
      <c r="G59" s="688"/>
      <c r="H59" s="688"/>
    </row>
    <row r="60" spans="2:8" x14ac:dyDescent="0.3">
      <c r="B60" s="687">
        <v>57</v>
      </c>
      <c r="C60" s="875"/>
      <c r="D60" s="688" t="s">
        <v>475</v>
      </c>
      <c r="E60" s="689">
        <v>46276</v>
      </c>
      <c r="F60" s="688"/>
      <c r="G60" s="688"/>
      <c r="H60" s="688"/>
    </row>
    <row r="61" spans="2:8" x14ac:dyDescent="0.3">
      <c r="B61" s="252">
        <v>58</v>
      </c>
      <c r="C61" s="6"/>
      <c r="D61" s="6" t="s">
        <v>476</v>
      </c>
      <c r="E61" s="474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4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4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82" t="s">
        <v>123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</row>
    <row r="2" spans="1:27" ht="18" x14ac:dyDescent="0.35">
      <c r="F2" s="886" t="s">
        <v>431</v>
      </c>
      <c r="G2" s="886"/>
      <c r="H2" s="886"/>
      <c r="I2" s="886"/>
      <c r="J2" s="886"/>
    </row>
    <row r="3" spans="1:27" ht="15" thickBot="1" x14ac:dyDescent="0.35">
      <c r="A3" s="751" t="s">
        <v>199</v>
      </c>
      <c r="B3" s="883"/>
      <c r="C3" s="883"/>
      <c r="D3" s="883"/>
      <c r="E3" s="883"/>
      <c r="F3" s="883"/>
      <c r="G3" s="752"/>
    </row>
    <row r="4" spans="1:27" ht="15" thickBot="1" x14ac:dyDescent="0.35">
      <c r="A4" s="884" t="s">
        <v>1</v>
      </c>
      <c r="B4" s="885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9"/>
      <c r="B5" s="280"/>
      <c r="C5" s="281"/>
      <c r="D5" s="282"/>
      <c r="E5" s="282"/>
      <c r="F5" s="282"/>
      <c r="G5" s="283"/>
      <c r="J5" s="18"/>
      <c r="K5" s="18"/>
      <c r="L5" s="18"/>
      <c r="M5" s="18"/>
      <c r="N5" s="154"/>
    </row>
    <row r="6" spans="1:27" x14ac:dyDescent="0.3">
      <c r="A6" s="878">
        <v>46252</v>
      </c>
      <c r="B6" s="879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4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78">
        <v>46253</v>
      </c>
      <c r="B7" s="879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5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78">
        <v>46254</v>
      </c>
      <c r="B8" s="879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80" t="s">
        <v>210</v>
      </c>
      <c r="AA8" s="881"/>
    </row>
    <row r="9" spans="1:27" x14ac:dyDescent="0.3">
      <c r="A9" s="878">
        <v>46255</v>
      </c>
      <c r="B9" s="879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78">
        <v>46256</v>
      </c>
      <c r="B10" s="879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3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78">
        <v>46257</v>
      </c>
      <c r="B11" s="879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3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78">
        <v>46258</v>
      </c>
      <c r="B12" s="879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4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78">
        <v>46259</v>
      </c>
      <c r="B13" s="879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5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78">
        <v>46260</v>
      </c>
      <c r="B14" s="879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5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78">
        <v>46261</v>
      </c>
      <c r="B15" s="879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78">
        <v>46262</v>
      </c>
      <c r="B16" s="879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78">
        <v>46263</v>
      </c>
      <c r="B17" s="879"/>
      <c r="C17" s="41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78">
        <v>46264</v>
      </c>
      <c r="B18" s="879"/>
      <c r="C18" s="42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78">
        <v>46265</v>
      </c>
      <c r="B19" s="879"/>
      <c r="C19" s="68"/>
      <c r="D19" s="64"/>
      <c r="E19" s="64"/>
      <c r="F19" s="65">
        <f t="shared" si="0"/>
        <v>0</v>
      </c>
      <c r="G19" s="43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78">
        <v>46266</v>
      </c>
      <c r="B20" s="879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78">
        <v>46267</v>
      </c>
      <c r="B21" s="879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78">
        <v>46268</v>
      </c>
      <c r="B22" s="879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78">
        <v>46269</v>
      </c>
      <c r="B23" s="879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78">
        <v>46270</v>
      </c>
      <c r="B24" s="879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78">
        <v>46271</v>
      </c>
      <c r="B25" s="879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78">
        <v>46272</v>
      </c>
      <c r="B26" s="879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78">
        <v>46273</v>
      </c>
      <c r="B27" s="879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78">
        <v>46274</v>
      </c>
      <c r="B28" s="879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78">
        <v>46275</v>
      </c>
      <c r="B29" s="879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78">
        <v>46276</v>
      </c>
      <c r="B30" s="879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78">
        <v>46277</v>
      </c>
      <c r="B31" s="879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78">
        <v>46278</v>
      </c>
      <c r="B32" s="879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78">
        <v>46279</v>
      </c>
      <c r="B33" s="879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78">
        <v>46280</v>
      </c>
      <c r="B34" s="879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78">
        <v>46281</v>
      </c>
      <c r="B35" s="879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78">
        <v>46282</v>
      </c>
      <c r="B36" s="879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78">
        <v>46283</v>
      </c>
      <c r="B37" s="879"/>
      <c r="C37" s="68"/>
      <c r="D37" s="64"/>
      <c r="E37" s="64"/>
      <c r="F37" s="65"/>
      <c r="G37" s="69"/>
      <c r="J37" s="274"/>
      <c r="K37" s="70"/>
      <c r="L37" s="122"/>
      <c r="M37" s="123"/>
      <c r="N37" s="6"/>
    </row>
    <row r="38" spans="1:15" x14ac:dyDescent="0.3">
      <c r="A38" s="878">
        <v>46284</v>
      </c>
      <c r="B38" s="879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78">
        <v>46285</v>
      </c>
      <c r="B39" s="879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78">
        <v>46286</v>
      </c>
      <c r="B40" s="879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78">
        <v>46287</v>
      </c>
      <c r="B41" s="879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78">
        <v>46288</v>
      </c>
      <c r="B42" s="879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34" activePane="bottomLeft" state="frozen"/>
      <selection pane="bottomLeft" activeCell="M59" sqref="M59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5" bestFit="1" customWidth="1"/>
    <col min="9" max="9" width="8.77734375" style="623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892" t="s">
        <v>64</v>
      </c>
      <c r="B3" s="892"/>
      <c r="C3" s="892"/>
      <c r="D3" s="892"/>
      <c r="E3" s="892"/>
      <c r="F3" s="892"/>
      <c r="G3" s="892"/>
      <c r="H3" s="892"/>
      <c r="I3" s="892"/>
    </row>
    <row r="4" spans="1:16" x14ac:dyDescent="0.3">
      <c r="A4" s="892" t="s">
        <v>1</v>
      </c>
      <c r="B4" s="892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895">
        <v>46265</v>
      </c>
      <c r="B5" s="776"/>
      <c r="C5" s="652" t="s">
        <v>13</v>
      </c>
      <c r="D5" s="659" t="s">
        <v>170</v>
      </c>
      <c r="E5" s="653">
        <v>6.9444444444444447E-4</v>
      </c>
      <c r="F5" s="565">
        <v>6.5972222222222224E-2</v>
      </c>
      <c r="G5" s="566">
        <f>(F5-E5)*1440</f>
        <v>94</v>
      </c>
      <c r="H5" s="654" t="s">
        <v>459</v>
      </c>
      <c r="I5" s="889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4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895">
        <v>46266</v>
      </c>
      <c r="B6" s="776"/>
      <c r="C6" s="564" t="s">
        <v>14</v>
      </c>
      <c r="D6" s="660" t="s">
        <v>170</v>
      </c>
      <c r="E6" s="565">
        <v>6.9444444444444447E-4</v>
      </c>
      <c r="F6" s="565">
        <v>4.6527777777777779E-2</v>
      </c>
      <c r="G6" s="566">
        <f t="shared" ref="G6:G39" si="0">(F6-E6)*1440</f>
        <v>66</v>
      </c>
      <c r="H6" s="655" t="s">
        <v>490</v>
      </c>
      <c r="I6" s="891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893">
        <v>46267</v>
      </c>
      <c r="B7" s="894"/>
      <c r="C7" s="561" t="s">
        <v>13</v>
      </c>
      <c r="D7" s="661" t="s">
        <v>223</v>
      </c>
      <c r="E7" s="562">
        <v>6.9444444444444447E-4</v>
      </c>
      <c r="F7" s="562">
        <v>8.4027777777777785E-2</v>
      </c>
      <c r="G7" s="563">
        <f t="shared" si="0"/>
        <v>120.00000000000001</v>
      </c>
      <c r="H7" s="656" t="s">
        <v>491</v>
      </c>
      <c r="I7" s="873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7" t="str">
        <f t="shared" si="2"/>
        <v>Ball mill sampai jam 12 Cuma berjalan 1, housekepping material meluap dari ball mill 3 hingga jam 9</v>
      </c>
    </row>
    <row r="8" spans="1:16" ht="28.8" x14ac:dyDescent="0.3">
      <c r="A8" s="893">
        <v>46268</v>
      </c>
      <c r="B8" s="894"/>
      <c r="C8" s="561" t="s">
        <v>14</v>
      </c>
      <c r="D8" s="662" t="s">
        <v>170</v>
      </c>
      <c r="E8" s="562">
        <v>6.9444444444444447E-4</v>
      </c>
      <c r="F8" s="562">
        <v>0.54166666666666663</v>
      </c>
      <c r="G8" s="563">
        <f t="shared" si="0"/>
        <v>779</v>
      </c>
      <c r="H8" s="656" t="s">
        <v>481</v>
      </c>
      <c r="I8" s="874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7" t="str">
        <f t="shared" si="2"/>
        <v>Stop ball mill jam 18:00 material finish pump ke tank 3, shift malam drain slurry tank 2</v>
      </c>
    </row>
    <row r="9" spans="1:16" x14ac:dyDescent="0.3">
      <c r="A9" s="893">
        <v>46269</v>
      </c>
      <c r="B9" s="894"/>
      <c r="C9" s="561" t="s">
        <v>13</v>
      </c>
      <c r="D9" s="663" t="s">
        <v>223</v>
      </c>
      <c r="E9" s="657">
        <v>6.9444444444444447E-4</v>
      </c>
      <c r="F9" s="562">
        <v>0.99930555555555556</v>
      </c>
      <c r="G9" s="563">
        <f t="shared" si="0"/>
        <v>1438</v>
      </c>
      <c r="H9" s="658" t="s">
        <v>489</v>
      </c>
      <c r="I9" s="875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895">
        <v>46270</v>
      </c>
      <c r="B10" s="776"/>
      <c r="C10" s="564" t="s">
        <v>14</v>
      </c>
      <c r="D10" s="671" t="s">
        <v>170</v>
      </c>
      <c r="E10" s="565">
        <v>6.9444444444444447E-4</v>
      </c>
      <c r="F10" s="565">
        <v>0.54166666666666663</v>
      </c>
      <c r="G10" s="566">
        <f>(F10-E10)*1440</f>
        <v>779</v>
      </c>
      <c r="H10" s="672" t="s">
        <v>501</v>
      </c>
      <c r="I10" s="889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895">
        <v>46271</v>
      </c>
      <c r="B11" s="776"/>
      <c r="C11" s="564" t="s">
        <v>13</v>
      </c>
      <c r="D11" s="673" t="s">
        <v>521</v>
      </c>
      <c r="E11" s="565">
        <v>6.9444444444444447E-4</v>
      </c>
      <c r="F11" s="565">
        <v>0.18124999999999999</v>
      </c>
      <c r="G11" s="566">
        <f>(F11-E11)*720</f>
        <v>130</v>
      </c>
      <c r="H11" s="674" t="s">
        <v>523</v>
      </c>
      <c r="I11" s="890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895">
        <v>46271</v>
      </c>
      <c r="B12" s="776"/>
      <c r="C12" s="564" t="s">
        <v>14</v>
      </c>
      <c r="D12" s="673" t="s">
        <v>522</v>
      </c>
      <c r="E12" s="565"/>
      <c r="F12" s="565"/>
      <c r="G12" s="566">
        <f t="shared" si="0"/>
        <v>0</v>
      </c>
      <c r="H12" s="674" t="s">
        <v>530</v>
      </c>
      <c r="I12" s="890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7" t="s">
        <v>538</v>
      </c>
    </row>
    <row r="13" spans="1:16" ht="72" x14ac:dyDescent="0.3">
      <c r="A13" s="895">
        <v>46272</v>
      </c>
      <c r="B13" s="776"/>
      <c r="C13" s="564" t="s">
        <v>13</v>
      </c>
      <c r="D13" s="675" t="s">
        <v>170</v>
      </c>
      <c r="E13" s="565">
        <v>6.9444444444444447E-4</v>
      </c>
      <c r="F13" s="565">
        <v>1.3888888888888888E-2</v>
      </c>
      <c r="G13" s="566">
        <f t="shared" si="0"/>
        <v>19</v>
      </c>
      <c r="H13" s="676" t="s">
        <v>539</v>
      </c>
      <c r="I13" s="891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893">
        <v>46272</v>
      </c>
      <c r="B14" s="894"/>
      <c r="C14" s="561" t="s">
        <v>14</v>
      </c>
      <c r="D14" s="677" t="s">
        <v>170</v>
      </c>
      <c r="E14" s="562">
        <v>6.9444444444444447E-4</v>
      </c>
      <c r="F14" s="562">
        <v>5.2083333333333336E-2</v>
      </c>
      <c r="G14" s="563">
        <f t="shared" si="0"/>
        <v>74</v>
      </c>
      <c r="H14" s="567" t="s">
        <v>540</v>
      </c>
      <c r="I14" s="873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7" t="s">
        <v>545</v>
      </c>
    </row>
    <row r="15" spans="1:16" ht="72" x14ac:dyDescent="0.3">
      <c r="A15" s="893">
        <v>46273</v>
      </c>
      <c r="B15" s="894"/>
      <c r="C15" s="561" t="s">
        <v>13</v>
      </c>
      <c r="D15" s="677" t="s">
        <v>170</v>
      </c>
      <c r="E15" s="562">
        <v>6.9444444444444447E-4</v>
      </c>
      <c r="F15" s="562">
        <v>7.013888888888889E-2</v>
      </c>
      <c r="G15" s="563">
        <f>(F15-E15)*1440</f>
        <v>100</v>
      </c>
      <c r="H15" s="678" t="s">
        <v>533</v>
      </c>
      <c r="I15" s="874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893">
        <v>46273</v>
      </c>
      <c r="B16" s="894"/>
      <c r="C16" s="561" t="s">
        <v>14</v>
      </c>
      <c r="D16" s="679" t="s">
        <v>537</v>
      </c>
      <c r="E16" s="562">
        <v>6.9444444444444447E-4</v>
      </c>
      <c r="F16" s="562">
        <v>0.10694444444444444</v>
      </c>
      <c r="G16" s="563">
        <f>(F16-E16)*1440</f>
        <v>153</v>
      </c>
      <c r="H16" s="567" t="s">
        <v>541</v>
      </c>
      <c r="I16" s="874"/>
      <c r="K16" s="66"/>
      <c r="L16" s="70"/>
      <c r="M16" s="70"/>
      <c r="N16" s="67"/>
      <c r="O16" s="70"/>
      <c r="P16" s="6"/>
    </row>
    <row r="17" spans="1:19" ht="28.8" x14ac:dyDescent="0.3">
      <c r="A17" s="893">
        <v>46274</v>
      </c>
      <c r="B17" s="894"/>
      <c r="C17" s="561" t="s">
        <v>13</v>
      </c>
      <c r="D17" s="665" t="s">
        <v>170</v>
      </c>
      <c r="E17" s="562">
        <v>6.9444444444444447E-4</v>
      </c>
      <c r="F17" s="562">
        <v>0.37569444444444444</v>
      </c>
      <c r="G17" s="563">
        <f t="shared" si="0"/>
        <v>540</v>
      </c>
      <c r="H17" s="567" t="s">
        <v>544</v>
      </c>
      <c r="I17" s="875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87">
        <v>46274</v>
      </c>
      <c r="B18" s="888"/>
      <c r="C18" s="40" t="s">
        <v>14</v>
      </c>
      <c r="D18" s="664" t="s">
        <v>170</v>
      </c>
      <c r="E18" s="559">
        <v>6.9444444444444447E-4</v>
      </c>
      <c r="F18" s="559">
        <v>0.50069444444444444</v>
      </c>
      <c r="G18" s="560">
        <f t="shared" si="0"/>
        <v>720</v>
      </c>
      <c r="H18" s="506" t="s">
        <v>543</v>
      </c>
      <c r="I18" s="427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895">
        <v>46275</v>
      </c>
      <c r="B19" s="776"/>
      <c r="C19" s="564" t="s">
        <v>13</v>
      </c>
      <c r="D19" s="680" t="s">
        <v>170</v>
      </c>
      <c r="E19" s="565">
        <v>6.9444444444444447E-4</v>
      </c>
      <c r="F19" s="565">
        <v>6.0416666666666667E-2</v>
      </c>
      <c r="G19" s="566">
        <f t="shared" si="0"/>
        <v>86</v>
      </c>
      <c r="H19" s="676" t="s">
        <v>549</v>
      </c>
      <c r="I19" s="889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ht="15" thickBot="1" x14ac:dyDescent="0.35">
      <c r="A20" s="895">
        <v>46275</v>
      </c>
      <c r="B20" s="776"/>
      <c r="C20" s="564" t="s">
        <v>14</v>
      </c>
      <c r="D20" s="681" t="s">
        <v>556</v>
      </c>
      <c r="E20" s="682">
        <v>6.9444444444444447E-4</v>
      </c>
      <c r="F20" s="682">
        <v>6.458333333333334E-2</v>
      </c>
      <c r="G20" s="545">
        <f t="shared" si="0"/>
        <v>92.000000000000014</v>
      </c>
      <c r="H20" s="719" t="s">
        <v>557</v>
      </c>
      <c r="I20" s="890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95">
        <v>46276</v>
      </c>
      <c r="B21" s="776"/>
      <c r="C21" s="564" t="s">
        <v>13</v>
      </c>
      <c r="D21" s="683" t="s">
        <v>170</v>
      </c>
      <c r="E21" s="565">
        <v>6.9444444444444447E-4</v>
      </c>
      <c r="F21" s="565">
        <v>4.3055555555555555E-2</v>
      </c>
      <c r="G21" s="718">
        <f>(F21-E21)*1440</f>
        <v>61</v>
      </c>
      <c r="H21" s="720" t="s">
        <v>562</v>
      </c>
      <c r="I21" s="898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96">
        <v>46276</v>
      </c>
      <c r="B22" s="897"/>
      <c r="C22" s="705" t="s">
        <v>14</v>
      </c>
      <c r="D22" s="706" t="s">
        <v>170</v>
      </c>
      <c r="E22" s="707">
        <v>6.9444444444444447E-4</v>
      </c>
      <c r="F22" s="707">
        <v>0.41736111111111113</v>
      </c>
      <c r="G22" s="721">
        <f t="shared" si="0"/>
        <v>600</v>
      </c>
      <c r="H22" s="723" t="s">
        <v>561</v>
      </c>
      <c r="I22" s="722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99">
        <v>46277</v>
      </c>
      <c r="B23" s="900"/>
      <c r="C23" s="712" t="s">
        <v>13</v>
      </c>
      <c r="D23" s="713" t="s">
        <v>170</v>
      </c>
      <c r="E23" s="714">
        <v>6.9444444444444447E-4</v>
      </c>
      <c r="F23" s="714">
        <v>0.50069444444444444</v>
      </c>
      <c r="G23" s="715">
        <f t="shared" si="0"/>
        <v>720</v>
      </c>
      <c r="H23" s="716" t="s">
        <v>560</v>
      </c>
      <c r="I23" s="717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x14ac:dyDescent="0.3">
      <c r="A24" s="901">
        <v>46277</v>
      </c>
      <c r="B24" s="902"/>
      <c r="C24" s="599" t="s">
        <v>14</v>
      </c>
      <c r="D24" s="708" t="s">
        <v>170</v>
      </c>
      <c r="E24" s="709"/>
      <c r="F24" s="709"/>
      <c r="G24" s="704">
        <f t="shared" si="0"/>
        <v>0</v>
      </c>
      <c r="H24" s="710"/>
      <c r="I24" s="711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893">
        <v>46278</v>
      </c>
      <c r="B25" s="894"/>
      <c r="C25" s="561" t="s">
        <v>13</v>
      </c>
      <c r="D25" s="702" t="s">
        <v>170</v>
      </c>
      <c r="E25" s="562"/>
      <c r="F25" s="562"/>
      <c r="G25" s="563">
        <f t="shared" si="0"/>
        <v>0</v>
      </c>
      <c r="H25" s="703"/>
      <c r="I25" s="701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887">
        <v>46278</v>
      </c>
      <c r="B26" s="888"/>
      <c r="C26" s="692" t="s">
        <v>14</v>
      </c>
      <c r="D26" s="666" t="s">
        <v>170</v>
      </c>
      <c r="E26" s="559"/>
      <c r="F26" s="559"/>
      <c r="G26" s="560">
        <f t="shared" si="0"/>
        <v>0</v>
      </c>
      <c r="H26" s="693" t="s">
        <v>558</v>
      </c>
      <c r="I26" s="42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87">
        <v>46286</v>
      </c>
      <c r="B27" s="888"/>
      <c r="C27" s="40"/>
      <c r="D27" s="667" t="s">
        <v>170</v>
      </c>
      <c r="E27" s="559"/>
      <c r="F27" s="559"/>
      <c r="G27" s="560">
        <f t="shared" si="0"/>
        <v>0</v>
      </c>
      <c r="H27" s="482"/>
      <c r="I27" s="42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87">
        <v>46287</v>
      </c>
      <c r="B28" s="888"/>
      <c r="C28" s="40"/>
      <c r="D28" s="668" t="s">
        <v>170</v>
      </c>
      <c r="E28" s="559"/>
      <c r="F28" s="559"/>
      <c r="G28" s="560">
        <f t="shared" si="0"/>
        <v>0</v>
      </c>
      <c r="H28" s="483"/>
      <c r="I28" s="42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87">
        <v>46288</v>
      </c>
      <c r="B29" s="888"/>
      <c r="C29" s="40"/>
      <c r="D29" s="69"/>
      <c r="E29" s="559"/>
      <c r="F29" s="559"/>
      <c r="G29" s="560">
        <f t="shared" si="0"/>
        <v>0</v>
      </c>
      <c r="H29" s="484"/>
      <c r="I29" s="42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87">
        <v>46289</v>
      </c>
      <c r="B30" s="888"/>
      <c r="C30" s="40"/>
      <c r="D30" s="69"/>
      <c r="E30" s="559"/>
      <c r="F30" s="559"/>
      <c r="G30" s="560">
        <f t="shared" si="0"/>
        <v>0</v>
      </c>
      <c r="H30" s="484"/>
      <c r="I30" s="42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87">
        <v>46290</v>
      </c>
      <c r="B31" s="888"/>
      <c r="C31" s="40"/>
      <c r="D31" s="69"/>
      <c r="E31" s="71"/>
      <c r="F31" s="71"/>
      <c r="G31" s="560">
        <f t="shared" si="0"/>
        <v>0</v>
      </c>
      <c r="H31" s="484"/>
      <c r="I31" s="42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87">
        <v>46291</v>
      </c>
      <c r="B32" s="888"/>
      <c r="C32" s="40"/>
      <c r="D32" s="69"/>
      <c r="E32" s="71"/>
      <c r="F32" s="71"/>
      <c r="G32" s="560">
        <f t="shared" si="0"/>
        <v>0</v>
      </c>
      <c r="H32" s="484"/>
      <c r="I32" s="42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87">
        <v>46292</v>
      </c>
      <c r="B33" s="888"/>
      <c r="C33" s="40"/>
      <c r="D33" s="69"/>
      <c r="E33" s="71"/>
      <c r="F33" s="71"/>
      <c r="G33" s="560">
        <f t="shared" si="0"/>
        <v>0</v>
      </c>
      <c r="H33" s="484"/>
      <c r="I33" s="42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87">
        <v>46293</v>
      </c>
      <c r="B34" s="888"/>
      <c r="C34" s="40"/>
      <c r="D34" s="69"/>
      <c r="E34" s="71"/>
      <c r="F34" s="71"/>
      <c r="G34" s="560">
        <f t="shared" si="0"/>
        <v>0</v>
      </c>
      <c r="H34" s="484"/>
      <c r="I34" s="42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87">
        <v>46294</v>
      </c>
      <c r="B35" s="888"/>
      <c r="C35" s="40"/>
      <c r="D35" s="69"/>
      <c r="E35" s="71"/>
      <c r="F35" s="71"/>
      <c r="G35" s="560">
        <f t="shared" si="0"/>
        <v>0</v>
      </c>
      <c r="H35" s="484"/>
      <c r="I35" s="42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87">
        <v>46295</v>
      </c>
      <c r="B36" s="888"/>
      <c r="C36" s="40"/>
      <c r="D36" s="69"/>
      <c r="E36" s="71"/>
      <c r="F36" s="71"/>
      <c r="G36" s="560">
        <f t="shared" si="0"/>
        <v>0</v>
      </c>
      <c r="H36" s="484"/>
      <c r="I36" s="42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87">
        <v>46296</v>
      </c>
      <c r="B37" s="888"/>
      <c r="C37" s="40"/>
      <c r="D37" s="69"/>
      <c r="E37" s="71"/>
      <c r="F37" s="71"/>
      <c r="G37" s="560">
        <f t="shared" si="0"/>
        <v>0</v>
      </c>
      <c r="H37" s="484"/>
      <c r="I37" s="42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87">
        <v>46297</v>
      </c>
      <c r="B38" s="888"/>
      <c r="C38" s="40"/>
      <c r="D38" s="69"/>
      <c r="E38" s="71"/>
      <c r="F38" s="71"/>
      <c r="G38" s="560">
        <f t="shared" si="0"/>
        <v>0</v>
      </c>
      <c r="H38" s="484"/>
      <c r="I38" s="42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87">
        <v>46298</v>
      </c>
      <c r="B39" s="888"/>
      <c r="C39" s="40"/>
      <c r="D39" s="69"/>
      <c r="E39" s="71"/>
      <c r="F39" s="71"/>
      <c r="G39" s="560">
        <f t="shared" si="0"/>
        <v>0</v>
      </c>
      <c r="H39" s="484"/>
      <c r="I39" s="42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87">
        <v>46299</v>
      </c>
      <c r="B40" s="888"/>
      <c r="C40" s="40"/>
      <c r="D40" s="69"/>
      <c r="E40" s="71"/>
      <c r="F40" s="71"/>
      <c r="G40" s="560">
        <f t="shared" ref="G40:G41" si="6">(F40-E40)*1440</f>
        <v>0</v>
      </c>
      <c r="H40" s="484"/>
      <c r="I40" s="42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87">
        <v>46300</v>
      </c>
      <c r="B41" s="888"/>
      <c r="C41" s="40"/>
      <c r="D41" s="69"/>
      <c r="E41" s="71"/>
      <c r="F41" s="71"/>
      <c r="G41" s="560">
        <f t="shared" si="6"/>
        <v>0</v>
      </c>
      <c r="H41" s="484"/>
      <c r="I41" s="42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87">
        <v>46301</v>
      </c>
      <c r="B42" s="888"/>
      <c r="C42" s="40"/>
      <c r="D42" s="69"/>
      <c r="E42" s="71"/>
      <c r="F42" s="71"/>
      <c r="G42" s="560">
        <f t="shared" ref="G42" si="7">(F42-E42)*1440</f>
        <v>0</v>
      </c>
      <c r="H42" s="484"/>
      <c r="I42" s="42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87">
        <v>46302</v>
      </c>
      <c r="B43" s="888"/>
      <c r="C43" s="40"/>
      <c r="D43" s="69"/>
      <c r="E43" s="71"/>
      <c r="F43" s="71"/>
      <c r="G43" s="560">
        <f t="shared" ref="G43:G45" si="8">(F43-E43)*1440</f>
        <v>0</v>
      </c>
      <c r="H43" s="484"/>
      <c r="I43" s="42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87">
        <v>46303</v>
      </c>
      <c r="B44" s="888"/>
      <c r="C44" s="40"/>
      <c r="D44" s="69"/>
      <c r="E44" s="71"/>
      <c r="F44" s="71"/>
      <c r="G44" s="560">
        <f t="shared" si="8"/>
        <v>0</v>
      </c>
      <c r="H44" s="484"/>
      <c r="I44" s="42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87">
        <v>46304</v>
      </c>
      <c r="B45" s="888"/>
      <c r="C45" s="40"/>
      <c r="D45" s="69"/>
      <c r="E45" s="71"/>
      <c r="F45" s="71"/>
      <c r="G45" s="560">
        <f t="shared" si="8"/>
        <v>0</v>
      </c>
      <c r="H45" s="484"/>
      <c r="I45" s="42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87">
        <v>46305</v>
      </c>
      <c r="B46" s="888"/>
      <c r="C46" s="40"/>
      <c r="D46" s="69"/>
      <c r="E46" s="71"/>
      <c r="F46" s="71"/>
      <c r="G46" s="560">
        <f>(F46-E46)*1440</f>
        <v>0</v>
      </c>
      <c r="H46" s="484"/>
      <c r="I46" s="42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87">
        <v>46306</v>
      </c>
      <c r="B47" s="888"/>
      <c r="C47" s="40"/>
      <c r="D47" s="69"/>
      <c r="E47" s="71"/>
      <c r="F47" s="71"/>
      <c r="G47" s="560">
        <f t="shared" ref="G47:G51" si="9">(F47-E47)*1440</f>
        <v>0</v>
      </c>
      <c r="H47" s="484"/>
      <c r="I47" s="42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87">
        <v>46307</v>
      </c>
      <c r="B48" s="888"/>
      <c r="C48" s="40"/>
      <c r="D48" s="69"/>
      <c r="E48" s="71"/>
      <c r="F48" s="71"/>
      <c r="G48" s="560">
        <f t="shared" si="9"/>
        <v>0</v>
      </c>
      <c r="H48" s="484"/>
      <c r="I48" s="42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87">
        <v>46308</v>
      </c>
      <c r="B49" s="888"/>
      <c r="C49" s="40"/>
      <c r="D49" s="69"/>
      <c r="E49" s="71"/>
      <c r="F49" s="71"/>
      <c r="G49" s="560">
        <f t="shared" si="9"/>
        <v>0</v>
      </c>
      <c r="H49" s="484"/>
      <c r="I49" s="42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87">
        <v>46309</v>
      </c>
      <c r="B50" s="888"/>
      <c r="C50" s="40"/>
      <c r="D50" s="69"/>
      <c r="E50" s="71"/>
      <c r="F50" s="71"/>
      <c r="G50" s="560">
        <f t="shared" si="9"/>
        <v>0</v>
      </c>
      <c r="H50" s="484"/>
      <c r="I50" s="42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87">
        <v>46310</v>
      </c>
      <c r="B51" s="888"/>
      <c r="C51" s="40"/>
      <c r="D51" s="69"/>
      <c r="E51" s="71"/>
      <c r="F51" s="71"/>
      <c r="G51" s="560">
        <f t="shared" si="9"/>
        <v>0</v>
      </c>
      <c r="H51" s="484"/>
      <c r="I51" s="42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87">
        <v>46311</v>
      </c>
      <c r="B52" s="888"/>
      <c r="C52" s="40"/>
      <c r="D52" s="69"/>
      <c r="E52" s="71"/>
      <c r="F52" s="71"/>
      <c r="G52" s="560">
        <f t="shared" ref="G52:G63" si="10">(F52-E52)*1440</f>
        <v>0</v>
      </c>
      <c r="H52" s="484"/>
      <c r="I52" s="42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87">
        <v>46312</v>
      </c>
      <c r="B53" s="888"/>
      <c r="C53" s="40"/>
      <c r="D53" s="69"/>
      <c r="E53" s="71"/>
      <c r="F53" s="71"/>
      <c r="G53" s="560">
        <f t="shared" si="10"/>
        <v>0</v>
      </c>
      <c r="H53" s="484"/>
      <c r="I53" s="42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87">
        <v>46313</v>
      </c>
      <c r="B54" s="888"/>
      <c r="C54" s="40"/>
      <c r="D54" s="69"/>
      <c r="E54" s="71"/>
      <c r="F54" s="71"/>
      <c r="G54" s="560">
        <f t="shared" si="10"/>
        <v>0</v>
      </c>
      <c r="H54" s="484"/>
      <c r="I54" s="42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87">
        <v>46314</v>
      </c>
      <c r="B55" s="888"/>
      <c r="C55" s="40"/>
      <c r="D55" s="69"/>
      <c r="E55" s="71"/>
      <c r="F55" s="71"/>
      <c r="G55" s="560">
        <f t="shared" si="10"/>
        <v>0</v>
      </c>
      <c r="H55" s="484"/>
      <c r="I55" s="42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87">
        <v>46315</v>
      </c>
      <c r="B56" s="888"/>
      <c r="C56" s="40"/>
      <c r="D56" s="69"/>
      <c r="E56" s="71"/>
      <c r="F56" s="71"/>
      <c r="G56" s="560">
        <f t="shared" si="10"/>
        <v>0</v>
      </c>
      <c r="H56" s="484"/>
      <c r="I56" s="42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87">
        <v>46316</v>
      </c>
      <c r="B57" s="888"/>
      <c r="C57" s="40"/>
      <c r="D57" s="69"/>
      <c r="E57" s="71"/>
      <c r="F57" s="71"/>
      <c r="G57" s="560">
        <f t="shared" si="10"/>
        <v>0</v>
      </c>
      <c r="H57" s="484"/>
      <c r="I57" s="42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87">
        <v>46317</v>
      </c>
      <c r="B58" s="888"/>
      <c r="C58" s="40"/>
      <c r="D58" s="69"/>
      <c r="E58" s="71"/>
      <c r="F58" s="71"/>
      <c r="G58" s="560">
        <f t="shared" si="10"/>
        <v>0</v>
      </c>
      <c r="H58" s="484"/>
      <c r="I58" s="427"/>
      <c r="K58" s="66"/>
      <c r="L58" s="73">
        <f>SUM(L5:L57)</f>
        <v>6793</v>
      </c>
      <c r="M58" s="73">
        <f>SUM(M5:M18)</f>
        <v>201.23333333333329</v>
      </c>
      <c r="N58" s="74">
        <f>AVERAGE(N5:N28)</f>
        <v>0.79489734299516912</v>
      </c>
      <c r="O58" s="70">
        <f>SUM(O5:O57)</f>
        <v>113.21666666666667</v>
      </c>
      <c r="P58" s="6"/>
    </row>
    <row r="59" spans="1:19" x14ac:dyDescent="0.3">
      <c r="A59" s="887">
        <v>46318</v>
      </c>
      <c r="B59" s="888"/>
      <c r="C59" s="40"/>
      <c r="D59" s="69"/>
      <c r="E59" s="71"/>
      <c r="F59" s="71"/>
      <c r="G59" s="560">
        <f t="shared" si="10"/>
        <v>0</v>
      </c>
      <c r="H59" s="484"/>
      <c r="I59" s="427"/>
      <c r="K59" s="66"/>
      <c r="L59" s="75">
        <f>L58/60</f>
        <v>113.21666666666667</v>
      </c>
      <c r="M59" s="47">
        <f>M58/24</f>
        <v>8.3847222222222211</v>
      </c>
      <c r="N59" s="12"/>
      <c r="O59" s="13">
        <f>O58/24</f>
        <v>4.7173611111111109</v>
      </c>
    </row>
    <row r="60" spans="1:19" x14ac:dyDescent="0.3">
      <c r="A60" s="887">
        <v>46319</v>
      </c>
      <c r="B60" s="888"/>
      <c r="C60" s="40"/>
      <c r="D60" s="69"/>
      <c r="E60" s="71"/>
      <c r="F60" s="71"/>
      <c r="G60" s="560">
        <f t="shared" si="10"/>
        <v>0</v>
      </c>
      <c r="H60" s="484"/>
      <c r="I60" s="427"/>
      <c r="M60" s="47">
        <f>M59+O59</f>
        <v>13.102083333333333</v>
      </c>
    </row>
    <row r="61" spans="1:19" x14ac:dyDescent="0.3">
      <c r="A61" s="887">
        <v>46320</v>
      </c>
      <c r="B61" s="888"/>
      <c r="C61" s="40"/>
      <c r="D61" s="69"/>
      <c r="E61" s="71"/>
      <c r="F61" s="71"/>
      <c r="G61" s="560">
        <f t="shared" si="10"/>
        <v>0</v>
      </c>
      <c r="H61" s="484"/>
      <c r="I61" s="427"/>
      <c r="N61" s="13">
        <f>'Au Cal Leaching Tank'!K61/238</f>
        <v>7.5655108939075628</v>
      </c>
    </row>
    <row r="62" spans="1:19" x14ac:dyDescent="0.3">
      <c r="A62" s="887">
        <v>46321</v>
      </c>
      <c r="B62" s="888"/>
      <c r="C62" s="40"/>
      <c r="D62" s="69"/>
      <c r="E62" s="71"/>
      <c r="F62" s="71"/>
      <c r="G62" s="560">
        <f t="shared" si="10"/>
        <v>0</v>
      </c>
      <c r="H62" s="484"/>
      <c r="I62" s="427"/>
      <c r="N62" s="1">
        <f>N61*234</f>
        <v>1770.3295491743697</v>
      </c>
    </row>
    <row r="63" spans="1:19" x14ac:dyDescent="0.3">
      <c r="A63" s="887">
        <v>46322</v>
      </c>
      <c r="B63" s="888"/>
      <c r="C63" s="40"/>
      <c r="D63" s="69"/>
      <c r="E63" s="71"/>
      <c r="F63" s="71"/>
      <c r="G63" s="560">
        <f t="shared" si="10"/>
        <v>0</v>
      </c>
      <c r="H63" s="484"/>
      <c r="I63" s="427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8" type="noConversion"/>
  <dataValidations disablePrompts="1"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topLeftCell="C1" zoomScale="79" zoomScaleNormal="80" workbookViewId="0">
      <pane ySplit="4" topLeftCell="A16" activePane="bottomLeft" state="frozen"/>
      <selection pane="bottomLeft" activeCell="E26" sqref="E26"/>
    </sheetView>
  </sheetViews>
  <sheetFormatPr defaultColWidth="8.77734375" defaultRowHeight="14.4" x14ac:dyDescent="0.3"/>
  <cols>
    <col min="1" max="1" width="8.77734375" style="650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2"/>
      <c r="E2" s="572"/>
      <c r="H2" s="739" t="s">
        <v>33</v>
      </c>
      <c r="I2" s="739"/>
      <c r="J2" s="739"/>
      <c r="K2" s="739"/>
      <c r="O2" s="1">
        <f>720+180</f>
        <v>900</v>
      </c>
    </row>
    <row r="4" spans="1:33" ht="29.4" thickBot="1" x14ac:dyDescent="0.35">
      <c r="A4" s="651" t="s">
        <v>559</v>
      </c>
      <c r="B4" s="751" t="s">
        <v>1</v>
      </c>
      <c r="C4" s="752"/>
      <c r="D4" s="25" t="s">
        <v>2</v>
      </c>
      <c r="E4" s="25" t="s">
        <v>177</v>
      </c>
      <c r="F4" s="26" t="s">
        <v>27</v>
      </c>
      <c r="G4" s="26" t="s">
        <v>34</v>
      </c>
      <c r="H4" s="464" t="s">
        <v>282</v>
      </c>
      <c r="I4" s="464" t="s">
        <v>451</v>
      </c>
      <c r="J4" s="464" t="s">
        <v>456</v>
      </c>
      <c r="K4" s="26" t="s">
        <v>35</v>
      </c>
      <c r="L4" s="46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4" t="s">
        <v>525</v>
      </c>
    </row>
    <row r="5" spans="1:33" ht="16.2" thickBot="1" x14ac:dyDescent="0.35">
      <c r="A5" s="795">
        <v>1</v>
      </c>
      <c r="B5" s="753">
        <v>46265</v>
      </c>
      <c r="C5" s="754"/>
      <c r="D5" s="581" t="s">
        <v>453</v>
      </c>
      <c r="E5" s="581" t="s">
        <v>452</v>
      </c>
      <c r="F5" s="624" t="s">
        <v>13</v>
      </c>
      <c r="G5" s="582">
        <v>0.2271</v>
      </c>
      <c r="H5" s="583">
        <v>116.84</v>
      </c>
      <c r="I5" s="523">
        <f t="shared" ref="I5:I11" si="0">H5/((720-R5)/60)</f>
        <v>11.198722044728434</v>
      </c>
      <c r="J5" s="523">
        <f>H5</f>
        <v>116.84</v>
      </c>
      <c r="K5" s="584">
        <v>1.135</v>
      </c>
      <c r="L5" s="522">
        <v>0.68</v>
      </c>
      <c r="M5" s="523">
        <f>H5*K5*G5</f>
        <v>30.116503140000003</v>
      </c>
      <c r="N5" s="746">
        <f>SUM(M5:M6)</f>
        <v>74.069659139999999</v>
      </c>
      <c r="O5" s="523">
        <f t="shared" ref="O5:O11" si="1">M5/((720-R5)/60)</f>
        <v>2.8865657961661344</v>
      </c>
      <c r="P5" s="759">
        <f>'Milling Down Time Hours'!M5</f>
        <v>22.433333333333334</v>
      </c>
      <c r="Q5" s="546"/>
      <c r="R5" s="528">
        <f>'Milling Down Time Hours'!L5</f>
        <v>94</v>
      </c>
      <c r="S5" s="746">
        <f>SUM(M5:M8)</f>
        <v>292.31360000000001</v>
      </c>
      <c r="T5" s="530">
        <f>AVERAGE('LT Ball Mill'!F4:F6)</f>
        <v>0.96699999999999997</v>
      </c>
      <c r="U5" s="530">
        <f>AVERAGE('LT Ball Mill'!G4:G6)</f>
        <v>0.41</v>
      </c>
      <c r="V5" s="530">
        <f>AVERAGE('LT Ball Mill'!H4:H6)</f>
        <v>6.1096666666666666</v>
      </c>
      <c r="W5" s="531">
        <f t="shared" ref="W5:W45" si="2">T5*M5</f>
        <v>29.122658536380001</v>
      </c>
      <c r="X5" s="617">
        <f t="shared" ref="X5:X45" si="3">M5*U5</f>
        <v>12.347766287400001</v>
      </c>
      <c r="Y5" s="617">
        <f t="shared" ref="Y5:Y45" si="4">M5*V5</f>
        <v>184.00179535102001</v>
      </c>
      <c r="Z5" s="498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795"/>
      <c r="B6" s="755"/>
      <c r="C6" s="756"/>
      <c r="D6" s="585" t="s">
        <v>454</v>
      </c>
      <c r="E6" s="581" t="s">
        <v>452</v>
      </c>
      <c r="F6" s="625" t="s">
        <v>14</v>
      </c>
      <c r="G6" s="569">
        <v>0.36</v>
      </c>
      <c r="H6" s="586">
        <f>J6-H5</f>
        <v>98.859999999999985</v>
      </c>
      <c r="I6" s="523">
        <f t="shared" si="0"/>
        <v>8.2383333333333315</v>
      </c>
      <c r="J6" s="568">
        <v>215.7</v>
      </c>
      <c r="K6" s="587">
        <v>1.2350000000000001</v>
      </c>
      <c r="L6" s="525">
        <v>0.68</v>
      </c>
      <c r="M6" s="523">
        <f>H6*K6*G6</f>
        <v>43.953155999999993</v>
      </c>
      <c r="N6" s="747"/>
      <c r="O6" s="523">
        <f t="shared" si="1"/>
        <v>3.6627629999999995</v>
      </c>
      <c r="P6" s="760"/>
      <c r="Q6" s="588"/>
      <c r="R6" s="528">
        <v>0</v>
      </c>
      <c r="S6" s="805"/>
      <c r="T6" s="532">
        <f>AVERAGE('LT Ball Mill'!F7:F9)</f>
        <v>0.60899999999999999</v>
      </c>
      <c r="U6" s="532">
        <f>AVERAGE('LT Ball Mill'!G7:G9)</f>
        <v>0.52833333333333343</v>
      </c>
      <c r="V6" s="532">
        <f>AVERAGE('LT Ball Mill'!H7:H9)</f>
        <v>7.623333333333334</v>
      </c>
      <c r="W6" s="531">
        <f t="shared" si="2"/>
        <v>26.767472003999995</v>
      </c>
      <c r="X6" s="617">
        <f t="shared" si="3"/>
        <v>23.22191742</v>
      </c>
      <c r="Y6" s="617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9" customFormat="1" ht="16.2" thickBot="1" x14ac:dyDescent="0.35">
      <c r="A7" s="795"/>
      <c r="B7" s="753">
        <v>46266</v>
      </c>
      <c r="C7" s="754"/>
      <c r="D7" s="581" t="s">
        <v>453</v>
      </c>
      <c r="E7" s="581" t="s">
        <v>452</v>
      </c>
      <c r="F7" s="624" t="s">
        <v>13</v>
      </c>
      <c r="G7" s="522">
        <v>0.38790000000000002</v>
      </c>
      <c r="H7" s="589">
        <f>J7-SUM(H5:H6)</f>
        <v>143.30000000000001</v>
      </c>
      <c r="I7" s="523">
        <f t="shared" si="0"/>
        <v>12.371223021582734</v>
      </c>
      <c r="J7" s="523">
        <v>359</v>
      </c>
      <c r="K7" s="524">
        <v>1.2549999999999999</v>
      </c>
      <c r="L7" s="522">
        <v>0.7</v>
      </c>
      <c r="M7" s="523">
        <f>(K7*J7*G7)-(SUM(M5:M6))</f>
        <v>100.69674635999999</v>
      </c>
      <c r="N7" s="746">
        <f>SUM(M7:M8)</f>
        <v>218.24394086000001</v>
      </c>
      <c r="O7" s="523">
        <f t="shared" si="1"/>
        <v>8.6932442900719415</v>
      </c>
      <c r="P7" s="757">
        <f>'Milling Down Time Hours'!M6</f>
        <v>22.9</v>
      </c>
      <c r="Q7" s="568"/>
      <c r="R7" s="528">
        <v>25</v>
      </c>
      <c r="S7" s="805"/>
      <c r="T7" s="530">
        <f>AVERAGE('LT Ball Mill'!F10:F12)</f>
        <v>0.64699999999999991</v>
      </c>
      <c r="U7" s="530">
        <f>AVERAGE('LT Ball Mill'!G10:G12)</f>
        <v>0.67433333333333334</v>
      </c>
      <c r="V7" s="530">
        <f>AVERAGE('LT Ball Mill'!H10:H12)</f>
        <v>7.5333333333333341</v>
      </c>
      <c r="W7" s="531">
        <f t="shared" si="2"/>
        <v>65.150794894919983</v>
      </c>
      <c r="X7" s="617">
        <f t="shared" si="3"/>
        <v>67.903172628759989</v>
      </c>
      <c r="Y7" s="617">
        <f t="shared" si="4"/>
        <v>758.58215591199996</v>
      </c>
      <c r="Z7" s="168">
        <f>W7*$AF$6</f>
        <v>162876987.23729995</v>
      </c>
      <c r="AA7" s="468"/>
      <c r="AB7" s="468"/>
      <c r="AC7" s="468"/>
      <c r="AD7" s="468"/>
    </row>
    <row r="8" spans="1:33" s="469" customFormat="1" ht="16.2" thickBot="1" x14ac:dyDescent="0.35">
      <c r="A8" s="795"/>
      <c r="B8" s="755"/>
      <c r="C8" s="756"/>
      <c r="D8" s="574" t="s">
        <v>454</v>
      </c>
      <c r="E8" s="573" t="s">
        <v>455</v>
      </c>
      <c r="F8" s="625" t="s">
        <v>14</v>
      </c>
      <c r="G8" s="525">
        <v>0.41</v>
      </c>
      <c r="H8" s="590">
        <f>J8-SUM(H5:H7)</f>
        <v>198</v>
      </c>
      <c r="I8" s="523">
        <f t="shared" si="0"/>
        <v>17.496318114874818</v>
      </c>
      <c r="J8" s="568">
        <v>557</v>
      </c>
      <c r="K8" s="526">
        <v>1.28</v>
      </c>
      <c r="L8" s="525">
        <v>0.7</v>
      </c>
      <c r="M8" s="523">
        <f>(K8*J8*G8)-(SUM(M5:M7))</f>
        <v>117.54719450000002</v>
      </c>
      <c r="N8" s="747"/>
      <c r="O8" s="523">
        <f t="shared" si="1"/>
        <v>10.387086406480119</v>
      </c>
      <c r="P8" s="758"/>
      <c r="Q8" s="568"/>
      <c r="R8" s="528">
        <v>41</v>
      </c>
      <c r="S8" s="747"/>
      <c r="T8" s="532">
        <f>AVERAGE('LT Ball Mill'!F13:F15)</f>
        <v>0.60899999999999999</v>
      </c>
      <c r="U8" s="532">
        <f>AVERAGE('LT Ball Mill'!G13:G15)</f>
        <v>0.52833333333333343</v>
      </c>
      <c r="V8" s="532">
        <f>AVERAGE('LT Ball Mill'!H13:H15)</f>
        <v>7.623333333333334</v>
      </c>
      <c r="W8" s="531">
        <f t="shared" si="2"/>
        <v>71.586241450500012</v>
      </c>
      <c r="X8" s="617">
        <f t="shared" si="3"/>
        <v>62.104101094166687</v>
      </c>
      <c r="Y8" s="617">
        <f t="shared" si="4"/>
        <v>896.10144607166683</v>
      </c>
      <c r="Z8" s="168">
        <f>W8*$AF$6</f>
        <v>178965603.62625003</v>
      </c>
      <c r="AA8" s="468"/>
      <c r="AB8" s="468" t="s">
        <v>40</v>
      </c>
      <c r="AC8" s="470">
        <v>1210</v>
      </c>
      <c r="AD8" s="468" t="s">
        <v>41</v>
      </c>
      <c r="AF8" s="486"/>
    </row>
    <row r="9" spans="1:33" ht="16.2" thickBot="1" x14ac:dyDescent="0.35">
      <c r="A9" s="796">
        <v>2</v>
      </c>
      <c r="B9" s="761">
        <v>46267</v>
      </c>
      <c r="C9" s="762"/>
      <c r="D9" s="577" t="s">
        <v>453</v>
      </c>
      <c r="E9" s="577" t="s">
        <v>458</v>
      </c>
      <c r="F9" s="626" t="s">
        <v>13</v>
      </c>
      <c r="G9" s="542">
        <v>0.39</v>
      </c>
      <c r="H9" s="543">
        <f>J9</f>
        <v>215</v>
      </c>
      <c r="I9" s="540">
        <f t="shared" si="0"/>
        <v>21.5</v>
      </c>
      <c r="J9" s="543">
        <v>215</v>
      </c>
      <c r="K9" s="543">
        <v>1.26</v>
      </c>
      <c r="L9" s="542">
        <v>0.72</v>
      </c>
      <c r="M9" s="539">
        <f>H9*K9*G9</f>
        <v>105.651</v>
      </c>
      <c r="N9" s="744">
        <f>SUM(M9:M10)</f>
        <v>209.804</v>
      </c>
      <c r="O9" s="540">
        <f t="shared" si="1"/>
        <v>10.565099999999999</v>
      </c>
      <c r="P9" s="749">
        <f>'Milling Down Time Hours'!M7</f>
        <v>22</v>
      </c>
      <c r="Q9" s="555"/>
      <c r="R9" s="533">
        <f>'Milling Down Time Hours'!L7</f>
        <v>120.00000000000001</v>
      </c>
      <c r="S9" s="744">
        <f>SUM(M9:M11)</f>
        <v>300.14215000000002</v>
      </c>
      <c r="T9" s="591">
        <f>AVERAGE('LT Ball Mill'!F16:F18)</f>
        <v>0.7446666666666667</v>
      </c>
      <c r="U9" s="591">
        <f>AVERAGE('LT Ball Mill'!G16:G18)</f>
        <v>0.59</v>
      </c>
      <c r="V9" s="591">
        <f>AVERAGE('LT Ball Mill'!H16:H18)</f>
        <v>9.8400000000000016</v>
      </c>
      <c r="W9" s="534">
        <f t="shared" si="2"/>
        <v>78.674778000000003</v>
      </c>
      <c r="X9" s="548">
        <f t="shared" si="3"/>
        <v>62.334089999999996</v>
      </c>
      <c r="Y9" s="548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796"/>
      <c r="B10" s="763"/>
      <c r="C10" s="764"/>
      <c r="D10" s="579" t="s">
        <v>457</v>
      </c>
      <c r="E10" s="580"/>
      <c r="F10" s="627" t="s">
        <v>14</v>
      </c>
      <c r="G10" s="538">
        <v>0.4</v>
      </c>
      <c r="H10" s="541">
        <f>J10-H9</f>
        <v>198</v>
      </c>
      <c r="I10" s="540">
        <f t="shared" si="0"/>
        <v>16.5</v>
      </c>
      <c r="J10" s="541">
        <v>413</v>
      </c>
      <c r="K10" s="541">
        <v>1.27</v>
      </c>
      <c r="L10" s="542">
        <v>0.72</v>
      </c>
      <c r="M10" s="539">
        <f>K10*J10*G10-SUM(M9)</f>
        <v>104.15300000000001</v>
      </c>
      <c r="N10" s="745"/>
      <c r="O10" s="540">
        <f t="shared" si="1"/>
        <v>8.6794166666666666</v>
      </c>
      <c r="P10" s="750"/>
      <c r="Q10" s="555"/>
      <c r="R10" s="533">
        <v>0</v>
      </c>
      <c r="S10" s="803"/>
      <c r="T10" s="537">
        <f>AVERAGE('LT Ball Mill'!F19:F21)</f>
        <v>0.64600000000000002</v>
      </c>
      <c r="U10" s="537">
        <f>AVERAGE('LT Ball Mill'!G19:G21)</f>
        <v>1.0666666666666667</v>
      </c>
      <c r="V10" s="537">
        <f>AVERAGE('LT Ball Mill'!H19:H21)</f>
        <v>9.2566666666666659</v>
      </c>
      <c r="W10" s="534">
        <f t="shared" si="2"/>
        <v>67.282838000000012</v>
      </c>
      <c r="X10" s="548">
        <f t="shared" si="3"/>
        <v>111.09653333333334</v>
      </c>
      <c r="Y10" s="548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9" customFormat="1" ht="16.2" thickBot="1" x14ac:dyDescent="0.35">
      <c r="A11" s="796"/>
      <c r="B11" s="761">
        <v>46268</v>
      </c>
      <c r="C11" s="762"/>
      <c r="D11" s="577" t="s">
        <v>453</v>
      </c>
      <c r="E11" s="592" t="s">
        <v>484</v>
      </c>
      <c r="F11" s="626" t="s">
        <v>13</v>
      </c>
      <c r="G11" s="542">
        <v>0.43</v>
      </c>
      <c r="H11" s="541">
        <f>J11-H10-H9</f>
        <v>126</v>
      </c>
      <c r="I11" s="540">
        <f t="shared" si="0"/>
        <v>11.454545454545455</v>
      </c>
      <c r="J11" s="543">
        <v>539</v>
      </c>
      <c r="K11" s="543">
        <v>1.2949999999999999</v>
      </c>
      <c r="L11" s="542">
        <v>0.71</v>
      </c>
      <c r="M11" s="539">
        <f>J11*K11*G11-SUM(M9:M10)</f>
        <v>90.338150000000013</v>
      </c>
      <c r="N11" s="744">
        <f>SUM(M11:M12)</f>
        <v>90.338150000000013</v>
      </c>
      <c r="O11" s="540">
        <f t="shared" si="1"/>
        <v>8.2125590909090924</v>
      </c>
      <c r="P11" s="806">
        <f>'Milling Down Time Hours'!M8</f>
        <v>11.016666666666667</v>
      </c>
      <c r="Q11" s="593"/>
      <c r="R11" s="555">
        <v>60</v>
      </c>
      <c r="S11" s="803"/>
      <c r="T11" s="591">
        <f>AVERAGE('LT Ball Mill'!F22:F24)</f>
        <v>0.66133333333333333</v>
      </c>
      <c r="U11" s="591">
        <f>AVERAGE('LT Ball Mill'!G22:G24)</f>
        <v>0.72333333333333327</v>
      </c>
      <c r="V11" s="591">
        <f>AVERAGE('LT Ball Mill'!H22:H24)</f>
        <v>8.0566666666666666</v>
      </c>
      <c r="W11" s="534">
        <f t="shared" si="2"/>
        <v>59.743629866666673</v>
      </c>
      <c r="X11" s="548">
        <f t="shared" si="3"/>
        <v>65.344595166666664</v>
      </c>
      <c r="Y11" s="548">
        <f t="shared" si="4"/>
        <v>727.82436183333346</v>
      </c>
      <c r="Z11" s="168">
        <f t="shared" si="5"/>
        <v>149359074.66666669</v>
      </c>
      <c r="AA11" s="468"/>
      <c r="AB11" s="468" t="s">
        <v>46</v>
      </c>
      <c r="AC11" s="479">
        <f>2.1</f>
        <v>2.1</v>
      </c>
      <c r="AD11" s="468" t="s">
        <v>45</v>
      </c>
    </row>
    <row r="12" spans="1:33" s="469" customFormat="1" ht="16.2" thickBot="1" x14ac:dyDescent="0.35">
      <c r="A12" s="796"/>
      <c r="B12" s="763"/>
      <c r="C12" s="764"/>
      <c r="D12" s="579" t="s">
        <v>457</v>
      </c>
      <c r="E12" s="594" t="s">
        <v>480</v>
      </c>
      <c r="F12" s="627" t="s">
        <v>14</v>
      </c>
      <c r="G12" s="554"/>
      <c r="H12" s="541"/>
      <c r="I12" s="540"/>
      <c r="J12" s="541"/>
      <c r="K12" s="541"/>
      <c r="L12" s="538"/>
      <c r="M12" s="539">
        <f t="shared" ref="M12:M40" si="6">H12*K12*G12</f>
        <v>0</v>
      </c>
      <c r="N12" s="745"/>
      <c r="O12" s="540"/>
      <c r="P12" s="807"/>
      <c r="Q12" s="595"/>
      <c r="R12" s="553">
        <v>720</v>
      </c>
      <c r="S12" s="804"/>
      <c r="T12" s="597"/>
      <c r="U12" s="597"/>
      <c r="V12" s="598"/>
      <c r="W12" s="534">
        <f t="shared" si="2"/>
        <v>0</v>
      </c>
      <c r="X12" s="548">
        <f t="shared" si="3"/>
        <v>0</v>
      </c>
      <c r="Y12" s="548">
        <f t="shared" si="4"/>
        <v>0</v>
      </c>
      <c r="Z12" s="168">
        <f t="shared" si="5"/>
        <v>0</v>
      </c>
      <c r="AA12" s="468"/>
      <c r="AB12" s="468" t="s">
        <v>47</v>
      </c>
      <c r="AC12" s="479">
        <v>1</v>
      </c>
      <c r="AD12" s="468" t="s">
        <v>45</v>
      </c>
    </row>
    <row r="13" spans="1:33" ht="16.2" thickBot="1" x14ac:dyDescent="0.35">
      <c r="A13" s="796"/>
      <c r="B13" s="761">
        <v>46269</v>
      </c>
      <c r="C13" s="762"/>
      <c r="D13" s="765" t="s">
        <v>497</v>
      </c>
      <c r="E13" s="599"/>
      <c r="F13" s="628" t="s">
        <v>13</v>
      </c>
      <c r="G13" s="551"/>
      <c r="H13" s="552"/>
      <c r="I13" s="540"/>
      <c r="J13" s="552"/>
      <c r="K13" s="552"/>
      <c r="L13" s="552"/>
      <c r="M13" s="539">
        <f t="shared" si="6"/>
        <v>0</v>
      </c>
      <c r="N13" s="539"/>
      <c r="O13" s="552"/>
      <c r="P13" s="749">
        <f>'Milling Down Time Hours'!M9</f>
        <v>3.3333333333333333E-2</v>
      </c>
      <c r="Q13" s="578"/>
      <c r="R13" s="749">
        <f>'Milling Down Time Hours'!L9</f>
        <v>1438</v>
      </c>
      <c r="S13" s="533"/>
      <c r="T13" s="591"/>
      <c r="U13" s="591"/>
      <c r="V13" s="600"/>
      <c r="W13" s="534">
        <f t="shared" si="2"/>
        <v>0</v>
      </c>
      <c r="X13" s="548">
        <f t="shared" si="3"/>
        <v>0</v>
      </c>
      <c r="Y13" s="548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796"/>
      <c r="B14" s="774"/>
      <c r="C14" s="775"/>
      <c r="D14" s="766"/>
      <c r="E14" s="601"/>
      <c r="F14" s="629" t="s">
        <v>14</v>
      </c>
      <c r="G14" s="602"/>
      <c r="H14" s="603"/>
      <c r="I14" s="578"/>
      <c r="J14" s="603"/>
      <c r="K14" s="603"/>
      <c r="L14" s="602"/>
      <c r="M14" s="556">
        <f t="shared" si="6"/>
        <v>0</v>
      </c>
      <c r="N14" s="556"/>
      <c r="O14" s="556">
        <f>(N14/SUM(P5:P14))</f>
        <v>0</v>
      </c>
      <c r="P14" s="808"/>
      <c r="Q14" s="555"/>
      <c r="R14" s="809"/>
      <c r="S14" s="603"/>
      <c r="T14" s="605"/>
      <c r="U14" s="605"/>
      <c r="V14" s="606"/>
      <c r="W14" s="607">
        <f t="shared" si="2"/>
        <v>0</v>
      </c>
      <c r="X14" s="618">
        <f t="shared" si="3"/>
        <v>0</v>
      </c>
      <c r="Y14" s="618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801">
        <v>46270</v>
      </c>
      <c r="C15" s="802"/>
      <c r="D15" s="575"/>
      <c r="E15" s="575" t="s">
        <v>498</v>
      </c>
      <c r="F15" s="45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7"/>
      <c r="U15" s="497"/>
      <c r="V15" s="497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797">
        <v>3</v>
      </c>
      <c r="B16" s="776">
        <v>46270</v>
      </c>
      <c r="C16" s="776"/>
      <c r="D16" s="608" t="s">
        <v>454</v>
      </c>
      <c r="E16" s="635" t="s">
        <v>499</v>
      </c>
      <c r="F16" s="630" t="s">
        <v>14</v>
      </c>
      <c r="G16" s="544">
        <v>0.38</v>
      </c>
      <c r="H16" s="528">
        <f>J16-'Au Cal Leaching Tank'!$Q$10</f>
        <v>62.150000000000006</v>
      </c>
      <c r="I16" s="528">
        <v>5.57</v>
      </c>
      <c r="J16" s="545">
        <v>170</v>
      </c>
      <c r="K16" s="545">
        <v>1.25</v>
      </c>
      <c r="L16" s="544"/>
      <c r="M16" s="528">
        <f>(J16*K16*G16)-'Au Cal Leaching Tank'!$R$10</f>
        <v>26.314330250000005</v>
      </c>
      <c r="N16" s="547">
        <f>SUM(M15:M16)</f>
        <v>26.314330250000005</v>
      </c>
      <c r="O16" s="528">
        <f t="shared" ref="O16:O23" si="7">M16/P16</f>
        <v>2.325272187039765</v>
      </c>
      <c r="P16" s="617">
        <f>Q16/60</f>
        <v>11.316666666666666</v>
      </c>
      <c r="Q16" s="617">
        <f>720-R16</f>
        <v>679</v>
      </c>
      <c r="R16" s="528">
        <v>41</v>
      </c>
      <c r="S16" s="759">
        <f>SUM(M16:M19)</f>
        <v>326.97083025000006</v>
      </c>
      <c r="T16" s="619">
        <f>AVERAGE('LT Ball Mill'!F25:F27)</f>
        <v>1.087</v>
      </c>
      <c r="U16" s="619">
        <f>AVERAGE('LT Ball Mill'!G25:G27)</f>
        <v>0.77333333333333332</v>
      </c>
      <c r="V16" s="619">
        <f>AVERAGE('LT Ball Mill'!H25:H27)</f>
        <v>8.1166666666666671</v>
      </c>
      <c r="W16" s="531">
        <f t="shared" ref="W16:W24" si="8">T16*M16</f>
        <v>28.603676981750006</v>
      </c>
      <c r="X16" s="617">
        <f t="shared" ref="X16:X24" si="9">M16*U16</f>
        <v>20.349748726666668</v>
      </c>
      <c r="Y16" s="617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797"/>
      <c r="B17" s="776">
        <v>46271</v>
      </c>
      <c r="C17" s="776"/>
      <c r="D17" s="669" t="s">
        <v>454</v>
      </c>
      <c r="E17" s="669" t="s">
        <v>519</v>
      </c>
      <c r="F17" s="631" t="s">
        <v>13</v>
      </c>
      <c r="G17" s="570">
        <v>0.47</v>
      </c>
      <c r="H17" s="528">
        <f>J17-SUM(H16)-'Au Cal Leaching Tank'!$Q$10</f>
        <v>45</v>
      </c>
      <c r="I17" s="610">
        <f t="shared" ref="I17:I22" si="11">H17/((720-R17)/60)</f>
        <v>4.5762711864406773</v>
      </c>
      <c r="J17" s="571">
        <v>215</v>
      </c>
      <c r="K17" s="571">
        <v>1.33</v>
      </c>
      <c r="L17" s="570">
        <v>0.65</v>
      </c>
      <c r="M17" s="529">
        <f>J17*K17*G17-SUM(M16)-'Au Cal Leaching Tank'!$R$10</f>
        <v>53.646499999999968</v>
      </c>
      <c r="N17" s="767">
        <f>SUM(M17:M18)</f>
        <v>173.32450000000003</v>
      </c>
      <c r="O17" s="528">
        <f t="shared" si="7"/>
        <v>5.4555762711864366</v>
      </c>
      <c r="P17" s="528">
        <f>(720-R17)/60</f>
        <v>9.8333333333333339</v>
      </c>
      <c r="Q17" s="617">
        <f t="shared" ref="Q17" si="12">720-R17</f>
        <v>590</v>
      </c>
      <c r="R17" s="528">
        <f>'Milling Down Time Hours'!L11</f>
        <v>130</v>
      </c>
      <c r="S17" s="810"/>
      <c r="T17" s="620">
        <f>AVERAGE('LT Ball Mill'!F28:F30)</f>
        <v>0.90233333333333332</v>
      </c>
      <c r="U17" s="620">
        <f>AVERAGE('LT Ball Mill'!G28:G30)</f>
        <v>0.56999999999999995</v>
      </c>
      <c r="V17" s="620">
        <f>AVERAGE('LT Ball Mill'!H28:H30)</f>
        <v>9.6533333333333342</v>
      </c>
      <c r="W17" s="621">
        <f t="shared" si="8"/>
        <v>48.407025166666635</v>
      </c>
      <c r="X17" s="588">
        <f t="shared" si="9"/>
        <v>30.578504999999979</v>
      </c>
      <c r="Y17" s="588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797"/>
      <c r="B18" s="776"/>
      <c r="C18" s="776"/>
      <c r="D18" s="669" t="s">
        <v>453</v>
      </c>
      <c r="E18" s="670"/>
      <c r="F18" s="625" t="s">
        <v>14</v>
      </c>
      <c r="G18" s="569">
        <v>0.45</v>
      </c>
      <c r="H18" s="528">
        <f>J18-SUM(H16:H17)-'Au Cal Leaching Tank'!$Q$10</f>
        <v>216.00000000000003</v>
      </c>
      <c r="I18" s="523">
        <f t="shared" si="11"/>
        <v>18.000000000000004</v>
      </c>
      <c r="J18" s="526">
        <v>431</v>
      </c>
      <c r="K18" s="526">
        <v>1.31</v>
      </c>
      <c r="L18" s="525">
        <v>0.65</v>
      </c>
      <c r="M18" s="529">
        <f>J18*K18*G18-SUM(M16:M17)-'Au Cal Leaching Tank'!$R$10</f>
        <v>119.67800000000005</v>
      </c>
      <c r="N18" s="767"/>
      <c r="O18" s="528">
        <f t="shared" si="7"/>
        <v>9.9731666666666712</v>
      </c>
      <c r="P18" s="528">
        <f>(720-R18)/60</f>
        <v>12</v>
      </c>
      <c r="Q18" s="617">
        <f>720-R18</f>
        <v>720</v>
      </c>
      <c r="R18" s="528">
        <v>0</v>
      </c>
      <c r="S18" s="810"/>
      <c r="T18" s="532">
        <f>AVERAGE('LT Ball Mill'!F31:F33)</f>
        <v>0.81433333333333335</v>
      </c>
      <c r="U18" s="532">
        <f>AVERAGE('LT Ball Mill'!G31:G33)</f>
        <v>0.6333333333333333</v>
      </c>
      <c r="V18" s="532">
        <f>AVERAGE('LT Ball Mill'!H31:H33)</f>
        <v>9.4366666666666674</v>
      </c>
      <c r="W18" s="531">
        <f t="shared" si="8"/>
        <v>97.457784666666711</v>
      </c>
      <c r="X18" s="617">
        <f t="shared" si="9"/>
        <v>75.796066666666704</v>
      </c>
      <c r="Y18" s="617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797"/>
      <c r="B19" s="755">
        <v>46272</v>
      </c>
      <c r="C19" s="756"/>
      <c r="D19" s="609" t="s">
        <v>170</v>
      </c>
      <c r="E19" s="611" t="s">
        <v>531</v>
      </c>
      <c r="F19" s="631" t="s">
        <v>13</v>
      </c>
      <c r="G19" s="570">
        <v>0.45</v>
      </c>
      <c r="H19" s="528">
        <f>J19-SUM(H16:H18)-'Au Cal Leaching Tank'!$Q$10</f>
        <v>215.99999999999997</v>
      </c>
      <c r="I19" s="523">
        <f t="shared" si="11"/>
        <v>19.31445603576751</v>
      </c>
      <c r="J19" s="571">
        <v>647</v>
      </c>
      <c r="K19" s="571">
        <v>1.31</v>
      </c>
      <c r="L19" s="570">
        <v>0.73</v>
      </c>
      <c r="M19" s="529">
        <f>J19*K19*G19-SUM(M16:M18)-'Au Cal Leaching Tank'!$R$10</f>
        <v>127.33200000000005</v>
      </c>
      <c r="N19" s="768">
        <f>SUM(M19:M20)</f>
        <v>185.59190000000007</v>
      </c>
      <c r="O19" s="528">
        <f t="shared" si="7"/>
        <v>8.9775793184488872</v>
      </c>
      <c r="P19" s="528">
        <f>(900-R19)/60</f>
        <v>14.183333333333334</v>
      </c>
      <c r="Q19" s="528">
        <f>900-R19</f>
        <v>851</v>
      </c>
      <c r="R19" s="528">
        <f>'Milling Down Time Hours'!G13+30</f>
        <v>49</v>
      </c>
      <c r="S19" s="769"/>
      <c r="T19" s="620">
        <f>AVERAGE('LT Ball Mill'!F34:F36)</f>
        <v>0.91199999999999992</v>
      </c>
      <c r="U19" s="620">
        <f>AVERAGE('LT Ball Mill'!G34:G36)</f>
        <v>0.95333333333333325</v>
      </c>
      <c r="V19" s="620">
        <f>AVERAGE('LT Ball Mill'!H34:H36)</f>
        <v>9.3966666666666665</v>
      </c>
      <c r="W19" s="531">
        <f t="shared" si="8"/>
        <v>116.12678400000003</v>
      </c>
      <c r="X19" s="617">
        <f t="shared" si="9"/>
        <v>121.38984000000004</v>
      </c>
      <c r="Y19" s="617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796">
        <v>4</v>
      </c>
      <c r="B20" s="799">
        <v>46272</v>
      </c>
      <c r="C20" s="800"/>
      <c r="D20" s="612" t="s">
        <v>522</v>
      </c>
      <c r="E20" s="696" t="s">
        <v>565</v>
      </c>
      <c r="F20" s="632" t="s">
        <v>14</v>
      </c>
      <c r="G20" s="549">
        <v>0.41</v>
      </c>
      <c r="H20" s="533">
        <f>J20-'Au Cal Leaching Tank'!$Q$11</f>
        <v>107.15</v>
      </c>
      <c r="I20" s="540">
        <f>H20/((720-R20)/60)</f>
        <v>9.5103550295857993</v>
      </c>
      <c r="J20" s="550">
        <v>215</v>
      </c>
      <c r="K20" s="550">
        <v>1.28</v>
      </c>
      <c r="L20" s="549">
        <v>0.73</v>
      </c>
      <c r="M20" s="539">
        <f>J20*K20*G20-'Au Cal Leaching Tank'!$R$11</f>
        <v>58.259900000000002</v>
      </c>
      <c r="N20" s="769"/>
      <c r="O20" s="533">
        <f t="shared" si="7"/>
        <v>6.2870395683453237</v>
      </c>
      <c r="P20" s="533">
        <f>(600-R20)/60</f>
        <v>9.2666666666666675</v>
      </c>
      <c r="Q20" s="533">
        <f>600-R20</f>
        <v>556</v>
      </c>
      <c r="R20" s="533">
        <f>'Milling Down Time Hours'!G14-30</f>
        <v>44</v>
      </c>
      <c r="S20" s="798">
        <f>SUM(M20:M23)</f>
        <v>316.93529999999998</v>
      </c>
      <c r="T20" s="649">
        <f>AVERAGE('LT Ball Mill'!F37:F39)</f>
        <v>0.53033333333333343</v>
      </c>
      <c r="U20" s="649">
        <f>AVERAGE('LT Ball Mill'!G37:G39)</f>
        <v>1.07</v>
      </c>
      <c r="V20" s="649">
        <f>AVERAGE('LT Ball Mill'!H37:H39)</f>
        <v>8.9266666666666676</v>
      </c>
      <c r="W20" s="534">
        <f t="shared" si="8"/>
        <v>30.897166966666674</v>
      </c>
      <c r="X20" s="548">
        <f t="shared" si="9"/>
        <v>62.338093000000008</v>
      </c>
      <c r="Y20" s="548">
        <f t="shared" si="10"/>
        <v>520.0667073333334</v>
      </c>
    </row>
    <row r="21" spans="1:32" ht="15" thickBot="1" x14ac:dyDescent="0.35">
      <c r="A21" s="796"/>
      <c r="B21" s="761">
        <v>46273</v>
      </c>
      <c r="C21" s="762"/>
      <c r="D21" s="613" t="s">
        <v>170</v>
      </c>
      <c r="E21" s="613" t="s">
        <v>532</v>
      </c>
      <c r="F21" s="632" t="s">
        <v>13</v>
      </c>
      <c r="G21" s="549">
        <v>0.42</v>
      </c>
      <c r="H21" s="533">
        <f>J21-'Au Cal Leaching Tank'!$Q$11-SUM(H20)</f>
        <v>188.99999999999997</v>
      </c>
      <c r="I21" s="540">
        <f t="shared" si="11"/>
        <v>18.290322580645157</v>
      </c>
      <c r="J21" s="550">
        <v>404</v>
      </c>
      <c r="K21" s="550">
        <v>1.29</v>
      </c>
      <c r="L21" s="549">
        <v>0.75</v>
      </c>
      <c r="M21" s="539">
        <f>J21*K21*G21-'Au Cal Leaching Tank'!$R$11-SUM(M20)</f>
        <v>106.05519999999997</v>
      </c>
      <c r="N21" s="744">
        <f>SUM(M21:M22)</f>
        <v>193.82679999999999</v>
      </c>
      <c r="O21" s="533">
        <f t="shared" si="7"/>
        <v>10.2634064516129</v>
      </c>
      <c r="P21" s="533">
        <f>(720-R21)/60</f>
        <v>10.333333333333334</v>
      </c>
      <c r="Q21" s="533">
        <f>720-R21</f>
        <v>620</v>
      </c>
      <c r="R21" s="533">
        <f>'Milling Down Time Hours'!G15</f>
        <v>100</v>
      </c>
      <c r="S21" s="798"/>
      <c r="T21" s="649">
        <f>AVERAGE('LT Ball Mill'!F40:F42)</f>
        <v>0.64666666666666672</v>
      </c>
      <c r="U21" s="649">
        <f>AVERAGE('LT Ball Mill'!G40:G42)</f>
        <v>0.96333333333333326</v>
      </c>
      <c r="V21" s="649">
        <f>AVERAGE('LT Ball Mill'!H40:H42)</f>
        <v>9.1033333333333335</v>
      </c>
      <c r="W21" s="534">
        <f t="shared" si="8"/>
        <v>68.582362666666654</v>
      </c>
      <c r="X21" s="548">
        <f t="shared" si="9"/>
        <v>102.16650933333329</v>
      </c>
      <c r="Y21" s="548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796"/>
      <c r="B22" s="763"/>
      <c r="C22" s="764"/>
      <c r="D22" s="614" t="s">
        <v>536</v>
      </c>
      <c r="E22" s="615" t="s">
        <v>542</v>
      </c>
      <c r="F22" s="629" t="s">
        <v>14</v>
      </c>
      <c r="G22" s="602">
        <v>0.42</v>
      </c>
      <c r="H22" s="533">
        <f>J22-'Au Cal Leaching Tank'!$Q$11-SUM(H20:H21)</f>
        <v>162</v>
      </c>
      <c r="I22" s="540">
        <f t="shared" si="11"/>
        <v>17.142857142857146</v>
      </c>
      <c r="J22" s="603">
        <v>566</v>
      </c>
      <c r="K22" s="603">
        <v>1.29</v>
      </c>
      <c r="L22" s="602">
        <v>0.75</v>
      </c>
      <c r="M22" s="539">
        <f>J22*K22*G22-'Au Cal Leaching Tank'!$R$11-SUM(M20:M21)</f>
        <v>87.771600000000035</v>
      </c>
      <c r="N22" s="777"/>
      <c r="O22" s="533">
        <f t="shared" si="7"/>
        <v>9.2880000000000038</v>
      </c>
      <c r="P22" s="533">
        <f>(720-R22)/60</f>
        <v>9.4499999999999993</v>
      </c>
      <c r="Q22" s="533">
        <f>720-R22</f>
        <v>567</v>
      </c>
      <c r="R22" s="533">
        <f>'Milling Down Time Hours'!G16</f>
        <v>153</v>
      </c>
      <c r="S22" s="798"/>
      <c r="T22" s="649">
        <f>AVERAGE('LT Ball Mill'!F43:F45)</f>
        <v>0.6349999999999999</v>
      </c>
      <c r="U22" s="649">
        <f>AVERAGE('LT Ball Mill'!G43:G45)</f>
        <v>1.0333333333333334</v>
      </c>
      <c r="V22" s="649">
        <f>AVERAGE('LT Ball Mill'!H43:H45)</f>
        <v>7.81</v>
      </c>
      <c r="W22" s="534">
        <f t="shared" si="8"/>
        <v>55.734966000000014</v>
      </c>
      <c r="X22" s="548">
        <f t="shared" si="9"/>
        <v>90.697320000000047</v>
      </c>
      <c r="Y22" s="548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796"/>
      <c r="B23" s="761">
        <v>46274</v>
      </c>
      <c r="C23" s="762"/>
      <c r="D23" s="616" t="s">
        <v>170</v>
      </c>
      <c r="E23" s="636" t="s">
        <v>534</v>
      </c>
      <c r="F23" s="626" t="s">
        <v>13</v>
      </c>
      <c r="G23" s="542">
        <v>0.44</v>
      </c>
      <c r="H23" s="533">
        <f>J23-'Au Cal Leaching Tank'!$Q$11-SUM(H20:H22)</f>
        <v>81</v>
      </c>
      <c r="I23" s="540">
        <f>H23/((720-R23)/60)</f>
        <v>27</v>
      </c>
      <c r="J23" s="543">
        <v>647</v>
      </c>
      <c r="K23" s="543">
        <v>1.3049999999999999</v>
      </c>
      <c r="L23" s="542">
        <v>0.75</v>
      </c>
      <c r="M23" s="539">
        <f>J23*K23*G23-'Au Cal Leaching Tank'!$R$11-SUM(M20:M22)</f>
        <v>64.848599999999976</v>
      </c>
      <c r="N23" s="548">
        <f>SUM(M23:M24)</f>
        <v>64.848599999999976</v>
      </c>
      <c r="O23" s="533">
        <f t="shared" si="7"/>
        <v>21.616199999999992</v>
      </c>
      <c r="P23" s="533">
        <f>(720-R23)/60</f>
        <v>3</v>
      </c>
      <c r="Q23" s="533">
        <f>720-R23</f>
        <v>180</v>
      </c>
      <c r="R23" s="533">
        <f>'Milling Down Time Hours'!G17</f>
        <v>540</v>
      </c>
      <c r="S23" s="798"/>
      <c r="T23" s="649">
        <f>AVERAGE('LT Ball Mill'!F46:F48)</f>
        <v>0.59233333333333327</v>
      </c>
      <c r="U23" s="649">
        <f>AVERAGE('LT Ball Mill'!G46:G48)</f>
        <v>0.66666666666666663</v>
      </c>
      <c r="V23" s="649">
        <f>AVERAGE('LT Ball Mill'!H46:H48)</f>
        <v>7.2399999999999993</v>
      </c>
      <c r="W23" s="534">
        <f t="shared" si="8"/>
        <v>38.41198739999998</v>
      </c>
      <c r="X23" s="548">
        <f t="shared" si="9"/>
        <v>43.232399999999984</v>
      </c>
      <c r="Y23" s="548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772">
        <v>46274</v>
      </c>
      <c r="C24" s="773"/>
      <c r="D24" s="507" t="s">
        <v>536</v>
      </c>
      <c r="E24" s="695" t="s">
        <v>564</v>
      </c>
      <c r="F24" s="633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7"/>
      <c r="O24" s="466" t="str">
        <f>IFERROR(M24/P24,"")</f>
        <v/>
      </c>
      <c r="P24" s="466">
        <f>(720-R24)/60</f>
        <v>0</v>
      </c>
      <c r="Q24" s="466">
        <f>720-R24</f>
        <v>0</v>
      </c>
      <c r="R24" s="466">
        <f>'Milling Down Time Hours'!G18</f>
        <v>720</v>
      </c>
      <c r="S24" s="510"/>
      <c r="T24" s="646"/>
      <c r="U24" s="646"/>
      <c r="V24" s="647"/>
      <c r="W24" s="648">
        <f t="shared" si="8"/>
        <v>0</v>
      </c>
      <c r="X24" s="510">
        <f t="shared" si="9"/>
        <v>0</v>
      </c>
      <c r="Y24" s="510">
        <f t="shared" si="10"/>
        <v>0</v>
      </c>
      <c r="AA24" s="16" t="s">
        <v>219</v>
      </c>
      <c r="AB24" s="462">
        <f>3.14*AB23*AB23*AB22</f>
        <v>835.83424500000001</v>
      </c>
      <c r="AC24" s="6"/>
    </row>
    <row r="25" spans="1:32" x14ac:dyDescent="0.3">
      <c r="A25" s="795">
        <v>5</v>
      </c>
      <c r="B25" s="753">
        <v>46275</v>
      </c>
      <c r="C25" s="754"/>
      <c r="D25" s="641" t="s">
        <v>170</v>
      </c>
      <c r="E25" s="642" t="s">
        <v>535</v>
      </c>
      <c r="F25" s="630" t="s">
        <v>13</v>
      </c>
      <c r="G25" s="544">
        <v>0.44</v>
      </c>
      <c r="H25" s="528">
        <f>J25-'Au Cal Leaching Tank'!$Q$14</f>
        <v>215.15</v>
      </c>
      <c r="I25" s="528">
        <f t="shared" ref="I25:I28" si="13">H25/((720-R25)/60)</f>
        <v>20.361198738170348</v>
      </c>
      <c r="J25" s="545">
        <v>323</v>
      </c>
      <c r="K25" s="545">
        <v>1.3</v>
      </c>
      <c r="L25" s="544">
        <v>0.75</v>
      </c>
      <c r="M25" s="528">
        <f>J25*K25*G25-'Au Cal Leaching Tank'!$R$12</f>
        <v>123.06580000000004</v>
      </c>
      <c r="N25" s="742">
        <f>SUM(M25:M26)</f>
        <v>262.08779999999996</v>
      </c>
      <c r="O25" s="528">
        <f t="shared" ref="O25:O26" si="14">M25/P25</f>
        <v>11.646605678233442</v>
      </c>
      <c r="P25" s="528">
        <f t="shared" ref="P25:P26" si="15">(720-R25)/60</f>
        <v>10.566666666666666</v>
      </c>
      <c r="Q25" s="528">
        <f t="shared" ref="Q25:Q26" si="16">720-R25</f>
        <v>634</v>
      </c>
      <c r="R25" s="528">
        <f>'Milling Down Time Hours'!G19</f>
        <v>86</v>
      </c>
      <c r="S25" s="742">
        <f>SUM(N25:N27)</f>
        <v>267.08779999999996</v>
      </c>
      <c r="T25" s="619">
        <f>AVERAGE('LT Ball Mill'!F54)</f>
        <v>0.73</v>
      </c>
      <c r="U25" s="619">
        <f>AVERAGE('LT Ball Mill'!G54)</f>
        <v>0.63</v>
      </c>
      <c r="V25" s="619">
        <f>AVERAGE('LT Ball Mill'!H54)</f>
        <v>8.57</v>
      </c>
      <c r="W25" s="531">
        <f t="shared" si="2"/>
        <v>89.838034000000022</v>
      </c>
      <c r="X25" s="617">
        <f t="shared" si="3"/>
        <v>77.531454000000025</v>
      </c>
      <c r="Y25" s="617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795"/>
      <c r="B26" s="755"/>
      <c r="C26" s="756"/>
      <c r="D26" s="643" t="s">
        <v>555</v>
      </c>
      <c r="E26" s="644"/>
      <c r="F26" s="630" t="s">
        <v>14</v>
      </c>
      <c r="G26" s="544">
        <v>0.42</v>
      </c>
      <c r="H26" s="528">
        <f>J26-'Au Cal Leaching Tank'!$Q$14-SUM(H25)</f>
        <v>270</v>
      </c>
      <c r="I26" s="528">
        <f t="shared" si="13"/>
        <v>25.796178343949045</v>
      </c>
      <c r="J26" s="545">
        <v>593</v>
      </c>
      <c r="K26" s="545">
        <v>1.3</v>
      </c>
      <c r="L26" s="544">
        <v>0.75</v>
      </c>
      <c r="M26" s="528">
        <f>(J26*K26*G26-'Au Cal Leaching Tank'!$R$12)-M25</f>
        <v>139.02199999999993</v>
      </c>
      <c r="N26" s="743"/>
      <c r="O26" s="528">
        <f t="shared" si="14"/>
        <v>13.282356687898083</v>
      </c>
      <c r="P26" s="528">
        <f t="shared" si="15"/>
        <v>10.466666666666667</v>
      </c>
      <c r="Q26" s="528">
        <f t="shared" si="16"/>
        <v>628</v>
      </c>
      <c r="R26" s="528">
        <f>'Milling Down Time Hours'!G20</f>
        <v>92.000000000000014</v>
      </c>
      <c r="S26" s="742"/>
      <c r="T26" s="619"/>
      <c r="U26" s="619"/>
      <c r="V26" s="619"/>
      <c r="W26" s="531">
        <f t="shared" si="2"/>
        <v>0</v>
      </c>
      <c r="X26" s="617">
        <f t="shared" si="3"/>
        <v>0</v>
      </c>
      <c r="Y26" s="617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795"/>
      <c r="B27" s="753">
        <v>46276</v>
      </c>
      <c r="C27" s="754"/>
      <c r="D27" s="643" t="s">
        <v>554</v>
      </c>
      <c r="E27" s="738" t="s">
        <v>592</v>
      </c>
      <c r="F27" s="630" t="s">
        <v>13</v>
      </c>
      <c r="G27" s="544">
        <v>0.4</v>
      </c>
      <c r="H27" s="528">
        <f>J27-'Au Cal Leaching Tank'!$Q$14-SUM(H25:H26)</f>
        <v>54</v>
      </c>
      <c r="I27" s="528">
        <f t="shared" si="13"/>
        <v>4.9165402124430964</v>
      </c>
      <c r="J27" s="528">
        <v>647</v>
      </c>
      <c r="K27" s="545">
        <v>1.27</v>
      </c>
      <c r="L27" s="544">
        <v>0.75</v>
      </c>
      <c r="M27" s="528">
        <f>(J27*K27*G27-'Au Cal Leaching Tank'!$R$12)-SUM(M25:M26)</f>
        <v>4.8980000000000814</v>
      </c>
      <c r="N27" s="617">
        <v>5</v>
      </c>
      <c r="O27" s="528">
        <f>M27/P27</f>
        <v>0.9828762541806183</v>
      </c>
      <c r="P27" s="528">
        <f>(360-R27)/60</f>
        <v>4.9833333333333334</v>
      </c>
      <c r="Q27" s="528">
        <f>360-R27</f>
        <v>299</v>
      </c>
      <c r="R27" s="528">
        <f>'Milling Down Time Hours'!G21</f>
        <v>61</v>
      </c>
      <c r="S27" s="742"/>
      <c r="T27" s="619"/>
      <c r="U27" s="619"/>
      <c r="V27" s="619"/>
      <c r="W27" s="531">
        <f>T27*M27</f>
        <v>0</v>
      </c>
      <c r="X27" s="617">
        <f>M27*U27</f>
        <v>0</v>
      </c>
      <c r="Y27" s="617">
        <f>M27*V27</f>
        <v>0</v>
      </c>
      <c r="AD27" s="496"/>
    </row>
    <row r="28" spans="1:32" ht="43.8" thickBot="1" x14ac:dyDescent="0.35">
      <c r="A28" s="724">
        <v>6</v>
      </c>
      <c r="B28" s="761">
        <v>46276</v>
      </c>
      <c r="C28" s="762"/>
      <c r="D28" s="622" t="s">
        <v>566</v>
      </c>
      <c r="E28" s="694" t="s">
        <v>563</v>
      </c>
      <c r="F28" s="638" t="s">
        <v>14</v>
      </c>
      <c r="G28" s="551">
        <v>0.45</v>
      </c>
      <c r="H28" s="604">
        <f>J28-'Au Cal Leaching Tank'!$Q$15</f>
        <v>179.15</v>
      </c>
      <c r="I28" s="604">
        <f t="shared" si="13"/>
        <v>89.575000000000003</v>
      </c>
      <c r="J28" s="552">
        <v>287</v>
      </c>
      <c r="K28" s="552">
        <v>1.29</v>
      </c>
      <c r="L28" s="551">
        <v>0.75</v>
      </c>
      <c r="M28" s="553">
        <f>(G28*J28*K28)-'Au Cal Leaching Tank'!$R$13</f>
        <v>110.22491250000003</v>
      </c>
      <c r="N28" s="536">
        <f>M28</f>
        <v>110.22491250000003</v>
      </c>
      <c r="O28" s="604">
        <f>M28/P28</f>
        <v>13.778114062500004</v>
      </c>
      <c r="P28" s="604">
        <f>(1080-R28)/60</f>
        <v>8</v>
      </c>
      <c r="Q28" s="604">
        <f>1080-R28</f>
        <v>480</v>
      </c>
      <c r="R28" s="604">
        <f>'Milling Down Time Hours'!G22</f>
        <v>600</v>
      </c>
      <c r="S28" s="604">
        <f>N28</f>
        <v>110.22491250000003</v>
      </c>
      <c r="T28" s="639"/>
      <c r="U28" s="639"/>
      <c r="V28" s="639"/>
      <c r="W28" s="640">
        <f>T28*M28</f>
        <v>0</v>
      </c>
      <c r="X28" s="596">
        <f>M28*U28</f>
        <v>0</v>
      </c>
      <c r="Y28" s="596">
        <f>M28*V28</f>
        <v>0</v>
      </c>
      <c r="AB28" s="32">
        <f>AB25-62</f>
        <v>273.09354731363629</v>
      </c>
    </row>
    <row r="29" spans="1:32" ht="29.4" thickBot="1" x14ac:dyDescent="0.35">
      <c r="B29" s="761">
        <v>46277</v>
      </c>
      <c r="C29" s="762"/>
      <c r="D29" s="697" t="s">
        <v>567</v>
      </c>
      <c r="E29" s="698" t="s">
        <v>568</v>
      </c>
      <c r="F29" s="626" t="s">
        <v>13</v>
      </c>
      <c r="G29" s="538">
        <v>0</v>
      </c>
      <c r="H29" s="541">
        <v>0</v>
      </c>
      <c r="I29" s="541">
        <v>0</v>
      </c>
      <c r="J29" s="541">
        <v>0</v>
      </c>
      <c r="K29" s="541">
        <v>0</v>
      </c>
      <c r="L29" s="541">
        <v>0</v>
      </c>
      <c r="M29" s="539">
        <f t="shared" si="6"/>
        <v>0</v>
      </c>
      <c r="N29" s="535"/>
      <c r="O29" s="604" t="str">
        <f>IFERROR(M29/P29,"")</f>
        <v/>
      </c>
      <c r="P29" s="604">
        <f>(720-R29)/60</f>
        <v>0</v>
      </c>
      <c r="Q29" s="604">
        <f>720-R29</f>
        <v>0</v>
      </c>
      <c r="R29" s="604">
        <f>'Milling Down Time Hours'!G23</f>
        <v>720</v>
      </c>
      <c r="S29" s="541"/>
      <c r="T29" s="537"/>
      <c r="U29" s="591"/>
      <c r="V29" s="591"/>
      <c r="W29" s="534">
        <f t="shared" si="2"/>
        <v>0</v>
      </c>
      <c r="X29" s="548">
        <f t="shared" si="3"/>
        <v>0</v>
      </c>
      <c r="Y29" s="548">
        <f t="shared" si="4"/>
        <v>0</v>
      </c>
    </row>
    <row r="30" spans="1:32" ht="15" thickBot="1" x14ac:dyDescent="0.35">
      <c r="B30" s="763"/>
      <c r="C30" s="764"/>
      <c r="D30" s="9"/>
      <c r="E30" s="450"/>
      <c r="F30" s="633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4">
        <f t="shared" ref="O30:O42" si="17">IFERROR(M30/P30,"")</f>
        <v>0</v>
      </c>
      <c r="P30" s="748">
        <f>'Milling Down Time Hours'!M18</f>
        <v>12</v>
      </c>
      <c r="Q30" s="256"/>
      <c r="R30" s="748">
        <f>'Milling Down Time Hours'!L18</f>
        <v>720</v>
      </c>
      <c r="S30" s="557"/>
      <c r="T30" s="451"/>
      <c r="U30" s="451"/>
      <c r="V30" s="452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770">
        <v>46278</v>
      </c>
      <c r="C31" s="771"/>
      <c r="D31" s="10"/>
      <c r="E31" s="10"/>
      <c r="F31" s="634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4" t="str">
        <f t="shared" si="17"/>
        <v/>
      </c>
      <c r="P31" s="741"/>
      <c r="Q31" s="239"/>
      <c r="R31" s="741"/>
      <c r="S31" s="558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772"/>
      <c r="C32" s="773"/>
      <c r="D32" s="37"/>
      <c r="E32" s="37"/>
      <c r="F32" s="633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4">
        <f t="shared" si="17"/>
        <v>0</v>
      </c>
      <c r="P32" s="748">
        <f>'Milling Down Time Hours'!M19</f>
        <v>22.566666666666666</v>
      </c>
      <c r="Q32" s="466"/>
      <c r="R32" s="740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770">
        <v>46279</v>
      </c>
      <c r="C33" s="771"/>
      <c r="D33" s="40"/>
      <c r="E33" s="40"/>
      <c r="F33" s="634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4" t="str">
        <f t="shared" si="17"/>
        <v/>
      </c>
      <c r="P33" s="741"/>
      <c r="Q33" s="239"/>
      <c r="R33" s="741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772"/>
      <c r="C34" s="773"/>
      <c r="D34" s="40"/>
      <c r="E34" s="40"/>
      <c r="F34" s="633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4">
        <f t="shared" si="17"/>
        <v>0</v>
      </c>
      <c r="P34" s="740">
        <f>'Milling Down Time Hours'!M20</f>
        <v>22.983333333333334</v>
      </c>
      <c r="Q34" s="256"/>
      <c r="R34" s="740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770">
        <v>46280</v>
      </c>
      <c r="C35" s="771"/>
      <c r="D35" s="40"/>
      <c r="E35" s="255"/>
      <c r="F35" s="634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4" t="str">
        <f t="shared" si="17"/>
        <v/>
      </c>
      <c r="P35" s="741"/>
      <c r="Q35" s="239"/>
      <c r="R35" s="741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772"/>
      <c r="C36" s="773"/>
      <c r="D36" s="453"/>
      <c r="E36" s="453"/>
      <c r="F36" s="633" t="s">
        <v>14</v>
      </c>
      <c r="G36" s="455"/>
      <c r="H36" s="454"/>
      <c r="I36" s="454"/>
      <c r="J36" s="454"/>
      <c r="K36" s="454"/>
      <c r="L36" s="455"/>
      <c r="M36" s="30">
        <f t="shared" si="6"/>
        <v>0</v>
      </c>
      <c r="N36" s="456"/>
      <c r="O36" s="684">
        <f t="shared" si="17"/>
        <v>0</v>
      </c>
      <c r="P36" s="699">
        <f>'Milling Down Time Hours'!M21</f>
        <v>24</v>
      </c>
      <c r="Q36" s="490"/>
      <c r="R36" s="699">
        <f>'Milling Down Time Hours'!L21</f>
        <v>0</v>
      </c>
      <c r="S36" s="454"/>
      <c r="T36" s="457"/>
      <c r="U36" s="457"/>
      <c r="V36" s="458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770">
        <v>46281</v>
      </c>
      <c r="C37" s="771"/>
      <c r="D37" s="453"/>
      <c r="E37" s="453"/>
      <c r="F37" s="634" t="s">
        <v>13</v>
      </c>
      <c r="G37" s="455"/>
      <c r="H37" s="454"/>
      <c r="I37" s="454"/>
      <c r="J37" s="454"/>
      <c r="K37" s="454"/>
      <c r="L37" s="455"/>
      <c r="M37" s="30">
        <f t="shared" si="6"/>
        <v>0</v>
      </c>
      <c r="N37" s="456"/>
      <c r="O37" s="684" t="str">
        <f t="shared" si="17"/>
        <v/>
      </c>
      <c r="P37" s="700"/>
      <c r="Q37" s="491"/>
      <c r="R37" s="700"/>
      <c r="S37" s="454"/>
      <c r="T37" s="459"/>
      <c r="U37" s="459"/>
      <c r="V37" s="460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772"/>
      <c r="C38" s="773"/>
      <c r="D38" s="40"/>
      <c r="E38" s="254"/>
      <c r="F38" s="633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4">
        <f t="shared" si="17"/>
        <v>0</v>
      </c>
      <c r="P38" s="740">
        <f>'Milling Down Time Hours'!M22</f>
        <v>24</v>
      </c>
      <c r="Q38" s="256"/>
      <c r="R38" s="740">
        <f>'Milling Down Time Hours'!L22</f>
        <v>0</v>
      </c>
      <c r="S38" s="16"/>
      <c r="T38" s="784"/>
      <c r="U38" s="784"/>
      <c r="V38" s="778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770">
        <v>46282</v>
      </c>
      <c r="C39" s="771"/>
      <c r="D39" s="16"/>
      <c r="E39" s="16"/>
      <c r="F39" s="634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4" t="str">
        <f t="shared" si="17"/>
        <v/>
      </c>
      <c r="P39" s="741"/>
      <c r="Q39" s="239"/>
      <c r="R39" s="741"/>
      <c r="S39" s="16"/>
      <c r="T39" s="785"/>
      <c r="U39" s="785"/>
      <c r="V39" s="779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772"/>
      <c r="C40" s="773"/>
      <c r="D40" s="40"/>
      <c r="E40" s="254"/>
      <c r="F40" s="633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4">
        <f t="shared" si="17"/>
        <v>0</v>
      </c>
      <c r="P40" s="740">
        <f>'Milling Down Time Hours'!M23</f>
        <v>24</v>
      </c>
      <c r="Q40" s="256"/>
      <c r="R40" s="740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770">
        <v>46283</v>
      </c>
      <c r="C41" s="771"/>
      <c r="D41" s="16"/>
      <c r="E41" s="16"/>
      <c r="F41" s="634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4" t="str">
        <f t="shared" si="17"/>
        <v/>
      </c>
      <c r="P41" s="741"/>
      <c r="Q41" s="239"/>
      <c r="R41" s="741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772"/>
      <c r="C42" s="773"/>
      <c r="D42" s="40"/>
      <c r="E42" s="40"/>
      <c r="F42" s="633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4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770">
        <v>46284</v>
      </c>
      <c r="C43" s="771"/>
      <c r="D43" s="16"/>
      <c r="E43" s="16"/>
      <c r="F43" s="634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772"/>
      <c r="C44" s="773"/>
      <c r="D44" s="40"/>
      <c r="E44" s="40"/>
      <c r="F44" s="633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740">
        <f>'Milling Down Time Hours'!M25</f>
        <v>24</v>
      </c>
      <c r="Q44" s="256"/>
      <c r="R44" s="740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770">
        <v>46285</v>
      </c>
      <c r="C45" s="771"/>
      <c r="D45" s="16"/>
      <c r="E45" s="16"/>
      <c r="F45" s="634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741"/>
      <c r="Q45" s="239"/>
      <c r="R45" s="741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772"/>
      <c r="C46" s="773"/>
      <c r="D46" s="40"/>
      <c r="E46" s="40"/>
      <c r="F46" s="633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740">
        <f>'Milling Down Time Hours'!M26</f>
        <v>24</v>
      </c>
      <c r="Q46" s="256"/>
      <c r="R46" s="740">
        <f>'Milling Down Time Hours'!L26</f>
        <v>0</v>
      </c>
      <c r="S46" s="16"/>
      <c r="T46" s="784"/>
      <c r="U46" s="784"/>
      <c r="V46" s="778"/>
      <c r="W46" s="170"/>
      <c r="X46" s="165"/>
      <c r="Y46" s="165"/>
    </row>
    <row r="47" spans="2:32" ht="15" thickBot="1" x14ac:dyDescent="0.35">
      <c r="B47" s="770">
        <v>46286</v>
      </c>
      <c r="C47" s="771"/>
      <c r="D47" s="16"/>
      <c r="E47" s="16"/>
      <c r="F47" s="634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741"/>
      <c r="Q47" s="239"/>
      <c r="R47" s="741"/>
      <c r="S47" s="16"/>
      <c r="T47" s="785"/>
      <c r="U47" s="785"/>
      <c r="V47" s="779"/>
      <c r="W47" s="170"/>
      <c r="X47" s="165"/>
      <c r="Y47" s="165"/>
    </row>
    <row r="48" spans="2:32" ht="15" thickBot="1" x14ac:dyDescent="0.35">
      <c r="B48" s="772"/>
      <c r="C48" s="773"/>
      <c r="D48" s="40"/>
      <c r="E48" s="268"/>
      <c r="F48" s="633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740">
        <f>'Milling Down Time Hours'!M54</f>
        <v>0</v>
      </c>
      <c r="Q48" s="256"/>
      <c r="R48" s="740">
        <f>'Milling Down Time Hours'!L54</f>
        <v>0</v>
      </c>
      <c r="S48" s="16"/>
      <c r="T48" s="784"/>
      <c r="U48" s="784"/>
      <c r="V48" s="778"/>
      <c r="W48" s="170"/>
      <c r="X48" s="165"/>
      <c r="Y48" s="165"/>
    </row>
    <row r="49" spans="2:28" ht="15" thickBot="1" x14ac:dyDescent="0.35">
      <c r="B49" s="770">
        <v>46287</v>
      </c>
      <c r="C49" s="771"/>
      <c r="D49" s="16"/>
      <c r="E49" s="16"/>
      <c r="F49" s="634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741"/>
      <c r="Q49" s="239"/>
      <c r="R49" s="741"/>
      <c r="S49" s="16"/>
      <c r="T49" s="785"/>
      <c r="U49" s="785"/>
      <c r="V49" s="779"/>
      <c r="W49" s="170"/>
      <c r="X49" s="165"/>
      <c r="Y49" s="165"/>
    </row>
    <row r="50" spans="2:28" ht="15" thickBot="1" x14ac:dyDescent="0.35">
      <c r="B50" s="772"/>
      <c r="C50" s="773"/>
      <c r="D50" s="40"/>
      <c r="E50" s="268"/>
      <c r="F50" s="633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740">
        <f>'Milling Down Time Hours'!M56</f>
        <v>0</v>
      </c>
      <c r="Q50" s="256"/>
      <c r="R50" s="740">
        <f>'Milling Down Time Hours'!L56</f>
        <v>0</v>
      </c>
      <c r="S50" s="16"/>
      <c r="T50" s="784"/>
      <c r="U50" s="784"/>
      <c r="V50" s="778"/>
      <c r="W50" s="170"/>
      <c r="X50" s="165"/>
      <c r="Y50" s="165"/>
    </row>
    <row r="51" spans="2:28" ht="15" thickBot="1" x14ac:dyDescent="0.35">
      <c r="B51" s="770">
        <v>46288</v>
      </c>
      <c r="C51" s="771"/>
      <c r="D51" s="16"/>
      <c r="E51" s="16"/>
      <c r="F51" s="634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741"/>
      <c r="Q51" s="239"/>
      <c r="R51" s="741"/>
      <c r="S51" s="16"/>
      <c r="T51" s="785"/>
      <c r="U51" s="785"/>
      <c r="V51" s="779"/>
      <c r="W51" s="170"/>
      <c r="X51" s="165"/>
      <c r="Y51" s="165"/>
    </row>
    <row r="52" spans="2:28" ht="15" thickBot="1" x14ac:dyDescent="0.35">
      <c r="B52" s="772"/>
      <c r="C52" s="773"/>
      <c r="D52" s="40"/>
      <c r="E52" s="40"/>
      <c r="F52" s="633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740"/>
      <c r="Q52" s="256"/>
      <c r="R52" s="740"/>
      <c r="S52" s="16"/>
      <c r="T52" s="784"/>
      <c r="U52" s="784"/>
      <c r="V52" s="778"/>
      <c r="W52" s="170"/>
      <c r="X52" s="165"/>
      <c r="Y52" s="165"/>
    </row>
    <row r="53" spans="2:28" ht="15" thickBot="1" x14ac:dyDescent="0.35">
      <c r="B53" s="770">
        <v>46289</v>
      </c>
      <c r="C53" s="771"/>
      <c r="D53" s="16"/>
      <c r="E53" s="16"/>
      <c r="F53" s="634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741"/>
      <c r="Q53" s="239"/>
      <c r="R53" s="741"/>
      <c r="S53" s="16"/>
      <c r="T53" s="785"/>
      <c r="U53" s="785"/>
      <c r="V53" s="779"/>
      <c r="W53" s="170"/>
      <c r="X53" s="165"/>
      <c r="Y53" s="165"/>
      <c r="AB53" s="1">
        <v>9570</v>
      </c>
    </row>
    <row r="54" spans="2:28" ht="15" thickBot="1" x14ac:dyDescent="0.35">
      <c r="B54" s="772"/>
      <c r="C54" s="773"/>
      <c r="D54" s="40"/>
      <c r="E54" s="40"/>
      <c r="F54" s="633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740">
        <f>'Milling Down Time Hours'!M60</f>
        <v>13.102083333333333</v>
      </c>
      <c r="Q54" s="256"/>
      <c r="R54" s="740">
        <f>'Milling Down Time Hours'!L60</f>
        <v>0</v>
      </c>
      <c r="S54" s="16"/>
      <c r="T54" s="784"/>
      <c r="U54" s="784"/>
      <c r="V54" s="778"/>
      <c r="W54" s="170"/>
      <c r="X54" s="165"/>
      <c r="Y54" s="165"/>
      <c r="AB54" s="1">
        <v>8795</v>
      </c>
    </row>
    <row r="55" spans="2:28" ht="15" thickBot="1" x14ac:dyDescent="0.35">
      <c r="B55" s="770">
        <v>46290</v>
      </c>
      <c r="C55" s="771"/>
      <c r="D55" s="16"/>
      <c r="E55" s="16"/>
      <c r="F55" s="634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741"/>
      <c r="Q55" s="239"/>
      <c r="R55" s="741"/>
      <c r="S55" s="16"/>
      <c r="T55" s="785"/>
      <c r="U55" s="785"/>
      <c r="V55" s="779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772"/>
      <c r="C56" s="773"/>
      <c r="D56" s="40"/>
      <c r="E56" s="40"/>
      <c r="F56" s="633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740">
        <f>'Milling Down Time Hours'!M62</f>
        <v>0</v>
      </c>
      <c r="Q56" s="256"/>
      <c r="R56" s="740">
        <f>'Milling Down Time Hours'!L62</f>
        <v>0</v>
      </c>
      <c r="S56" s="16"/>
      <c r="T56" s="784"/>
      <c r="U56" s="784"/>
      <c r="V56" s="778"/>
      <c r="W56" s="170"/>
      <c r="X56" s="165"/>
      <c r="Y56" s="165"/>
    </row>
    <row r="57" spans="2:28" ht="15" thickBot="1" x14ac:dyDescent="0.35">
      <c r="B57" s="770">
        <v>46291</v>
      </c>
      <c r="C57" s="771"/>
      <c r="D57" s="16"/>
      <c r="E57" s="16"/>
      <c r="F57" s="634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741"/>
      <c r="Q57" s="239"/>
      <c r="R57" s="741"/>
      <c r="S57" s="16"/>
      <c r="T57" s="785"/>
      <c r="U57" s="785"/>
      <c r="V57" s="779"/>
      <c r="W57" s="170"/>
      <c r="X57" s="165"/>
      <c r="Y57" s="165"/>
    </row>
    <row r="58" spans="2:28" ht="15" thickBot="1" x14ac:dyDescent="0.35">
      <c r="B58" s="772"/>
      <c r="C58" s="773"/>
      <c r="D58" s="40"/>
      <c r="E58" s="40"/>
      <c r="F58" s="633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740">
        <f>'Milling Down Time Hours'!M64</f>
        <v>0</v>
      </c>
      <c r="Q58" s="256"/>
      <c r="R58" s="740">
        <f>'Milling Down Time Hours'!L64</f>
        <v>0</v>
      </c>
      <c r="S58" s="16"/>
      <c r="T58" s="784"/>
      <c r="U58" s="784"/>
      <c r="V58" s="778"/>
      <c r="W58" s="170"/>
      <c r="X58" s="165"/>
      <c r="Y58" s="165"/>
    </row>
    <row r="59" spans="2:28" ht="15" thickBot="1" x14ac:dyDescent="0.35">
      <c r="B59" s="770">
        <v>46292</v>
      </c>
      <c r="C59" s="771"/>
      <c r="D59" s="16"/>
      <c r="E59" s="16"/>
      <c r="F59" s="634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741"/>
      <c r="Q59" s="239"/>
      <c r="R59" s="741"/>
      <c r="S59" s="16"/>
      <c r="T59" s="785"/>
      <c r="U59" s="785"/>
      <c r="V59" s="779"/>
      <c r="W59" s="170"/>
      <c r="X59" s="165"/>
      <c r="Y59" s="165"/>
    </row>
    <row r="60" spans="2:28" ht="15" thickBot="1" x14ac:dyDescent="0.35">
      <c r="B60" s="772"/>
      <c r="C60" s="773"/>
      <c r="D60" s="40"/>
      <c r="E60" s="40"/>
      <c r="F60" s="633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740">
        <f>'Milling Down Time Hours'!M66</f>
        <v>0</v>
      </c>
      <c r="Q60" s="256"/>
      <c r="R60" s="740">
        <f>'Milling Down Time Hours'!L66</f>
        <v>0</v>
      </c>
      <c r="S60" s="16"/>
      <c r="T60" s="784"/>
      <c r="U60" s="784"/>
      <c r="V60" s="778"/>
      <c r="W60" s="170"/>
      <c r="X60" s="165"/>
      <c r="Y60" s="165"/>
    </row>
    <row r="61" spans="2:28" ht="15" thickBot="1" x14ac:dyDescent="0.35">
      <c r="B61" s="770">
        <v>46293</v>
      </c>
      <c r="C61" s="771"/>
      <c r="D61" s="16"/>
      <c r="E61" s="16"/>
      <c r="F61" s="634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741"/>
      <c r="Q61" s="239"/>
      <c r="R61" s="741"/>
      <c r="S61" s="16"/>
      <c r="T61" s="785"/>
      <c r="U61" s="785"/>
      <c r="V61" s="779"/>
      <c r="W61" s="170"/>
      <c r="X61" s="165"/>
      <c r="Y61" s="165"/>
    </row>
    <row r="62" spans="2:28" ht="15" thickBot="1" x14ac:dyDescent="0.35">
      <c r="B62" s="772"/>
      <c r="C62" s="773"/>
      <c r="D62" s="40"/>
      <c r="E62" s="40"/>
      <c r="F62" s="633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740">
        <f>'Milling Down Time Hours'!M34</f>
        <v>24</v>
      </c>
      <c r="Q62" s="256"/>
      <c r="R62" s="740">
        <f>'Milling Down Time Hours'!L68</f>
        <v>0</v>
      </c>
      <c r="S62" s="16"/>
      <c r="T62" s="780"/>
      <c r="U62" s="780"/>
      <c r="V62" s="786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770">
        <v>46294</v>
      </c>
      <c r="C63" s="771"/>
      <c r="D63" s="16"/>
      <c r="E63" s="16"/>
      <c r="F63" s="634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741"/>
      <c r="Q63" s="239"/>
      <c r="R63" s="741"/>
      <c r="S63" s="16"/>
      <c r="T63" s="781"/>
      <c r="U63" s="781"/>
      <c r="V63" s="787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772"/>
      <c r="C64" s="773"/>
      <c r="D64" s="40"/>
      <c r="E64" s="40"/>
      <c r="F64" s="633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740">
        <f>'Milling Down Time Hours'!M35</f>
        <v>24</v>
      </c>
      <c r="Q64" s="256"/>
      <c r="R64" s="740">
        <f>'Milling Down Time Hours'!L70</f>
        <v>0</v>
      </c>
      <c r="S64" s="16"/>
      <c r="T64" s="780"/>
      <c r="U64" s="780"/>
      <c r="V64" s="788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770">
        <v>46295</v>
      </c>
      <c r="C65" s="771"/>
      <c r="D65" s="16"/>
      <c r="E65" s="16"/>
      <c r="F65" s="634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741"/>
      <c r="Q65" s="239"/>
      <c r="R65" s="741"/>
      <c r="S65" s="16"/>
      <c r="T65" s="781"/>
      <c r="U65" s="781"/>
      <c r="V65" s="789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772"/>
      <c r="C66" s="773"/>
      <c r="D66" s="40"/>
      <c r="E66" s="40"/>
      <c r="F66" s="633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782"/>
      <c r="Q66" s="488"/>
      <c r="R66" s="740">
        <f>'Milling Down Time Hours'!L72</f>
        <v>0</v>
      </c>
      <c r="S66" s="16"/>
      <c r="T66" s="780"/>
      <c r="U66" s="780"/>
      <c r="V66" s="788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770">
        <v>46296</v>
      </c>
      <c r="C67" s="771"/>
      <c r="D67" s="16"/>
      <c r="E67" s="16"/>
      <c r="F67" s="634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783"/>
      <c r="Q67" s="489"/>
      <c r="R67" s="741"/>
      <c r="S67" s="16"/>
      <c r="T67" s="781"/>
      <c r="U67" s="781"/>
      <c r="V67" s="789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772"/>
      <c r="C68" s="773"/>
      <c r="D68" s="40"/>
      <c r="E68" s="40"/>
      <c r="F68" s="633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740">
        <f>'Milling Down Time Hours'!M37</f>
        <v>24</v>
      </c>
      <c r="Q68" s="256"/>
      <c r="R68" s="740">
        <f>'Milling Down Time Hours'!L74</f>
        <v>0</v>
      </c>
      <c r="S68" s="16"/>
      <c r="T68" s="780"/>
      <c r="U68" s="780"/>
      <c r="V68" s="786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770">
        <v>46297</v>
      </c>
      <c r="C69" s="771"/>
      <c r="D69" s="16"/>
      <c r="E69" s="16"/>
      <c r="F69" s="634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741"/>
      <c r="Q69" s="239"/>
      <c r="R69" s="741"/>
      <c r="S69" s="16"/>
      <c r="T69" s="781"/>
      <c r="U69" s="781"/>
      <c r="V69" s="787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772"/>
      <c r="C70" s="773"/>
      <c r="D70" s="40"/>
      <c r="E70" s="40"/>
      <c r="F70" s="633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740">
        <f>'Milling Down Time Hours'!M38</f>
        <v>24</v>
      </c>
      <c r="Q70" s="256"/>
      <c r="R70" s="740">
        <f>'Milling Down Time Hours'!L76</f>
        <v>0</v>
      </c>
      <c r="S70" s="16"/>
      <c r="T70" s="780"/>
      <c r="U70" s="780"/>
      <c r="V70" s="786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770">
        <v>46298</v>
      </c>
      <c r="C71" s="771"/>
      <c r="D71" s="16"/>
      <c r="E71" s="16"/>
      <c r="F71" s="634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741"/>
      <c r="Q71" s="239"/>
      <c r="R71" s="741"/>
      <c r="S71" s="16"/>
      <c r="T71" s="781"/>
      <c r="U71" s="781"/>
      <c r="V71" s="787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772"/>
      <c r="C72" s="773"/>
      <c r="D72" s="40"/>
      <c r="E72" s="40"/>
      <c r="F72" s="633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740">
        <f>'Milling Down Time Hours'!M39</f>
        <v>24</v>
      </c>
      <c r="Q72" s="256"/>
      <c r="R72" s="740">
        <f>'Milling Down Time Hours'!L78</f>
        <v>0</v>
      </c>
      <c r="S72" s="16"/>
      <c r="T72" s="780"/>
      <c r="U72" s="780"/>
      <c r="V72" s="786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770">
        <v>46299</v>
      </c>
      <c r="C73" s="771"/>
      <c r="D73" s="16"/>
      <c r="E73" s="16"/>
      <c r="F73" s="634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741"/>
      <c r="Q73" s="239"/>
      <c r="R73" s="741"/>
      <c r="S73" s="16"/>
      <c r="T73" s="781"/>
      <c r="U73" s="781"/>
      <c r="V73" s="787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772"/>
      <c r="C74" s="773"/>
      <c r="D74" s="40"/>
      <c r="E74" s="40"/>
      <c r="F74" s="633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740">
        <f>'Milling Down Time Hours'!M40</f>
        <v>24</v>
      </c>
      <c r="Q74" s="256"/>
      <c r="R74" s="740">
        <f>'Milling Down Time Hours'!L80</f>
        <v>0</v>
      </c>
      <c r="S74" s="16"/>
      <c r="T74" s="784"/>
      <c r="U74" s="784"/>
      <c r="V74" s="778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770">
        <v>46300</v>
      </c>
      <c r="C75" s="771"/>
      <c r="D75" s="16"/>
      <c r="E75" s="16"/>
      <c r="F75" s="634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741"/>
      <c r="Q75" s="239"/>
      <c r="R75" s="741"/>
      <c r="S75" s="16"/>
      <c r="T75" s="785"/>
      <c r="U75" s="785"/>
      <c r="V75" s="779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772"/>
      <c r="C76" s="773"/>
      <c r="D76" s="40"/>
      <c r="E76" s="40"/>
      <c r="F76" s="633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740">
        <f>'Milling Down Time Hours'!M41</f>
        <v>24</v>
      </c>
      <c r="Q76" s="256"/>
      <c r="R76" s="740">
        <f>'Milling Down Time Hours'!L82</f>
        <v>0</v>
      </c>
      <c r="S76" s="16"/>
      <c r="T76" s="780"/>
      <c r="U76" s="780"/>
      <c r="V76" s="786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770">
        <v>46301</v>
      </c>
      <c r="C77" s="771"/>
      <c r="D77" s="16"/>
      <c r="E77" s="16"/>
      <c r="F77" s="634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741"/>
      <c r="Q77" s="239"/>
      <c r="R77" s="741"/>
      <c r="S77" s="16"/>
      <c r="T77" s="781"/>
      <c r="U77" s="781"/>
      <c r="V77" s="787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793"/>
      <c r="C78" s="794"/>
      <c r="D78" s="40"/>
      <c r="E78" s="40"/>
      <c r="F78" s="633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740">
        <f>'Milling Down Time Hours'!M42</f>
        <v>24</v>
      </c>
      <c r="Q78" s="256"/>
      <c r="R78" s="740">
        <f>'Milling Down Time Hours'!L84</f>
        <v>0</v>
      </c>
      <c r="S78" s="16"/>
      <c r="T78" s="780">
        <v>0.35699999999999998</v>
      </c>
      <c r="U78" s="780">
        <v>1.056</v>
      </c>
      <c r="V78" s="786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793"/>
      <c r="C79" s="794"/>
      <c r="D79" s="16"/>
      <c r="E79" s="16"/>
      <c r="F79" s="634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741"/>
      <c r="Q79" s="239"/>
      <c r="R79" s="741"/>
      <c r="S79" s="16"/>
      <c r="T79" s="781"/>
      <c r="U79" s="781"/>
      <c r="V79" s="787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793"/>
      <c r="C80" s="794"/>
      <c r="D80" s="40"/>
      <c r="E80" s="40"/>
      <c r="F80" s="633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740">
        <f>'Milling Down Time Hours'!M86</f>
        <v>0</v>
      </c>
      <c r="Q80" s="256"/>
      <c r="R80" s="740">
        <f>'Milling Down Time Hours'!L86</f>
        <v>0</v>
      </c>
      <c r="S80" s="16"/>
      <c r="T80" s="784" t="e">
        <f>SUM(#REF!)</f>
        <v>#REF!</v>
      </c>
      <c r="U80" s="784" t="e">
        <f t="shared" ref="U80" si="23">SUM(T80:T82)</f>
        <v>#REF!</v>
      </c>
      <c r="V80" s="778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793"/>
      <c r="C81" s="794"/>
      <c r="D81" s="16"/>
      <c r="E81" s="16"/>
      <c r="F81" s="634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741"/>
      <c r="Q81" s="239"/>
      <c r="R81" s="741"/>
      <c r="S81" s="16"/>
      <c r="T81" s="785"/>
      <c r="U81" s="785"/>
      <c r="V81" s="779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793"/>
      <c r="C82" s="794"/>
      <c r="D82" s="40"/>
      <c r="E82" s="40"/>
      <c r="F82" s="633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740">
        <f>'Milling Down Time Hours'!M88</f>
        <v>0</v>
      </c>
      <c r="Q82" s="256"/>
      <c r="R82" s="740">
        <f>'Milling Down Time Hours'!L88</f>
        <v>0</v>
      </c>
      <c r="S82" s="16"/>
      <c r="T82" s="784" t="e">
        <f>SUM(#REF!)</f>
        <v>#REF!</v>
      </c>
      <c r="U82" s="784" t="e">
        <f t="shared" ref="U82" si="25">SUM(T82:T84)</f>
        <v>#REF!</v>
      </c>
      <c r="V82" s="778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793"/>
      <c r="C83" s="794"/>
      <c r="D83" s="16"/>
      <c r="E83" s="16"/>
      <c r="F83" s="634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741"/>
      <c r="Q83" s="239"/>
      <c r="R83" s="741"/>
      <c r="S83" s="16"/>
      <c r="T83" s="785"/>
      <c r="U83" s="785"/>
      <c r="V83" s="779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793"/>
      <c r="C84" s="794"/>
      <c r="D84" s="40"/>
      <c r="E84" s="40"/>
      <c r="F84" s="633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740">
        <f>'Milling Down Time Hours'!M90</f>
        <v>0</v>
      </c>
      <c r="Q84" s="256"/>
      <c r="R84" s="740">
        <f>'Milling Down Time Hours'!L90</f>
        <v>0</v>
      </c>
      <c r="S84" s="16"/>
      <c r="T84" s="784" t="e">
        <f>SUM(#REF!)</f>
        <v>#REF!</v>
      </c>
      <c r="U84" s="784" t="e">
        <f t="shared" ref="U84" si="27">SUM(T84:T86)</f>
        <v>#REF!</v>
      </c>
      <c r="V84" s="778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793"/>
      <c r="C85" s="794"/>
      <c r="D85" s="16"/>
      <c r="E85" s="16"/>
      <c r="F85" s="634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741"/>
      <c r="Q85" s="239"/>
      <c r="R85" s="741"/>
      <c r="S85" s="16"/>
      <c r="T85" s="785"/>
      <c r="U85" s="785"/>
      <c r="V85" s="779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793"/>
      <c r="C86" s="794"/>
      <c r="D86" s="40"/>
      <c r="E86" s="40"/>
      <c r="F86" s="633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740">
        <f>'Milling Down Time Hours'!M92</f>
        <v>0</v>
      </c>
      <c r="Q86" s="256"/>
      <c r="R86" s="740">
        <f>'Milling Down Time Hours'!L92</f>
        <v>0</v>
      </c>
      <c r="S86" s="16"/>
      <c r="T86" s="784" t="e">
        <f>SUM(#REF!)</f>
        <v>#REF!</v>
      </c>
      <c r="U86" s="784" t="e">
        <f t="shared" ref="U86" si="29">SUM(T86:T88)</f>
        <v>#REF!</v>
      </c>
      <c r="V86" s="778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793"/>
      <c r="C87" s="794"/>
      <c r="D87" s="16"/>
      <c r="E87" s="16"/>
      <c r="F87" s="634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741"/>
      <c r="Q87" s="239"/>
      <c r="R87" s="741"/>
      <c r="S87" s="16"/>
      <c r="T87" s="785"/>
      <c r="U87" s="785"/>
      <c r="V87" s="779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793"/>
      <c r="C88" s="794"/>
      <c r="D88" s="40"/>
      <c r="E88" s="40"/>
      <c r="F88" s="633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740">
        <f>'Milling Down Time Hours'!M94</f>
        <v>0</v>
      </c>
      <c r="Q88" s="256"/>
      <c r="R88" s="740">
        <f>'Milling Down Time Hours'!L94</f>
        <v>0</v>
      </c>
      <c r="S88" s="16"/>
      <c r="T88" s="784" t="e">
        <f>SUM(#REF!)</f>
        <v>#REF!</v>
      </c>
      <c r="U88" s="784" t="e">
        <f t="shared" ref="U88" si="31">SUM(T88:T90)</f>
        <v>#REF!</v>
      </c>
      <c r="V88" s="778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793"/>
      <c r="C89" s="794"/>
      <c r="D89" s="16"/>
      <c r="E89" s="16"/>
      <c r="F89" s="634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741"/>
      <c r="Q89" s="239"/>
      <c r="R89" s="741"/>
      <c r="S89" s="16"/>
      <c r="T89" s="785"/>
      <c r="U89" s="785"/>
      <c r="V89" s="779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793"/>
      <c r="C90" s="794"/>
      <c r="D90" s="40"/>
      <c r="E90" s="40"/>
      <c r="F90" s="633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740">
        <f>'Milling Down Time Hours'!M96</f>
        <v>0</v>
      </c>
      <c r="Q90" s="256"/>
      <c r="R90" s="740">
        <f>'Milling Down Time Hours'!L96</f>
        <v>0</v>
      </c>
      <c r="S90" s="16"/>
      <c r="T90" s="784" t="e">
        <f>SUM(#REF!)</f>
        <v>#REF!</v>
      </c>
      <c r="U90" s="784" t="e">
        <f t="shared" ref="U90" si="33">SUM(T90:T92)</f>
        <v>#REF!</v>
      </c>
      <c r="V90" s="778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793"/>
      <c r="C91" s="794"/>
      <c r="D91" s="16"/>
      <c r="E91" s="16"/>
      <c r="F91" s="634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741"/>
      <c r="Q91" s="239"/>
      <c r="R91" s="741"/>
      <c r="S91" s="16"/>
      <c r="T91" s="785"/>
      <c r="U91" s="785"/>
      <c r="V91" s="779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793"/>
      <c r="C92" s="794"/>
      <c r="D92" s="40"/>
      <c r="E92" s="40"/>
      <c r="F92" s="633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740">
        <f>'Milling Down Time Hours'!M98</f>
        <v>0</v>
      </c>
      <c r="Q92" s="256"/>
      <c r="R92" s="740">
        <f>'Milling Down Time Hours'!L98</f>
        <v>0</v>
      </c>
      <c r="S92" s="16"/>
      <c r="T92" s="784" t="e">
        <f>SUM(#REF!)</f>
        <v>#REF!</v>
      </c>
      <c r="U92" s="784" t="e">
        <f t="shared" ref="U92" si="35">SUM(T92:T94)</f>
        <v>#REF!</v>
      </c>
      <c r="V92" s="778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793"/>
      <c r="C93" s="794"/>
      <c r="D93" s="16"/>
      <c r="E93" s="16"/>
      <c r="F93" s="634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741"/>
      <c r="Q93" s="239"/>
      <c r="R93" s="741"/>
      <c r="S93" s="16"/>
      <c r="T93" s="785"/>
      <c r="U93" s="785"/>
      <c r="V93" s="779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793"/>
      <c r="C94" s="794"/>
      <c r="D94" s="40"/>
      <c r="E94" s="40"/>
      <c r="F94" s="633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740">
        <f>'Milling Down Time Hours'!M100</f>
        <v>0</v>
      </c>
      <c r="Q94" s="256"/>
      <c r="R94" s="740">
        <f>'Milling Down Time Hours'!L100</f>
        <v>0</v>
      </c>
      <c r="S94" s="16"/>
      <c r="T94" s="784" t="e">
        <f>SUM(#REF!)</f>
        <v>#REF!</v>
      </c>
      <c r="U94" s="784" t="e">
        <f>SUM(T94:T98)</f>
        <v>#REF!</v>
      </c>
      <c r="V94" s="778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793"/>
      <c r="C95" s="794"/>
      <c r="D95" s="101"/>
      <c r="E95" s="101"/>
      <c r="F95" s="634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748"/>
      <c r="Q95" s="466"/>
      <c r="R95" s="791"/>
      <c r="S95" s="101"/>
      <c r="T95" s="792"/>
      <c r="U95" s="792"/>
      <c r="V95" s="790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772"/>
      <c r="C96" s="773"/>
      <c r="D96" s="576"/>
      <c r="E96" s="576"/>
      <c r="F96" s="633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1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9"/>
      <c r="C97" s="500"/>
      <c r="D97" s="576"/>
      <c r="E97" s="576"/>
      <c r="F97" s="634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1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8">
        <f>SUM(Z5:Z17)</f>
        <v>1188347787.2522082</v>
      </c>
    </row>
    <row r="98" spans="2:27" ht="18" x14ac:dyDescent="0.35">
      <c r="B98" s="132" t="s">
        <v>122</v>
      </c>
      <c r="C98" s="133"/>
      <c r="D98" s="527"/>
      <c r="E98" s="527"/>
      <c r="F98" s="133"/>
      <c r="G98" s="133"/>
      <c r="H98" s="133"/>
      <c r="I98" s="133"/>
      <c r="J98" s="133"/>
      <c r="K98" s="133"/>
      <c r="L98" s="153">
        <f>AVERAGE(L5:L97)</f>
        <v>0.68</v>
      </c>
      <c r="M98" s="501">
        <f>SUM(M5:M97)</f>
        <v>1613.5725927500005</v>
      </c>
      <c r="N98" s="153"/>
      <c r="O98" s="133"/>
      <c r="P98" s="134">
        <f>'Milling Down Time Hours'!M58</f>
        <v>201.23333333333329</v>
      </c>
      <c r="Q98" s="134"/>
      <c r="R98" s="527"/>
      <c r="S98" s="527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P80:P81"/>
    <mergeCell ref="R80:R81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B75:C76"/>
    <mergeCell ref="B77:C96"/>
    <mergeCell ref="R64:R65"/>
    <mergeCell ref="B45:C46"/>
    <mergeCell ref="B47:C48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V72:V73"/>
    <mergeCell ref="P94:P95"/>
    <mergeCell ref="R94:R95"/>
    <mergeCell ref="T94:T95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P84:P85"/>
    <mergeCell ref="P86:P87"/>
    <mergeCell ref="R86:R87"/>
    <mergeCell ref="P88:P89"/>
    <mergeCell ref="U52:U53"/>
    <mergeCell ref="U74:U75"/>
    <mergeCell ref="P92:P93"/>
    <mergeCell ref="R92:R93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92:T93"/>
    <mergeCell ref="U92:U93"/>
    <mergeCell ref="V92:V93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T38:T39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V50:V51"/>
    <mergeCell ref="V52:V53"/>
    <mergeCell ref="V58:V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B28:C28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R38:R39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abSelected="1" topLeftCell="AE1" zoomScale="85" zoomScaleNormal="85" workbookViewId="0">
      <pane ySplit="9" topLeftCell="A10" activePane="bottomLeft" state="frozen"/>
      <selection pane="bottomLeft" activeCell="AV23" sqref="AV2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15" t="s">
        <v>244</v>
      </c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916"/>
      <c r="V2" s="916"/>
      <c r="W2" s="916"/>
      <c r="X2" s="916"/>
      <c r="Y2" s="916"/>
      <c r="Z2" s="916"/>
      <c r="AA2" s="916"/>
      <c r="AB2" s="916"/>
      <c r="AC2" s="917"/>
    </row>
    <row r="3" spans="2:62" ht="24" thickBot="1" x14ac:dyDescent="0.5">
      <c r="D3" s="915" t="s">
        <v>198</v>
      </c>
      <c r="E3" s="916"/>
      <c r="F3" s="916"/>
      <c r="G3" s="916"/>
      <c r="H3" s="916"/>
      <c r="I3" s="916"/>
      <c r="J3" s="916"/>
      <c r="K3" s="916"/>
      <c r="L3" s="916"/>
      <c r="M3" s="916"/>
      <c r="N3" s="916"/>
      <c r="O3" s="916"/>
      <c r="P3" s="916"/>
      <c r="Q3" s="916"/>
      <c r="R3" s="916"/>
      <c r="S3" s="916"/>
      <c r="T3" s="916"/>
      <c r="U3" s="916"/>
      <c r="V3" s="916"/>
      <c r="W3" s="916"/>
      <c r="X3" s="916"/>
      <c r="Y3" s="916"/>
      <c r="Z3" s="916"/>
      <c r="AA3" s="916"/>
      <c r="AB3" s="916"/>
      <c r="AC3" s="917"/>
      <c r="AG3" s="146"/>
    </row>
    <row r="4" spans="2:62" ht="24" thickBot="1" x14ac:dyDescent="0.5">
      <c r="D4" s="919" t="s">
        <v>551</v>
      </c>
      <c r="E4" s="920"/>
      <c r="F4" s="920"/>
      <c r="G4" s="920"/>
      <c r="H4" s="920"/>
      <c r="I4" s="920"/>
      <c r="J4" s="920"/>
      <c r="K4" s="920"/>
      <c r="L4" s="920"/>
      <c r="M4" s="920"/>
      <c r="N4" s="920"/>
      <c r="O4" s="920"/>
      <c r="P4" s="920"/>
      <c r="Q4" s="920"/>
      <c r="R4" s="920"/>
      <c r="S4" s="920"/>
      <c r="T4" s="920"/>
      <c r="U4" s="920"/>
      <c r="V4" s="920"/>
      <c r="W4" s="920"/>
      <c r="X4" s="920"/>
      <c r="Y4" s="920"/>
      <c r="Z4" s="920"/>
      <c r="AA4" s="920"/>
      <c r="AB4" s="920"/>
      <c r="AC4" s="921"/>
      <c r="AE4" s="465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903" t="s">
        <v>260</v>
      </c>
      <c r="C7" s="217" t="s">
        <v>334</v>
      </c>
      <c r="D7" s="903" t="s">
        <v>245</v>
      </c>
      <c r="E7" s="903" t="s">
        <v>246</v>
      </c>
      <c r="F7" s="903" t="s">
        <v>247</v>
      </c>
      <c r="G7" s="903" t="s">
        <v>248</v>
      </c>
      <c r="H7" s="903" t="s">
        <v>249</v>
      </c>
      <c r="I7" s="903" t="s">
        <v>145</v>
      </c>
      <c r="J7" s="903" t="s">
        <v>251</v>
      </c>
      <c r="K7" s="910" t="s">
        <v>250</v>
      </c>
      <c r="L7" s="241" t="s">
        <v>250</v>
      </c>
      <c r="M7" s="910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903" t="s">
        <v>252</v>
      </c>
      <c r="T7" s="217" t="s">
        <v>308</v>
      </c>
      <c r="U7" s="903" t="s">
        <v>261</v>
      </c>
      <c r="V7" s="903"/>
      <c r="W7" s="903"/>
      <c r="X7" s="830" t="s">
        <v>263</v>
      </c>
      <c r="Y7" s="830"/>
      <c r="Z7" s="830"/>
      <c r="AA7" s="903" t="s">
        <v>270</v>
      </c>
      <c r="AB7" s="903" t="s">
        <v>294</v>
      </c>
      <c r="AC7" s="830" t="s">
        <v>257</v>
      </c>
      <c r="AD7" s="830"/>
      <c r="AE7" s="830"/>
      <c r="AF7" s="830"/>
      <c r="AG7" s="830"/>
      <c r="AH7" s="830"/>
      <c r="AI7" s="830" t="s">
        <v>267</v>
      </c>
      <c r="AJ7" s="830"/>
      <c r="AK7" s="830"/>
      <c r="AL7" s="830" t="s">
        <v>268</v>
      </c>
      <c r="AM7" s="830"/>
      <c r="AN7" s="830"/>
      <c r="AO7" s="140"/>
      <c r="AP7" s="271" t="s">
        <v>340</v>
      </c>
      <c r="AQ7" s="904" t="s">
        <v>274</v>
      </c>
      <c r="AR7" s="905"/>
      <c r="AS7" s="906"/>
      <c r="AT7" s="245"/>
      <c r="AU7" s="910" t="s">
        <v>306</v>
      </c>
      <c r="AV7" s="830" t="s">
        <v>303</v>
      </c>
      <c r="AW7" s="830"/>
      <c r="AX7" s="830"/>
      <c r="AY7" s="140" t="s">
        <v>297</v>
      </c>
      <c r="AZ7" s="830" t="s">
        <v>281</v>
      </c>
      <c r="BA7" s="830"/>
      <c r="BB7" s="830"/>
    </row>
    <row r="8" spans="2:62" x14ac:dyDescent="0.3">
      <c r="B8" s="903"/>
      <c r="C8" s="217" t="s">
        <v>300</v>
      </c>
      <c r="D8" s="903"/>
      <c r="E8" s="903"/>
      <c r="F8" s="903"/>
      <c r="G8" s="903"/>
      <c r="H8" s="903"/>
      <c r="I8" s="903"/>
      <c r="J8" s="903"/>
      <c r="K8" s="918"/>
      <c r="L8" s="242" t="s">
        <v>321</v>
      </c>
      <c r="M8" s="918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903"/>
      <c r="T8" s="217" t="s">
        <v>185</v>
      </c>
      <c r="U8" s="903" t="s">
        <v>262</v>
      </c>
      <c r="V8" s="903"/>
      <c r="W8" s="903"/>
      <c r="X8" s="830" t="s">
        <v>479</v>
      </c>
      <c r="Y8" s="830"/>
      <c r="Z8" s="830"/>
      <c r="AA8" s="903"/>
      <c r="AB8" s="903"/>
      <c r="AC8" s="830" t="s">
        <v>264</v>
      </c>
      <c r="AD8" s="830"/>
      <c r="AE8" s="830"/>
      <c r="AF8" s="830" t="s">
        <v>265</v>
      </c>
      <c r="AG8" s="830"/>
      <c r="AH8" s="830"/>
      <c r="AI8" s="830" t="s">
        <v>266</v>
      </c>
      <c r="AJ8" s="830"/>
      <c r="AK8" s="830"/>
      <c r="AL8" s="830" t="s">
        <v>258</v>
      </c>
      <c r="AM8" s="830"/>
      <c r="AN8" s="830"/>
      <c r="AO8" s="140" t="s">
        <v>259</v>
      </c>
      <c r="AP8" s="272" t="s">
        <v>298</v>
      </c>
      <c r="AQ8" s="907"/>
      <c r="AR8" s="908"/>
      <c r="AS8" s="909"/>
      <c r="AT8" s="245" t="s">
        <v>305</v>
      </c>
      <c r="AU8" s="911"/>
      <c r="AV8" s="830" t="s">
        <v>262</v>
      </c>
      <c r="AW8" s="830"/>
      <c r="AX8" s="830"/>
      <c r="AY8" s="140" t="s">
        <v>298</v>
      </c>
      <c r="AZ8" s="830" t="s">
        <v>41</v>
      </c>
      <c r="BA8" s="830"/>
      <c r="BB8" s="830"/>
    </row>
    <row r="9" spans="2:62" x14ac:dyDescent="0.3">
      <c r="B9" s="903"/>
      <c r="C9" s="217" t="s">
        <v>301</v>
      </c>
      <c r="D9" s="903"/>
      <c r="E9" s="903"/>
      <c r="F9" s="903"/>
      <c r="G9" s="903"/>
      <c r="H9" s="903"/>
      <c r="I9" s="903"/>
      <c r="J9" s="903"/>
      <c r="K9" s="911"/>
      <c r="L9" s="216" t="s">
        <v>320</v>
      </c>
      <c r="M9" s="911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903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903"/>
      <c r="AB9" s="903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50">
        <v>2</v>
      </c>
      <c r="AU10" s="476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6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X12-U12</f>
        <v>-4.5805722449966613E-2</v>
      </c>
      <c r="AB12" s="42">
        <f t="shared" ref="AB12:AB13" si="8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9">$L12*V12</f>
        <v>215.43744704250003</v>
      </c>
      <c r="AK12" s="43">
        <f t="shared" si="9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10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7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1">(AJ12-AM12)</f>
        <v>139.14425331750002</v>
      </c>
      <c r="BB12" s="43">
        <f t="shared" ref="BB12:BB13" si="12">(AK12-AN12)</f>
        <v>34.513587637501132</v>
      </c>
      <c r="BD12" s="13">
        <f>AZ10+AZ12+AZ14</f>
        <v>637.5835401118751</v>
      </c>
      <c r="BE12" s="13">
        <f t="shared" ref="BE12:BF12" si="13">BA10+BA12+BA14</f>
        <v>432.12847941449337</v>
      </c>
      <c r="BF12" s="13">
        <f t="shared" si="13"/>
        <v>2649.3191728788552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4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 t="shared" ref="AA13" si="15">X13-U13</f>
        <v>-4.0166833561077753E-2</v>
      </c>
      <c r="AB13" s="42">
        <f t="shared" si="8"/>
        <v>-1.1049010796565392E-2</v>
      </c>
      <c r="AC13" s="143">
        <f>AVERAGE('LT Floculation'!R19:R21)</f>
        <v>8.5000000000000006E-2</v>
      </c>
      <c r="AD13" s="143">
        <f>AVERAGE('LT Floculation'!S19:S21)</f>
        <v>0.24</v>
      </c>
      <c r="AE13" s="143">
        <f>AVERAGE('LT Floculation'!T19:T21)</f>
        <v>5.1633333333333331</v>
      </c>
      <c r="AF13" s="16">
        <v>3.3000000000000002E-2</v>
      </c>
      <c r="AG13" s="6"/>
      <c r="AH13" s="6"/>
      <c r="AI13" s="43">
        <f t="shared" ref="AI13:AI14" si="16">$L13*U13</f>
        <v>294.40648242500004</v>
      </c>
      <c r="AJ13" s="43">
        <f t="shared" ref="AJ13:AJ14" si="17">$L13*V13</f>
        <v>232.15510725000001</v>
      </c>
      <c r="AK13" s="43">
        <f t="shared" ref="AK13:AK14" si="18">$L13*W13</f>
        <v>2900.2221077500008</v>
      </c>
      <c r="AL13" s="43">
        <f>AC13*$L13</f>
        <v>26.939500500000005</v>
      </c>
      <c r="AM13" s="43">
        <f t="shared" ref="AM13:AN14" si="19">AD13*$L13</f>
        <v>76.064472000000009</v>
      </c>
      <c r="AN13" s="43">
        <f t="shared" si="19"/>
        <v>1636.4425990000002</v>
      </c>
      <c r="AO13" s="43">
        <f>AF13*S13</f>
        <v>15.603310800000003</v>
      </c>
      <c r="AP13" s="43">
        <v>4</v>
      </c>
      <c r="AQ13" s="42">
        <f t="shared" ref="AQ13:AQ59" si="20">IFERROR(((AI13-(AL13+AO13))/AI13),"")</f>
        <v>0.85549634997986912</v>
      </c>
      <c r="AR13" s="42">
        <f t="shared" ref="AR13:AR59" si="21">IFERROR((AJ13-AM13)/AJ13,"")</f>
        <v>0.67235494880546065</v>
      </c>
      <c r="AS13" s="42">
        <f t="shared" ref="AS13:AS59" si="22">IFERROR((AK13-AN13)/AK13,"")</f>
        <v>0.43575266369183141</v>
      </c>
      <c r="AT13" s="250">
        <v>3</v>
      </c>
      <c r="AU13" s="477">
        <v>1</v>
      </c>
      <c r="AV13" s="43">
        <f>(AZ11+AZ13)/AU13</f>
        <v>428.88995421250002</v>
      </c>
      <c r="AW13" s="43">
        <f>(AZ11+AZ13)/AU13</f>
        <v>428.88995421250002</v>
      </c>
      <c r="AX13" s="262">
        <f>(BA11+BA13)/AU13</f>
        <v>319.16787008333336</v>
      </c>
      <c r="AY13" s="262">
        <v>4</v>
      </c>
      <c r="AZ13" s="43">
        <f t="shared" si="6"/>
        <v>251.86367112500002</v>
      </c>
      <c r="BA13" s="43">
        <f t="shared" si="11"/>
        <v>156.09063524999999</v>
      </c>
      <c r="BB13" s="43">
        <f t="shared" si="12"/>
        <v>1263.7795087500006</v>
      </c>
      <c r="BD13" s="13">
        <f>AZ11+AZ13</f>
        <v>428.88995421250002</v>
      </c>
      <c r="BE13" s="13">
        <f t="shared" ref="BE13:BF13" si="23">BA11+BA13</f>
        <v>319.16787008333336</v>
      </c>
      <c r="BF13" s="13">
        <f t="shared" si="23"/>
        <v>1473.4621496527786</v>
      </c>
      <c r="BJ13" s="15">
        <f>0.4*16000</f>
        <v>6400</v>
      </c>
    </row>
    <row r="14" spans="2:62" s="520" customFormat="1" x14ac:dyDescent="0.3">
      <c r="B14" s="513">
        <v>5</v>
      </c>
      <c r="C14" s="512">
        <f>SUM('Milling and Leach Feed'!P25:P27)</f>
        <v>26.016666666666666</v>
      </c>
      <c r="D14" s="513">
        <v>2</v>
      </c>
      <c r="E14" s="514">
        <v>46276</v>
      </c>
      <c r="F14" s="515">
        <v>0.43263888888888891</v>
      </c>
      <c r="G14" s="514">
        <v>46277</v>
      </c>
      <c r="H14" s="515">
        <v>0.29166666666666669</v>
      </c>
      <c r="I14" s="513">
        <v>647</v>
      </c>
      <c r="J14" s="511">
        <v>0.4</v>
      </c>
      <c r="K14" s="512">
        <f t="shared" si="0"/>
        <v>328.67600000000004</v>
      </c>
      <c r="L14" s="512">
        <f>K14-R12</f>
        <v>266.98580000000004</v>
      </c>
      <c r="M14" s="513">
        <v>1.27</v>
      </c>
      <c r="N14" s="513">
        <v>2</v>
      </c>
      <c r="O14" s="511">
        <v>0.41</v>
      </c>
      <c r="P14" s="513">
        <v>1.28</v>
      </c>
      <c r="Q14" s="512">
        <f>$Q$10</f>
        <v>107.85</v>
      </c>
      <c r="R14" s="512">
        <f>Q14*P14*O14</f>
        <v>56.599679999999999</v>
      </c>
      <c r="S14" s="512">
        <f t="shared" si="14"/>
        <v>493.01400000000001</v>
      </c>
      <c r="T14" s="512">
        <f>T13+L14</f>
        <v>1503.3476802499999</v>
      </c>
      <c r="U14" s="516">
        <f>AVERAGE('LT Ball Mill'!F52:F60)</f>
        <v>0.78399999999999992</v>
      </c>
      <c r="V14" s="516">
        <f>AVERAGE('LT Ball Mill'!G52:G60)</f>
        <v>0.66333333333333322</v>
      </c>
      <c r="W14" s="516">
        <f>AVERAGE('LT Ball Mill'!H52:H60)</f>
        <v>8.8233333333333324</v>
      </c>
      <c r="X14" s="513"/>
      <c r="Y14" s="513"/>
      <c r="Z14" s="513"/>
      <c r="AA14" s="513"/>
      <c r="AB14" s="513"/>
      <c r="AC14" s="516"/>
      <c r="AD14" s="516"/>
      <c r="AE14" s="516"/>
      <c r="AF14" s="513"/>
      <c r="AG14" s="513"/>
      <c r="AH14" s="513"/>
      <c r="AI14" s="512">
        <f t="shared" si="16"/>
        <v>209.31686720000002</v>
      </c>
      <c r="AJ14" s="512">
        <f t="shared" si="17"/>
        <v>177.10058066666667</v>
      </c>
      <c r="AK14" s="512">
        <f t="shared" si="18"/>
        <v>2355.7047086666666</v>
      </c>
      <c r="AL14" s="512">
        <f>AC14*$L14</f>
        <v>0</v>
      </c>
      <c r="AM14" s="512">
        <f t="shared" si="19"/>
        <v>0</v>
      </c>
      <c r="AN14" s="512">
        <f t="shared" si="19"/>
        <v>0</v>
      </c>
      <c r="AO14" s="512">
        <f t="shared" si="10"/>
        <v>0</v>
      </c>
      <c r="AP14" s="512">
        <v>5</v>
      </c>
      <c r="AQ14" s="517">
        <f t="shared" si="20"/>
        <v>1</v>
      </c>
      <c r="AR14" s="517">
        <f t="shared" si="21"/>
        <v>1</v>
      </c>
      <c r="AS14" s="517">
        <f t="shared" si="22"/>
        <v>1</v>
      </c>
      <c r="AT14" s="518">
        <v>2</v>
      </c>
      <c r="AU14" s="519">
        <v>1.5</v>
      </c>
      <c r="AV14" s="512">
        <f>(AZ10+AZ12+AZ14)/AU14</f>
        <v>425.05569340791675</v>
      </c>
      <c r="AW14" s="512">
        <f>(BA10+BA12+BA14)/AU14</f>
        <v>288.08565294299558</v>
      </c>
      <c r="AX14" s="512">
        <f>(BB10+BB12+BB14)/AU14</f>
        <v>1766.2127819192367</v>
      </c>
      <c r="AY14" s="512">
        <v>5</v>
      </c>
      <c r="AZ14" s="512">
        <f t="shared" si="6"/>
        <v>209.31686720000002</v>
      </c>
      <c r="BA14" s="512">
        <f t="shared" ref="BA14" si="24">(AJ14-AM14)</f>
        <v>177.10058066666667</v>
      </c>
      <c r="BB14" s="512">
        <f t="shared" ref="BB14" si="25">(AK14-AN14)</f>
        <v>2355.7047086666666</v>
      </c>
      <c r="BD14" s="521">
        <f>BD12+BD13</f>
        <v>1066.4734943243752</v>
      </c>
      <c r="BE14" s="521">
        <f t="shared" ref="BE14:BF14" si="26">BE12+BE13</f>
        <v>751.29634949782667</v>
      </c>
      <c r="BF14" s="521">
        <f t="shared" si="26"/>
        <v>4122.781322531634</v>
      </c>
      <c r="BJ14" s="520">
        <f>BJ13*40%</f>
        <v>2560</v>
      </c>
    </row>
    <row r="15" spans="2:62" x14ac:dyDescent="0.3">
      <c r="B15" s="16">
        <v>6</v>
      </c>
      <c r="C15" s="43"/>
      <c r="D15" s="16">
        <v>3</v>
      </c>
      <c r="E15" s="77">
        <v>46278</v>
      </c>
      <c r="F15" s="108">
        <v>0.33333333333333331</v>
      </c>
      <c r="G15" s="77"/>
      <c r="H15" s="108"/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4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>
        <v>3.2000000000000001E-2</v>
      </c>
      <c r="AG15" s="6"/>
      <c r="AH15" s="6"/>
      <c r="AI15" s="43">
        <f t="shared" ref="AI15" si="27">$L15*U15</f>
        <v>0</v>
      </c>
      <c r="AJ15" s="43">
        <f t="shared" ref="AJ15" si="28">$L15*V15</f>
        <v>0</v>
      </c>
      <c r="AK15" s="43">
        <f t="shared" ref="AK15" si="29">$L15*W15</f>
        <v>0</v>
      </c>
      <c r="AL15" s="43">
        <f>AC15*$L15</f>
        <v>0</v>
      </c>
      <c r="AM15" s="43">
        <f t="shared" ref="AM15" si="30">AD15*$L15</f>
        <v>0</v>
      </c>
      <c r="AN15" s="43">
        <f t="shared" ref="AN15" si="31">AE15*$L15</f>
        <v>0</v>
      </c>
      <c r="AO15" s="43">
        <f t="shared" si="10"/>
        <v>21.015280000000004</v>
      </c>
      <c r="AP15" s="43">
        <v>6</v>
      </c>
      <c r="AQ15" s="42" t="str">
        <f t="shared" si="20"/>
        <v/>
      </c>
      <c r="AR15" s="42" t="str">
        <f t="shared" si="21"/>
        <v/>
      </c>
      <c r="AS15" s="42" t="str">
        <f t="shared" si="22"/>
        <v/>
      </c>
      <c r="AT15" s="250">
        <v>3</v>
      </c>
      <c r="AU15" s="478">
        <v>1</v>
      </c>
      <c r="AV15" s="43">
        <f>(AZ11+AZ13+AZ15)/AU15</f>
        <v>407.8746742125</v>
      </c>
      <c r="AW15" s="43">
        <f>(BA11+BA13+BA15)/AU15</f>
        <v>319.16787008333336</v>
      </c>
      <c r="AX15" s="43">
        <f>(BB11+BB13+BB15)/AU15</f>
        <v>1473.4621496527786</v>
      </c>
      <c r="AY15" s="43">
        <v>6</v>
      </c>
      <c r="AZ15" s="43">
        <f t="shared" si="6"/>
        <v>-21.015280000000004</v>
      </c>
      <c r="BA15" s="43">
        <f t="shared" ref="BA15" si="32">(AJ15-AM15)</f>
        <v>0</v>
      </c>
      <c r="BB15" s="43">
        <f t="shared" ref="BB15" si="33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16">
        <v>2</v>
      </c>
      <c r="O16" s="6"/>
      <c r="P16" s="6"/>
      <c r="Q16" s="6"/>
      <c r="R16" s="6"/>
      <c r="S16" s="43" t="str">
        <f>IFERROR(K16*((1-J16)/J16),"")</f>
        <v/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20"/>
        <v/>
      </c>
      <c r="AR16" s="42" t="str">
        <f t="shared" si="21"/>
        <v/>
      </c>
      <c r="AS16" s="42" t="str">
        <f t="shared" si="22"/>
        <v/>
      </c>
      <c r="AT16" s="246"/>
      <c r="AU16" s="6"/>
      <c r="AV16" s="6"/>
      <c r="AW16" s="6"/>
      <c r="AX16" s="230"/>
      <c r="AY16" s="269"/>
      <c r="AZ16" s="270"/>
      <c r="BA16" s="270"/>
      <c r="BB16" s="27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4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20"/>
        <v/>
      </c>
      <c r="AR17" s="42" t="str">
        <f t="shared" si="21"/>
        <v/>
      </c>
      <c r="AS17" s="42" t="str">
        <f t="shared" si="22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16">
        <v>2</v>
      </c>
      <c r="O18" s="6"/>
      <c r="P18" s="6"/>
      <c r="Q18" s="6"/>
      <c r="R18" s="6"/>
      <c r="S18" s="43" t="str">
        <f t="shared" si="34"/>
        <v/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20"/>
        <v/>
      </c>
      <c r="AR18" s="42" t="str">
        <f t="shared" si="21"/>
        <v/>
      </c>
      <c r="AS18" s="42" t="str">
        <f t="shared" si="22"/>
        <v/>
      </c>
      <c r="AT18" s="246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4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20"/>
        <v/>
      </c>
      <c r="AR19" s="42" t="str">
        <f t="shared" si="21"/>
        <v/>
      </c>
      <c r="AS19" s="42" t="str">
        <f t="shared" si="22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4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20"/>
        <v/>
      </c>
      <c r="AR20" s="42" t="str">
        <f t="shared" si="21"/>
        <v/>
      </c>
      <c r="AS20" s="42" t="str">
        <f t="shared" si="22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637.5835401118751</v>
      </c>
      <c r="BF20" s="47">
        <f>AW14*$AU14</f>
        <v>432.12847941449337</v>
      </c>
      <c r="BG20" s="47">
        <f>AX14*$AU14</f>
        <v>2649.3191728788552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4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20"/>
        <v/>
      </c>
      <c r="AR21" s="42" t="str">
        <f t="shared" si="21"/>
        <v/>
      </c>
      <c r="AS21" s="42" t="str">
        <f t="shared" si="22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4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20"/>
        <v/>
      </c>
      <c r="AR22" s="42" t="str">
        <f t="shared" si="21"/>
        <v/>
      </c>
      <c r="AS22" s="42" t="str">
        <f t="shared" si="22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2479.3541282701494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4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20"/>
        <v/>
      </c>
      <c r="AR23" s="42" t="str">
        <f t="shared" si="21"/>
        <v/>
      </c>
      <c r="AS23" s="42" t="str">
        <f t="shared" si="22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4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20"/>
        <v/>
      </c>
      <c r="AR24" s="42" t="str">
        <f t="shared" si="21"/>
        <v/>
      </c>
      <c r="AS24" s="42" t="str">
        <f t="shared" si="22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4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20"/>
        <v/>
      </c>
      <c r="AR25" s="42" t="str">
        <f t="shared" si="21"/>
        <v/>
      </c>
      <c r="AS25" s="42" t="str">
        <f t="shared" si="22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4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20"/>
        <v/>
      </c>
      <c r="AR26" s="42" t="str">
        <f t="shared" si="21"/>
        <v/>
      </c>
      <c r="AS26" s="42" t="str">
        <f t="shared" si="22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4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20"/>
        <v/>
      </c>
      <c r="AR27" s="42" t="str">
        <f t="shared" si="21"/>
        <v/>
      </c>
      <c r="AS27" s="42" t="str">
        <f t="shared" si="22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4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20"/>
        <v/>
      </c>
      <c r="AR28" s="42" t="str">
        <f t="shared" si="21"/>
        <v/>
      </c>
      <c r="AS28" s="42" t="str">
        <f t="shared" si="22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4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20"/>
        <v/>
      </c>
      <c r="AR29" s="42" t="str">
        <f t="shared" si="21"/>
        <v/>
      </c>
      <c r="AS29" s="42" t="str">
        <f t="shared" si="22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4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20"/>
        <v/>
      </c>
      <c r="AR30" s="42" t="str">
        <f t="shared" si="21"/>
        <v/>
      </c>
      <c r="AS30" s="42" t="str">
        <f t="shared" si="22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4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20"/>
        <v/>
      </c>
      <c r="AR31" s="42" t="str">
        <f t="shared" si="21"/>
        <v/>
      </c>
      <c r="AS31" s="42" t="str">
        <f t="shared" si="22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4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20"/>
        <v/>
      </c>
      <c r="AR32" s="42" t="str">
        <f t="shared" si="21"/>
        <v/>
      </c>
      <c r="AS32" s="42" t="str">
        <f t="shared" si="22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4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20"/>
        <v/>
      </c>
      <c r="AR33" s="42" t="str">
        <f t="shared" si="21"/>
        <v/>
      </c>
      <c r="AS33" s="42" t="str">
        <f t="shared" si="22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4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20"/>
        <v/>
      </c>
      <c r="AR34" s="42" t="str">
        <f t="shared" si="21"/>
        <v/>
      </c>
      <c r="AS34" s="42" t="str">
        <f t="shared" si="22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4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20"/>
        <v/>
      </c>
      <c r="AR35" s="42" t="str">
        <f t="shared" si="21"/>
        <v/>
      </c>
      <c r="AS35" s="42" t="str">
        <f t="shared" si="22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4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20"/>
        <v/>
      </c>
      <c r="AR36" s="42" t="str">
        <f t="shared" si="21"/>
        <v/>
      </c>
      <c r="AS36" s="42" t="str">
        <f t="shared" si="22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4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20"/>
        <v/>
      </c>
      <c r="AR37" s="42" t="str">
        <f t="shared" si="21"/>
        <v/>
      </c>
      <c r="AS37" s="42" t="str">
        <f t="shared" si="22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4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20"/>
        <v/>
      </c>
      <c r="AR38" s="42" t="str">
        <f t="shared" si="21"/>
        <v/>
      </c>
      <c r="AS38" s="42" t="str">
        <f t="shared" si="22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4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20"/>
        <v/>
      </c>
      <c r="AR39" s="42" t="str">
        <f t="shared" si="21"/>
        <v/>
      </c>
      <c r="AS39" s="42" t="str">
        <f t="shared" si="22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4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20"/>
        <v/>
      </c>
      <c r="AR40" s="42" t="str">
        <f t="shared" si="21"/>
        <v/>
      </c>
      <c r="AS40" s="42" t="str">
        <f t="shared" si="22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4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20"/>
        <v/>
      </c>
      <c r="AR41" s="42" t="str">
        <f t="shared" si="21"/>
        <v/>
      </c>
      <c r="AS41" s="42" t="str">
        <f t="shared" si="22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4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20"/>
        <v/>
      </c>
      <c r="AR42" s="42" t="str">
        <f t="shared" si="21"/>
        <v/>
      </c>
      <c r="AS42" s="42" t="str">
        <f t="shared" si="22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4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20"/>
        <v/>
      </c>
      <c r="AR43" s="42" t="str">
        <f t="shared" si="21"/>
        <v/>
      </c>
      <c r="AS43" s="42" t="str">
        <f t="shared" si="22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4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20"/>
        <v/>
      </c>
      <c r="AR44" s="42" t="str">
        <f t="shared" si="21"/>
        <v/>
      </c>
      <c r="AS44" s="42" t="str">
        <f t="shared" si="22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4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20"/>
        <v/>
      </c>
      <c r="AR45" s="42" t="str">
        <f t="shared" si="21"/>
        <v/>
      </c>
      <c r="AS45" s="42" t="str">
        <f t="shared" si="22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4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20"/>
        <v/>
      </c>
      <c r="AR46" s="42" t="str">
        <f t="shared" si="21"/>
        <v/>
      </c>
      <c r="AS46" s="42" t="str">
        <f t="shared" si="22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4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20"/>
        <v/>
      </c>
      <c r="AR47" s="42" t="str">
        <f t="shared" si="21"/>
        <v/>
      </c>
      <c r="AS47" s="42" t="str">
        <f t="shared" si="22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4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20"/>
        <v/>
      </c>
      <c r="AR48" s="42" t="str">
        <f t="shared" si="21"/>
        <v/>
      </c>
      <c r="AS48" s="42" t="str">
        <f t="shared" si="22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4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20"/>
        <v/>
      </c>
      <c r="AR49" s="42" t="str">
        <f t="shared" si="21"/>
        <v/>
      </c>
      <c r="AS49" s="42" t="str">
        <f t="shared" si="22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4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20"/>
        <v/>
      </c>
      <c r="AR50" s="42" t="str">
        <f t="shared" si="21"/>
        <v/>
      </c>
      <c r="AS50" s="42" t="str">
        <f t="shared" si="22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4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20"/>
        <v/>
      </c>
      <c r="AR51" s="42" t="str">
        <f t="shared" si="21"/>
        <v/>
      </c>
      <c r="AS51" s="42" t="str">
        <f t="shared" si="22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4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20"/>
        <v/>
      </c>
      <c r="AR52" s="42" t="str">
        <f t="shared" si="21"/>
        <v/>
      </c>
      <c r="AS52" s="42" t="str">
        <f t="shared" si="22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4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20"/>
        <v/>
      </c>
      <c r="AR53" s="42" t="str">
        <f t="shared" si="21"/>
        <v/>
      </c>
      <c r="AS53" s="42" t="str">
        <f t="shared" si="22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4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20"/>
        <v/>
      </c>
      <c r="AR54" s="42" t="str">
        <f t="shared" si="21"/>
        <v/>
      </c>
      <c r="AS54" s="42" t="str">
        <f t="shared" si="22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4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20"/>
        <v/>
      </c>
      <c r="AR55" s="42" t="str">
        <f t="shared" si="21"/>
        <v/>
      </c>
      <c r="AS55" s="42" t="str">
        <f t="shared" si="22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4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20"/>
        <v/>
      </c>
      <c r="AR56" s="42" t="str">
        <f t="shared" si="21"/>
        <v/>
      </c>
      <c r="AS56" s="42" t="str">
        <f t="shared" si="22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4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20"/>
        <v/>
      </c>
      <c r="AR57" s="42" t="str">
        <f t="shared" si="21"/>
        <v/>
      </c>
      <c r="AS57" s="42" t="str">
        <f t="shared" si="22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4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20"/>
        <v/>
      </c>
      <c r="AR58" s="42" t="str">
        <f t="shared" si="21"/>
        <v/>
      </c>
      <c r="AS58" s="42" t="str">
        <f t="shared" si="22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4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20"/>
        <v/>
      </c>
      <c r="AR59" s="42" t="str">
        <f t="shared" si="21"/>
        <v/>
      </c>
      <c r="AS59" s="42" t="str">
        <f t="shared" si="22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4"/>
        <v/>
      </c>
      <c r="T60" s="144"/>
      <c r="U60" s="219">
        <f>AVERAGE(U10:U59)</f>
        <v>0.80789444444444436</v>
      </c>
      <c r="V60" s="219">
        <f t="shared" ref="V60:W60" si="35">AVERAGE(V10:V59)</f>
        <v>0.67666111111111105</v>
      </c>
      <c r="W60" s="219">
        <f t="shared" si="35"/>
        <v>8.6633166666666668</v>
      </c>
      <c r="X60" s="219">
        <f>AVERAGE(X10:X59)</f>
        <v>0.78045502597973604</v>
      </c>
      <c r="Y60" s="219">
        <f t="shared" ref="Y60:Z60" si="36">AVERAGE(Y10:Y59)</f>
        <v>0.62709344776163578</v>
      </c>
      <c r="Z60" s="219">
        <f t="shared" si="36"/>
        <v>7.8946687819048167</v>
      </c>
      <c r="AA60" s="144"/>
      <c r="AB60" s="144"/>
      <c r="AC60" s="219">
        <f>AVERAGE(AC10:AC15)</f>
        <v>8.7979166666666678E-2</v>
      </c>
      <c r="AD60" s="219">
        <f t="shared" ref="AD60:AE60" si="37">AVERAGE(AD10:AD15)</f>
        <v>0.22333333333333333</v>
      </c>
      <c r="AE60" s="219">
        <f t="shared" si="37"/>
        <v>7.2572916666666671</v>
      </c>
      <c r="AF60" s="219">
        <f>AVERAGE(AF10:AF15)</f>
        <v>2.7400000000000001E-2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0.87548110892028563</v>
      </c>
      <c r="AR60" s="251">
        <f t="shared" ref="AR60:AS60" si="38">AVERAGE(AR10:AR15)</f>
        <v>0.73359626478454232</v>
      </c>
      <c r="AS60" s="251">
        <f t="shared" si="38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4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1045.4582143243749</v>
      </c>
      <c r="BA61" s="237">
        <f t="shared" ref="BA61:BB61" si="39">SUM(BA10:BA15)</f>
        <v>751.29634949782667</v>
      </c>
      <c r="BB61" s="237">
        <f t="shared" si="39"/>
        <v>4122.7813225316331</v>
      </c>
      <c r="BC61" s="47">
        <f>SUM(AZ61:BB61)</f>
        <v>5919.5358863538349</v>
      </c>
      <c r="BD61" s="15"/>
      <c r="BE61" s="15"/>
    </row>
    <row r="62" spans="2:57" x14ac:dyDescent="0.3">
      <c r="K62" s="13"/>
      <c r="S62" s="43" t="str">
        <f t="shared" si="34"/>
        <v/>
      </c>
      <c r="T62" s="1" t="s">
        <v>206</v>
      </c>
      <c r="U62" s="266">
        <f>MEDIAN(U10:U59)</f>
        <v>0.78399999999999992</v>
      </c>
      <c r="V62" s="266">
        <f t="shared" ref="V62:W62" si="40">MEDIAN(V10:V59)</f>
        <v>0.66333333333333322</v>
      </c>
      <c r="W62" s="266">
        <f t="shared" si="40"/>
        <v>9.051111111111112</v>
      </c>
      <c r="X62" s="266">
        <f>MEDIAN(X10:X59)</f>
        <v>0.78704795642184766</v>
      </c>
      <c r="Y62" s="266">
        <f t="shared" ref="Y62:Z62" si="41">MEDIAN(Y10:Y59)</f>
        <v>0.66263131436274558</v>
      </c>
      <c r="Z62" s="266">
        <f t="shared" si="41"/>
        <v>8.2686001166323138</v>
      </c>
      <c r="AZ62" s="6"/>
      <c r="BA62" s="6"/>
      <c r="BB62" s="6"/>
      <c r="BC62" s="12">
        <f>AZ61/BC61</f>
        <v>0.17661151725331117</v>
      </c>
      <c r="BD62" s="12">
        <f>BA61/BC61</f>
        <v>0.12691811721756299</v>
      </c>
      <c r="BE62" s="12">
        <f>BB61/BC61</f>
        <v>0.69647036552912578</v>
      </c>
    </row>
    <row r="63" spans="2:57" x14ac:dyDescent="0.3">
      <c r="S63" s="43" t="str">
        <f t="shared" si="34"/>
        <v/>
      </c>
      <c r="AI63" s="1">
        <f>(U60*K61)*AQ60</f>
        <v>1273.5518147804153</v>
      </c>
    </row>
    <row r="64" spans="2:57" x14ac:dyDescent="0.3">
      <c r="V64" s="146"/>
    </row>
    <row r="65" spans="9:52" x14ac:dyDescent="0.3">
      <c r="AL65" s="821" t="s">
        <v>315</v>
      </c>
      <c r="AM65" s="821"/>
      <c r="AN65" s="821"/>
      <c r="AO65" s="821"/>
      <c r="AP65" s="273"/>
      <c r="AZ65" s="47">
        <f>BC61/2.7</f>
        <v>2192.4206986495683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3"/>
    </row>
    <row r="67" spans="9:52" x14ac:dyDescent="0.3">
      <c r="I67" s="43">
        <f>SUM(C10:C15)</f>
        <v>183.75</v>
      </c>
      <c r="J67" s="43">
        <f>'Milling Down Time Hours'!L59</f>
        <v>113.21666666666667</v>
      </c>
      <c r="K67" s="43">
        <f>K61/I67</f>
        <v>9.7991379197278921</v>
      </c>
      <c r="L67" s="43"/>
      <c r="M67" s="43">
        <f>(K61/I68)</f>
        <v>235.1793100734694</v>
      </c>
      <c r="N67" s="43"/>
      <c r="O67" s="43"/>
      <c r="P67" s="43"/>
      <c r="Q67" s="43"/>
      <c r="R67" s="43">
        <f>(I67+J67)/24</f>
        <v>12.373611111111112</v>
      </c>
      <c r="AL67" s="16" t="s">
        <v>339</v>
      </c>
      <c r="AM67" s="143">
        <f>AVERAGE(U10:U15)</f>
        <v>0.80789444444444436</v>
      </c>
      <c r="AN67" s="143">
        <f t="shared" ref="AN67:AO67" si="42">AVERAGE(V10:V15)</f>
        <v>0.67666111111111105</v>
      </c>
      <c r="AO67" s="143">
        <f t="shared" si="42"/>
        <v>8.6633166666666668</v>
      </c>
      <c r="AP67" s="266"/>
    </row>
    <row r="68" spans="9:52" x14ac:dyDescent="0.3">
      <c r="I68" s="47">
        <f>I67/24</f>
        <v>7.65625</v>
      </c>
      <c r="AA68" s="830" t="s">
        <v>261</v>
      </c>
      <c r="AB68" s="830"/>
      <c r="AC68" s="830"/>
      <c r="AD68" s="830"/>
      <c r="AE68" s="830"/>
      <c r="AL68" s="16" t="s">
        <v>202</v>
      </c>
      <c r="AM68" s="143">
        <f>MEDIAN(U10:U15)</f>
        <v>0.78399999999999992</v>
      </c>
      <c r="AN68" s="143">
        <f t="shared" ref="AN68:AO68" si="43">MEDIAN(V10:V15)</f>
        <v>0.66333333333333322</v>
      </c>
      <c r="AO68" s="143">
        <f t="shared" si="43"/>
        <v>9.051111111111112</v>
      </c>
      <c r="AP68" s="266"/>
    </row>
    <row r="69" spans="9:52" x14ac:dyDescent="0.3">
      <c r="AA69" s="903" t="s">
        <v>260</v>
      </c>
      <c r="AB69" s="903" t="s">
        <v>500</v>
      </c>
      <c r="AC69" s="830" t="s">
        <v>262</v>
      </c>
      <c r="AD69" s="830"/>
      <c r="AE69" s="830"/>
      <c r="AL69" s="16" t="s">
        <v>204</v>
      </c>
      <c r="AM69" s="143">
        <f>MIN(U10:U15)</f>
        <v>0.68400000000000005</v>
      </c>
      <c r="AN69" s="143">
        <f t="shared" ref="AN69:AO69" si="44">MIN(V10:V15)</f>
        <v>0.53525</v>
      </c>
      <c r="AO69" s="143">
        <f t="shared" si="44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903"/>
      <c r="AB70" s="903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5">MAX(V10:V15)</f>
        <v>0.79333333333333333</v>
      </c>
      <c r="AO70" s="143">
        <f t="shared" si="45"/>
        <v>9.1508333333333347</v>
      </c>
      <c r="AP70" s="266"/>
    </row>
    <row r="71" spans="9:52" x14ac:dyDescent="0.3">
      <c r="I71" s="154" t="s">
        <v>311</v>
      </c>
      <c r="J71" s="70">
        <f>J67</f>
        <v>113.21666666666667</v>
      </c>
      <c r="AA71" s="16">
        <v>1</v>
      </c>
      <c r="AB71" s="16">
        <v>2</v>
      </c>
      <c r="AC71" s="462">
        <v>0.70799999999999996</v>
      </c>
      <c r="AD71" s="462">
        <v>0.53525</v>
      </c>
      <c r="AE71" s="462">
        <v>7.2224166666666676</v>
      </c>
    </row>
    <row r="72" spans="9:52" x14ac:dyDescent="0.3">
      <c r="I72" s="154" t="s">
        <v>318</v>
      </c>
      <c r="J72" s="70">
        <f>SUM(J70:J71)</f>
        <v>296.9666666666667</v>
      </c>
      <c r="AA72" s="16">
        <v>2</v>
      </c>
      <c r="AB72" s="16">
        <v>3</v>
      </c>
      <c r="AC72" s="462">
        <v>0.68400000000000005</v>
      </c>
      <c r="AD72" s="462">
        <v>0.79333333333333333</v>
      </c>
      <c r="AE72" s="462">
        <v>9.051111111111112</v>
      </c>
    </row>
    <row r="73" spans="9:52" x14ac:dyDescent="0.3">
      <c r="I73" s="154" t="s">
        <v>319</v>
      </c>
      <c r="J73" s="67">
        <f>J70/J72</f>
        <v>0.61875631383993712</v>
      </c>
    </row>
    <row r="74" spans="9:52" x14ac:dyDescent="0.3">
      <c r="I74" s="154" t="s">
        <v>37</v>
      </c>
      <c r="J74" s="244">
        <f>K67</f>
        <v>9.7991379197278921</v>
      </c>
    </row>
    <row r="75" spans="9:52" x14ac:dyDescent="0.3">
      <c r="I75" s="154" t="s">
        <v>82</v>
      </c>
      <c r="J75" s="70">
        <f>M67</f>
        <v>235.1793100734694</v>
      </c>
    </row>
    <row r="76" spans="9:52" x14ac:dyDescent="0.3">
      <c r="I76" s="154" t="s">
        <v>314</v>
      </c>
      <c r="J76" s="70">
        <f>R67</f>
        <v>12.373611111111112</v>
      </c>
    </row>
    <row r="77" spans="9:52" x14ac:dyDescent="0.3">
      <c r="I77" s="154" t="s">
        <v>338</v>
      </c>
      <c r="J77" s="67">
        <f>J67/(I67+J67)</f>
        <v>0.38124368616006282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830" t="s">
        <v>330</v>
      </c>
      <c r="M92" s="830"/>
      <c r="N92" s="830"/>
      <c r="O92" s="472"/>
      <c r="P92" s="472"/>
      <c r="Q92" s="472"/>
      <c r="R92" s="912" t="s">
        <v>333</v>
      </c>
      <c r="S92" s="913"/>
      <c r="T92" s="914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6">V10</f>
        <v>0.53525</v>
      </c>
      <c r="N94" s="143">
        <f t="shared" si="46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7">AD10</f>
        <v>0.17</v>
      </c>
      <c r="T94" s="143">
        <f t="shared" si="47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8">U11</f>
        <v>0.68400000000000005</v>
      </c>
      <c r="M95" s="143">
        <f t="shared" si="46"/>
        <v>0.79333333333333333</v>
      </c>
      <c r="N95" s="143">
        <f t="shared" si="46"/>
        <v>9.051111111111112</v>
      </c>
      <c r="O95" s="143"/>
      <c r="P95" s="143"/>
      <c r="Q95" s="143"/>
      <c r="R95" s="143">
        <f t="shared" ref="R95:R98" si="49">AC11</f>
        <v>5.5749999999999994E-2</v>
      </c>
      <c r="S95" s="143">
        <f t="shared" si="47"/>
        <v>0.25</v>
      </c>
      <c r="T95" s="143">
        <f t="shared" si="47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8"/>
        <v>0.93455555555555547</v>
      </c>
      <c r="M96" s="143">
        <f t="shared" si="46"/>
        <v>0.65888888888888886</v>
      </c>
      <c r="N96" s="143">
        <f t="shared" si="46"/>
        <v>9.0688888888888908</v>
      </c>
      <c r="O96" s="143"/>
      <c r="P96" s="143"/>
      <c r="Q96" s="143"/>
      <c r="R96" s="143">
        <f t="shared" si="49"/>
        <v>9.816666666666668E-2</v>
      </c>
      <c r="S96" s="143">
        <f t="shared" si="47"/>
        <v>0.23333333333333331</v>
      </c>
      <c r="T96" s="143">
        <f t="shared" si="47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50">L13</f>
        <v>316.93530000000004</v>
      </c>
      <c r="L97" s="143">
        <f t="shared" si="48"/>
        <v>0.92891666666666661</v>
      </c>
      <c r="M97" s="143">
        <f t="shared" si="46"/>
        <v>0.73249999999999993</v>
      </c>
      <c r="N97" s="143">
        <f t="shared" si="46"/>
        <v>9.1508333333333347</v>
      </c>
      <c r="O97" s="143"/>
      <c r="P97" s="143"/>
      <c r="Q97" s="143"/>
      <c r="R97" s="143">
        <f t="shared" si="49"/>
        <v>8.5000000000000006E-2</v>
      </c>
      <c r="S97" s="143">
        <f t="shared" si="47"/>
        <v>0.24</v>
      </c>
      <c r="T97" s="143">
        <f t="shared" si="47"/>
        <v>5.1633333333333331</v>
      </c>
    </row>
    <row r="98" spans="9:20" x14ac:dyDescent="0.3">
      <c r="I98" s="16">
        <v>5</v>
      </c>
      <c r="J98" s="16">
        <v>2</v>
      </c>
      <c r="K98" s="43">
        <f t="shared" si="50"/>
        <v>266.98580000000004</v>
      </c>
      <c r="L98" s="143">
        <f t="shared" si="48"/>
        <v>0.78399999999999992</v>
      </c>
      <c r="M98" s="143">
        <f t="shared" si="46"/>
        <v>0.66333333333333322</v>
      </c>
      <c r="N98" s="143">
        <f t="shared" si="46"/>
        <v>8.8233333333333324</v>
      </c>
      <c r="O98" s="143"/>
      <c r="P98" s="143"/>
      <c r="Q98" s="143"/>
      <c r="R98" s="143">
        <f t="shared" si="49"/>
        <v>0</v>
      </c>
      <c r="S98" s="143">
        <f t="shared" si="47"/>
        <v>0</v>
      </c>
      <c r="T98" s="143">
        <f t="shared" si="47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0.80789444444444436</v>
      </c>
      <c r="M99" s="263">
        <f t="shared" ref="M99:N99" si="51">AVERAGE(M94:M98)</f>
        <v>0.67666111111111105</v>
      </c>
      <c r="N99" s="263">
        <f t="shared" si="51"/>
        <v>8.6633166666666668</v>
      </c>
      <c r="O99" s="263"/>
      <c r="P99" s="263"/>
      <c r="Q99" s="263"/>
      <c r="R99" s="263">
        <f>AVERAGE(R94:R98)</f>
        <v>7.0383333333333339E-2</v>
      </c>
      <c r="S99" s="263">
        <f t="shared" ref="S99:T99" si="52">AVERAGE(S94:S98)</f>
        <v>0.17866666666666667</v>
      </c>
      <c r="T99" s="263">
        <f t="shared" si="52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C13" zoomScale="115" zoomScaleNormal="115" workbookViewId="0">
      <selection activeCell="R25" sqref="R25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910" t="s">
        <v>71</v>
      </c>
      <c r="C3" s="910" t="s">
        <v>292</v>
      </c>
      <c r="D3" s="910" t="s">
        <v>293</v>
      </c>
      <c r="E3" s="235" t="s">
        <v>296</v>
      </c>
      <c r="F3" s="235" t="s">
        <v>297</v>
      </c>
      <c r="G3" s="912" t="s">
        <v>253</v>
      </c>
      <c r="H3" s="913"/>
      <c r="I3" s="913"/>
      <c r="J3" s="914"/>
      <c r="K3" s="903" t="s">
        <v>260</v>
      </c>
    </row>
    <row r="4" spans="2:20" x14ac:dyDescent="0.3">
      <c r="B4" s="918"/>
      <c r="C4" s="918"/>
      <c r="D4" s="918"/>
      <c r="E4" s="236" t="s">
        <v>55</v>
      </c>
      <c r="F4" s="236" t="s">
        <v>298</v>
      </c>
      <c r="G4" s="912" t="s">
        <v>266</v>
      </c>
      <c r="H4" s="913"/>
      <c r="I4" s="914"/>
      <c r="J4" s="140" t="s">
        <v>259</v>
      </c>
      <c r="K4" s="903"/>
      <c r="O4" s="17" t="s">
        <v>492</v>
      </c>
      <c r="P4" s="17" t="s">
        <v>260</v>
      </c>
      <c r="Q4" s="481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911"/>
      <c r="C5" s="911"/>
      <c r="D5" s="911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903"/>
      <c r="O5" s="545" t="s">
        <v>493</v>
      </c>
      <c r="P5" s="545">
        <v>1</v>
      </c>
      <c r="Q5" s="736">
        <v>46268</v>
      </c>
      <c r="R5" s="545">
        <v>7.8E-2</v>
      </c>
      <c r="S5" s="545">
        <v>0.6</v>
      </c>
      <c r="T5" s="545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5" t="s">
        <v>494</v>
      </c>
      <c r="P6" s="545">
        <v>1</v>
      </c>
      <c r="Q6" s="736">
        <v>46268</v>
      </c>
      <c r="R6" s="545">
        <v>0.38</v>
      </c>
      <c r="S6" s="545">
        <v>0.59</v>
      </c>
      <c r="T6" s="545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2">
        <v>2.9000000000000001E-2</v>
      </c>
      <c r="K7" s="16">
        <v>2</v>
      </c>
      <c r="O7" s="545" t="s">
        <v>495</v>
      </c>
      <c r="P7" s="545">
        <v>1</v>
      </c>
      <c r="Q7" s="736">
        <v>46268</v>
      </c>
      <c r="R7" s="545">
        <v>3.7999999999999999E-2</v>
      </c>
      <c r="S7" s="545">
        <v>0.61</v>
      </c>
      <c r="T7" s="545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5" t="s">
        <v>496</v>
      </c>
      <c r="P8" s="545">
        <v>1</v>
      </c>
      <c r="Q8" s="736">
        <v>46268</v>
      </c>
      <c r="R8" s="545">
        <v>6.9000000000000006E-2</v>
      </c>
      <c r="S8" s="545">
        <v>0.67</v>
      </c>
      <c r="T8" s="545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6">
        <f>AVERAGE(R19:R21)</f>
        <v>8.5000000000000006E-2</v>
      </c>
      <c r="H9" s="16">
        <f>AVERAGE(S19:S21)</f>
        <v>0.24</v>
      </c>
      <c r="I9" s="143">
        <f>AVERAGE(T19:T21)</f>
        <v>5.1633333333333331</v>
      </c>
      <c r="J9" s="16">
        <v>7.1999999999999995E-2</v>
      </c>
      <c r="K9" s="16"/>
      <c r="O9" s="550" t="s">
        <v>493</v>
      </c>
      <c r="P9" s="550">
        <v>2</v>
      </c>
      <c r="Q9" s="737">
        <v>46269</v>
      </c>
      <c r="R9" s="550">
        <v>3.4000000000000002E-2</v>
      </c>
      <c r="S9" s="550">
        <v>0.26</v>
      </c>
      <c r="T9" s="550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50" t="s">
        <v>494</v>
      </c>
      <c r="P10" s="550">
        <v>2</v>
      </c>
      <c r="Q10" s="737">
        <v>46269</v>
      </c>
      <c r="R10" s="550">
        <v>7.9000000000000001E-2</v>
      </c>
      <c r="S10" s="550">
        <v>0.25</v>
      </c>
      <c r="T10" s="550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50" t="s">
        <v>495</v>
      </c>
      <c r="P11" s="550">
        <v>2</v>
      </c>
      <c r="Q11" s="737">
        <v>46269</v>
      </c>
      <c r="R11" s="550">
        <v>3.6999999999999998E-2</v>
      </c>
      <c r="S11" s="550">
        <v>0.25</v>
      </c>
      <c r="T11" s="550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50" t="s">
        <v>496</v>
      </c>
      <c r="P12" s="550">
        <v>2</v>
      </c>
      <c r="Q12" s="737">
        <v>46269</v>
      </c>
      <c r="R12" s="550">
        <v>7.2999999999999995E-2</v>
      </c>
      <c r="S12" s="550">
        <v>0.24</v>
      </c>
      <c r="T12" s="550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5" t="s">
        <v>546</v>
      </c>
      <c r="P13" s="545">
        <v>3</v>
      </c>
      <c r="Q13" s="736">
        <v>46274</v>
      </c>
      <c r="R13" s="545">
        <v>0.11700000000000001</v>
      </c>
      <c r="S13" s="545">
        <v>0.31</v>
      </c>
      <c r="T13" s="545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5" t="s">
        <v>547</v>
      </c>
      <c r="P14" s="545">
        <v>3</v>
      </c>
      <c r="Q14" s="736">
        <v>46274</v>
      </c>
      <c r="R14" s="545">
        <v>0.16500000000000001</v>
      </c>
      <c r="S14" s="545">
        <v>0.36</v>
      </c>
      <c r="T14" s="545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5" t="s">
        <v>548</v>
      </c>
      <c r="P15" s="545">
        <v>3</v>
      </c>
      <c r="Q15" s="736">
        <v>46274</v>
      </c>
      <c r="R15" s="545">
        <v>0.13</v>
      </c>
      <c r="S15" s="545">
        <v>0.31</v>
      </c>
      <c r="T15" s="545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5" t="s">
        <v>493</v>
      </c>
      <c r="P16" s="545">
        <v>3</v>
      </c>
      <c r="Q16" s="736">
        <v>46274</v>
      </c>
      <c r="R16" s="545">
        <v>8.3000000000000004E-2</v>
      </c>
      <c r="S16" s="545">
        <v>0.15</v>
      </c>
      <c r="T16" s="545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5" t="s">
        <v>494</v>
      </c>
      <c r="P17" s="545">
        <v>3</v>
      </c>
      <c r="Q17" s="736">
        <v>46274</v>
      </c>
      <c r="R17" s="545">
        <v>4.2000000000000003E-2</v>
      </c>
      <c r="S17" s="545">
        <v>0.13</v>
      </c>
      <c r="T17" s="545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5" t="s">
        <v>495</v>
      </c>
      <c r="P18" s="545">
        <v>3</v>
      </c>
      <c r="Q18" s="736">
        <v>46274</v>
      </c>
      <c r="R18" s="545">
        <v>5.1999999999999998E-2</v>
      </c>
      <c r="S18" s="545">
        <v>0.14000000000000001</v>
      </c>
      <c r="T18" s="545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550" t="s">
        <v>493</v>
      </c>
      <c r="P19" s="550">
        <v>4</v>
      </c>
      <c r="Q19" s="737">
        <v>46275</v>
      </c>
      <c r="R19" s="550">
        <v>6.4000000000000001E-2</v>
      </c>
      <c r="S19" s="550">
        <v>0.22</v>
      </c>
      <c r="T19" s="550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550" t="s">
        <v>494</v>
      </c>
      <c r="P20" s="550">
        <v>4</v>
      </c>
      <c r="Q20" s="737">
        <v>46275</v>
      </c>
      <c r="R20" s="550">
        <v>9.5000000000000001E-2</v>
      </c>
      <c r="S20" s="550">
        <v>0.25</v>
      </c>
      <c r="T20" s="550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550" t="s">
        <v>495</v>
      </c>
      <c r="P21" s="550">
        <v>4</v>
      </c>
      <c r="Q21" s="737">
        <v>46275</v>
      </c>
      <c r="R21" s="550">
        <v>9.6000000000000002E-2</v>
      </c>
      <c r="S21" s="550">
        <v>0.25</v>
      </c>
      <c r="T21" s="550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6"/>
      <c r="P22" s="6"/>
      <c r="Q22" s="6"/>
      <c r="R22" s="6"/>
      <c r="S22" s="6"/>
      <c r="T22" s="6"/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6"/>
      <c r="P23" s="6"/>
      <c r="Q23" s="6"/>
      <c r="R23" s="6"/>
      <c r="S23" s="6"/>
      <c r="T23" s="6"/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6"/>
      <c r="P24" s="6"/>
      <c r="Q24" s="6"/>
      <c r="R24" s="6"/>
      <c r="S24" s="6"/>
      <c r="T24" s="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51" t="s">
        <v>271</v>
      </c>
      <c r="B3" s="883"/>
      <c r="C3" s="883"/>
      <c r="D3" s="883"/>
      <c r="E3" s="883"/>
      <c r="F3" s="883"/>
      <c r="G3" s="752"/>
      <c r="I3" s="1">
        <f>I2/2</f>
        <v>720</v>
      </c>
    </row>
    <row r="4" spans="1:14" ht="15" thickBot="1" x14ac:dyDescent="0.35">
      <c r="A4" s="884" t="s">
        <v>1</v>
      </c>
      <c r="B4" s="885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2">
        <v>46268</v>
      </c>
      <c r="B5" s="879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2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2">
        <v>46269</v>
      </c>
      <c r="B6" s="879"/>
      <c r="C6" s="171"/>
      <c r="D6" s="64">
        <v>6.9444444444444447E-4</v>
      </c>
      <c r="E6" s="64">
        <v>2.9166666666666667E-2</v>
      </c>
      <c r="F6" s="65">
        <f>(E6-D6)*720</f>
        <v>20.5</v>
      </c>
      <c r="G6" s="493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2">
        <v>46270</v>
      </c>
      <c r="B7" s="879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2">
        <v>46271</v>
      </c>
      <c r="B8" s="879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2">
        <v>46272</v>
      </c>
      <c r="B9" s="879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2">
        <v>46273</v>
      </c>
      <c r="B10" s="879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2">
        <v>46274</v>
      </c>
      <c r="B11" s="879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2">
        <v>46275</v>
      </c>
      <c r="B12" s="879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2">
        <v>46276</v>
      </c>
      <c r="B13" s="879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2">
        <v>46277</v>
      </c>
      <c r="B14" s="879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2">
        <v>46278</v>
      </c>
      <c r="B15" s="879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2">
        <v>46279</v>
      </c>
      <c r="B16" s="879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2">
        <v>46280</v>
      </c>
      <c r="B17" s="879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2">
        <v>46281</v>
      </c>
      <c r="B18" s="879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2">
        <v>46282</v>
      </c>
      <c r="B19" s="879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2">
        <v>46283</v>
      </c>
      <c r="B20" s="879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2">
        <v>46284</v>
      </c>
      <c r="B21" s="879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2">
        <v>46285</v>
      </c>
      <c r="B22" s="879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2">
        <v>46286</v>
      </c>
      <c r="B23" s="879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2">
        <v>46287</v>
      </c>
      <c r="B24" s="879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2">
        <v>46288</v>
      </c>
      <c r="B25" s="879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2">
        <v>46289</v>
      </c>
      <c r="B26" s="879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2">
        <v>46290</v>
      </c>
      <c r="B27" s="879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2">
        <v>46291</v>
      </c>
      <c r="B28" s="879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2">
        <v>46292</v>
      </c>
      <c r="B29" s="879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2">
        <v>46293</v>
      </c>
      <c r="B30" s="879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2">
        <v>46294</v>
      </c>
      <c r="B31" s="879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2">
        <v>46295</v>
      </c>
      <c r="B32" s="879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2">
        <v>46296</v>
      </c>
      <c r="B33" s="879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2">
        <v>46297</v>
      </c>
      <c r="B34" s="879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2">
        <v>46298</v>
      </c>
      <c r="B35" s="879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2">
        <v>46299</v>
      </c>
      <c r="B36" s="879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2">
        <v>46300</v>
      </c>
      <c r="B37" s="879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2">
        <v>46301</v>
      </c>
      <c r="B38" s="879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2">
        <v>46302</v>
      </c>
      <c r="B39" s="879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2">
        <v>46303</v>
      </c>
      <c r="B40" s="879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2">
        <v>46304</v>
      </c>
      <c r="B41" s="879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2">
        <v>46305</v>
      </c>
      <c r="B42" s="879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2">
        <v>46306</v>
      </c>
      <c r="B43" s="879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2">
        <v>46307</v>
      </c>
      <c r="B44" s="879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2">
        <v>46308</v>
      </c>
      <c r="B45" s="879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2">
        <v>46309</v>
      </c>
      <c r="B46" s="879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2">
        <v>46310</v>
      </c>
      <c r="B47" s="879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2">
        <v>46311</v>
      </c>
      <c r="B48" s="879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2">
        <v>46312</v>
      </c>
      <c r="B49" s="879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2">
        <v>46313</v>
      </c>
      <c r="B50" s="879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2">
        <v>46314</v>
      </c>
      <c r="B51" s="879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2">
        <v>46315</v>
      </c>
      <c r="B52" s="879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2">
        <v>46316</v>
      </c>
      <c r="B53" s="879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2">
        <v>46317</v>
      </c>
      <c r="B54" s="879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2">
        <v>46318</v>
      </c>
      <c r="B55" s="879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2">
        <v>46319</v>
      </c>
      <c r="B56" s="879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2">
        <v>46320</v>
      </c>
      <c r="B57" s="879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2">
        <v>46321</v>
      </c>
      <c r="B58" s="879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2">
        <v>46322</v>
      </c>
      <c r="B59" s="879"/>
      <c r="C59" s="68"/>
      <c r="D59" s="71"/>
      <c r="E59" s="71"/>
      <c r="F59" s="65">
        <f t="shared" si="5"/>
        <v>0</v>
      </c>
      <c r="G59" s="69"/>
    </row>
    <row r="60" spans="1:18" x14ac:dyDescent="0.3">
      <c r="A60" s="922">
        <v>46323</v>
      </c>
      <c r="B60" s="879"/>
      <c r="C60" s="68"/>
      <c r="D60" s="71"/>
      <c r="E60" s="71"/>
      <c r="F60" s="65">
        <f t="shared" si="5"/>
        <v>0</v>
      </c>
      <c r="G60" s="69"/>
    </row>
    <row r="61" spans="1:18" x14ac:dyDescent="0.3">
      <c r="A61" s="922">
        <v>46324</v>
      </c>
      <c r="B61" s="879"/>
      <c r="C61" s="68"/>
      <c r="D61" s="71"/>
      <c r="E61" s="71"/>
      <c r="F61" s="65">
        <f t="shared" si="5"/>
        <v>0</v>
      </c>
      <c r="G61" s="69"/>
    </row>
    <row r="62" spans="1:18" x14ac:dyDescent="0.3">
      <c r="A62" s="922">
        <v>46325</v>
      </c>
      <c r="B62" s="879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23" t="s">
        <v>486</v>
      </c>
      <c r="R4" s="924"/>
      <c r="S4" s="924"/>
      <c r="T4" s="925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80" t="s">
        <v>482</v>
      </c>
      <c r="Q5" s="926"/>
      <c r="R5" s="927"/>
      <c r="S5" s="927"/>
      <c r="T5" s="928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80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80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49" t="s">
        <v>1</v>
      </c>
      <c r="B4" s="951" t="s">
        <v>51</v>
      </c>
      <c r="C4" s="951"/>
      <c r="D4" s="951"/>
      <c r="E4" s="951"/>
      <c r="F4" s="105"/>
      <c r="G4" s="58"/>
      <c r="H4" s="58"/>
      <c r="I4" s="110"/>
      <c r="J4" s="110"/>
      <c r="K4" s="110"/>
      <c r="L4" s="937" t="s">
        <v>240</v>
      </c>
      <c r="M4" s="935"/>
      <c r="N4" s="936"/>
      <c r="O4" s="937" t="s">
        <v>236</v>
      </c>
      <c r="P4" s="935"/>
      <c r="Q4" s="936"/>
      <c r="R4" s="937" t="s">
        <v>237</v>
      </c>
      <c r="S4" s="935"/>
      <c r="T4" s="936"/>
      <c r="U4" s="937" t="s">
        <v>238</v>
      </c>
      <c r="V4" s="935"/>
      <c r="W4" s="936"/>
      <c r="X4" s="937" t="s">
        <v>239</v>
      </c>
      <c r="Y4" s="935"/>
      <c r="Z4" s="936"/>
      <c r="AA4" s="937" t="s">
        <v>52</v>
      </c>
      <c r="AB4" s="935"/>
      <c r="AC4" s="936"/>
      <c r="AD4" s="937" t="s">
        <v>53</v>
      </c>
      <c r="AE4" s="935"/>
      <c r="AF4" s="936"/>
      <c r="AG4" s="929">
        <v>0.83333333333333337</v>
      </c>
      <c r="AH4" s="935"/>
      <c r="AI4" s="936"/>
      <c r="AJ4" s="929">
        <v>0.91666666666666663</v>
      </c>
      <c r="AK4" s="930"/>
      <c r="AL4" s="931"/>
      <c r="AM4" s="932">
        <v>0</v>
      </c>
      <c r="AN4" s="933"/>
      <c r="AO4" s="934"/>
      <c r="AP4" s="929">
        <v>8.3333333333333329E-2</v>
      </c>
      <c r="AQ4" s="930"/>
      <c r="AR4" s="931"/>
      <c r="AS4" s="929">
        <v>0.16666666666666666</v>
      </c>
      <c r="AT4" s="930"/>
      <c r="AU4" s="931"/>
      <c r="AV4" s="63" t="s">
        <v>54</v>
      </c>
      <c r="AW4" s="48"/>
    </row>
    <row r="5" spans="1:49" x14ac:dyDescent="0.3">
      <c r="A5" s="949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5">
        <v>46147</v>
      </c>
      <c r="B6" s="950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64" t="s">
        <v>232</v>
      </c>
      <c r="AW6" s="965"/>
    </row>
    <row r="7" spans="1:49" x14ac:dyDescent="0.3">
      <c r="A7" s="955"/>
      <c r="B7" s="939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64"/>
      <c r="AW7" s="966"/>
    </row>
    <row r="8" spans="1:49" x14ac:dyDescent="0.3">
      <c r="A8" s="955"/>
      <c r="B8" s="939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64"/>
      <c r="AW8" s="966"/>
    </row>
    <row r="9" spans="1:49" ht="15" thickBot="1" x14ac:dyDescent="0.35">
      <c r="A9" s="950"/>
      <c r="B9" s="939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65"/>
      <c r="AW9" s="967"/>
    </row>
    <row r="10" spans="1:49" x14ac:dyDescent="0.3">
      <c r="A10" s="952">
        <v>46148</v>
      </c>
      <c r="B10" s="938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68" t="s">
        <v>241</v>
      </c>
      <c r="AW10" s="971" t="s">
        <v>231</v>
      </c>
    </row>
    <row r="11" spans="1:49" x14ac:dyDescent="0.3">
      <c r="A11" s="953"/>
      <c r="B11" s="939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69"/>
      <c r="AW11" s="972"/>
    </row>
    <row r="12" spans="1:49" x14ac:dyDescent="0.3">
      <c r="A12" s="953"/>
      <c r="B12" s="939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69"/>
      <c r="AW12" s="972"/>
    </row>
    <row r="13" spans="1:49" ht="15" thickBot="1" x14ac:dyDescent="0.35">
      <c r="A13" s="954"/>
      <c r="B13" s="939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70"/>
      <c r="AW13" s="973"/>
    </row>
    <row r="14" spans="1:49" ht="15" thickBot="1" x14ac:dyDescent="0.35">
      <c r="A14" s="952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68" t="s">
        <v>242</v>
      </c>
      <c r="AW14" s="974"/>
    </row>
    <row r="15" spans="1:49" x14ac:dyDescent="0.3">
      <c r="A15" s="953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69"/>
      <c r="AW15" s="975"/>
    </row>
    <row r="16" spans="1:49" x14ac:dyDescent="0.3">
      <c r="A16" s="953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69"/>
      <c r="AW16" s="975"/>
    </row>
    <row r="17" spans="1:49" ht="15" thickBot="1" x14ac:dyDescent="0.35">
      <c r="A17" s="954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69"/>
      <c r="AW17" s="976"/>
    </row>
    <row r="18" spans="1:49" x14ac:dyDescent="0.3">
      <c r="A18" s="956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63"/>
    </row>
    <row r="19" spans="1:49" x14ac:dyDescent="0.3">
      <c r="A19" s="955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62"/>
    </row>
    <row r="20" spans="1:49" x14ac:dyDescent="0.3">
      <c r="A20" s="955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62"/>
    </row>
    <row r="21" spans="1:49" x14ac:dyDescent="0.3">
      <c r="A21" s="955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62"/>
    </row>
    <row r="22" spans="1:49" x14ac:dyDescent="0.3">
      <c r="A22" s="955">
        <v>46151</v>
      </c>
      <c r="B22" s="55"/>
      <c r="C22" s="53"/>
      <c r="D22" s="940"/>
      <c r="E22" s="946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62"/>
    </row>
    <row r="23" spans="1:49" x14ac:dyDescent="0.3">
      <c r="A23" s="955"/>
      <c r="B23" s="56"/>
      <c r="C23" s="53"/>
      <c r="D23" s="941"/>
      <c r="E23" s="947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62"/>
    </row>
    <row r="24" spans="1:49" x14ac:dyDescent="0.3">
      <c r="A24" s="955"/>
      <c r="B24" s="56"/>
      <c r="C24" s="53"/>
      <c r="D24" s="941"/>
      <c r="E24" s="947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62"/>
    </row>
    <row r="25" spans="1:49" ht="15" thickBot="1" x14ac:dyDescent="0.35">
      <c r="A25" s="955"/>
      <c r="B25" s="57"/>
      <c r="C25" s="53"/>
      <c r="D25" s="942"/>
      <c r="E25" s="948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60"/>
    </row>
    <row r="26" spans="1:49" x14ac:dyDescent="0.3">
      <c r="A26" s="955">
        <v>46152</v>
      </c>
      <c r="B26" s="55"/>
      <c r="C26" s="53"/>
      <c r="D26" s="940"/>
      <c r="E26" s="946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63"/>
      <c r="AW26" s="963"/>
    </row>
    <row r="27" spans="1:49" x14ac:dyDescent="0.3">
      <c r="A27" s="955"/>
      <c r="B27" s="56"/>
      <c r="C27" s="53"/>
      <c r="D27" s="941"/>
      <c r="E27" s="947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62"/>
      <c r="AW27" s="962"/>
    </row>
    <row r="28" spans="1:49" x14ac:dyDescent="0.3">
      <c r="A28" s="955"/>
      <c r="B28" s="56"/>
      <c r="C28" s="53"/>
      <c r="D28" s="941"/>
      <c r="E28" s="947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62"/>
      <c r="AW28" s="962"/>
    </row>
    <row r="29" spans="1:49" x14ac:dyDescent="0.3">
      <c r="A29" s="955"/>
      <c r="B29" s="57"/>
      <c r="C29" s="53"/>
      <c r="D29" s="942"/>
      <c r="E29" s="948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62"/>
      <c r="AW29" s="962"/>
    </row>
    <row r="30" spans="1:49" x14ac:dyDescent="0.3">
      <c r="A30" s="955">
        <v>46153</v>
      </c>
      <c r="B30" s="55"/>
      <c r="C30" s="53"/>
      <c r="D30" s="940"/>
      <c r="E30" s="946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62"/>
      <c r="AW30" s="962"/>
    </row>
    <row r="31" spans="1:49" x14ac:dyDescent="0.3">
      <c r="A31" s="955"/>
      <c r="B31" s="56"/>
      <c r="C31" s="53"/>
      <c r="D31" s="941"/>
      <c r="E31" s="947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62"/>
      <c r="AW31" s="962"/>
    </row>
    <row r="32" spans="1:49" x14ac:dyDescent="0.3">
      <c r="A32" s="955"/>
      <c r="B32" s="56"/>
      <c r="C32" s="53"/>
      <c r="D32" s="941"/>
      <c r="E32" s="947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62"/>
      <c r="AW32" s="962"/>
    </row>
    <row r="33" spans="1:49" x14ac:dyDescent="0.3">
      <c r="A33" s="955"/>
      <c r="B33" s="57"/>
      <c r="C33" s="53"/>
      <c r="D33" s="942"/>
      <c r="E33" s="948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60"/>
      <c r="AW33" s="960"/>
    </row>
    <row r="34" spans="1:49" x14ac:dyDescent="0.3">
      <c r="A34" s="955">
        <v>46154</v>
      </c>
      <c r="B34" s="55"/>
      <c r="C34" s="53"/>
      <c r="D34" s="940"/>
      <c r="E34" s="946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63"/>
      <c r="AW34" s="963"/>
    </row>
    <row r="35" spans="1:49" x14ac:dyDescent="0.3">
      <c r="A35" s="955"/>
      <c r="B35" s="56"/>
      <c r="C35" s="53"/>
      <c r="D35" s="941"/>
      <c r="E35" s="947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62"/>
      <c r="AW35" s="962"/>
    </row>
    <row r="36" spans="1:49" x14ac:dyDescent="0.3">
      <c r="A36" s="955"/>
      <c r="B36" s="56"/>
      <c r="C36" s="53"/>
      <c r="D36" s="941"/>
      <c r="E36" s="947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62"/>
      <c r="AW36" s="962"/>
    </row>
    <row r="37" spans="1:49" x14ac:dyDescent="0.3">
      <c r="A37" s="955"/>
      <c r="B37" s="57"/>
      <c r="C37" s="53"/>
      <c r="D37" s="942"/>
      <c r="E37" s="948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62"/>
      <c r="AW37" s="962"/>
    </row>
    <row r="38" spans="1:49" x14ac:dyDescent="0.3">
      <c r="A38" s="955">
        <v>46155</v>
      </c>
      <c r="B38" s="55"/>
      <c r="C38" s="53"/>
      <c r="D38" s="940"/>
      <c r="E38" s="946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62"/>
      <c r="AW38" s="962"/>
    </row>
    <row r="39" spans="1:49" x14ac:dyDescent="0.3">
      <c r="A39" s="955"/>
      <c r="B39" s="56"/>
      <c r="C39" s="53"/>
      <c r="D39" s="941"/>
      <c r="E39" s="947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62"/>
      <c r="AW39" s="962"/>
    </row>
    <row r="40" spans="1:49" x14ac:dyDescent="0.3">
      <c r="A40" s="955"/>
      <c r="B40" s="56"/>
      <c r="C40" s="53"/>
      <c r="D40" s="941"/>
      <c r="E40" s="947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62"/>
      <c r="AW40" s="962"/>
    </row>
    <row r="41" spans="1:49" x14ac:dyDescent="0.3">
      <c r="A41" s="955"/>
      <c r="B41" s="57"/>
      <c r="C41" s="53"/>
      <c r="D41" s="942"/>
      <c r="E41" s="948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60"/>
      <c r="AW41" s="960"/>
    </row>
    <row r="42" spans="1:49" x14ac:dyDescent="0.3">
      <c r="A42" s="955">
        <v>46156</v>
      </c>
      <c r="B42" s="55"/>
      <c r="C42" s="53"/>
      <c r="D42" s="940"/>
      <c r="E42" s="946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63"/>
      <c r="AW42" s="963"/>
    </row>
    <row r="43" spans="1:49" x14ac:dyDescent="0.3">
      <c r="A43" s="955"/>
      <c r="B43" s="56"/>
      <c r="C43" s="53"/>
      <c r="D43" s="941"/>
      <c r="E43" s="947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62"/>
      <c r="AW43" s="962"/>
    </row>
    <row r="44" spans="1:49" x14ac:dyDescent="0.3">
      <c r="A44" s="955"/>
      <c r="B44" s="56"/>
      <c r="C44" s="53"/>
      <c r="D44" s="941"/>
      <c r="E44" s="947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62"/>
      <c r="AW44" s="962"/>
    </row>
    <row r="45" spans="1:49" x14ac:dyDescent="0.3">
      <c r="A45" s="955"/>
      <c r="B45" s="57"/>
      <c r="C45" s="53"/>
      <c r="D45" s="942"/>
      <c r="E45" s="948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62"/>
      <c r="AW45" s="962"/>
    </row>
    <row r="46" spans="1:49" x14ac:dyDescent="0.3">
      <c r="A46" s="955">
        <v>46157</v>
      </c>
      <c r="B46" s="55"/>
      <c r="C46" s="53"/>
      <c r="D46" s="943" t="s">
        <v>158</v>
      </c>
      <c r="E46" s="946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62"/>
      <c r="AW46" s="962"/>
    </row>
    <row r="47" spans="1:49" x14ac:dyDescent="0.3">
      <c r="A47" s="955"/>
      <c r="B47" s="56"/>
      <c r="C47" s="53"/>
      <c r="D47" s="944"/>
      <c r="E47" s="947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62"/>
      <c r="AW47" s="962"/>
    </row>
    <row r="48" spans="1:49" x14ac:dyDescent="0.3">
      <c r="A48" s="955"/>
      <c r="B48" s="56"/>
      <c r="C48" s="53"/>
      <c r="D48" s="944"/>
      <c r="E48" s="947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62"/>
      <c r="AW48" s="962"/>
    </row>
    <row r="49" spans="1:49" x14ac:dyDescent="0.3">
      <c r="A49" s="955"/>
      <c r="B49" s="57"/>
      <c r="C49" s="53"/>
      <c r="D49" s="945"/>
      <c r="E49" s="948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60"/>
      <c r="AW49" s="960"/>
    </row>
    <row r="50" spans="1:49" x14ac:dyDescent="0.3">
      <c r="A50" s="955">
        <v>46158</v>
      </c>
      <c r="B50" s="55"/>
      <c r="C50" s="53"/>
      <c r="D50" s="940"/>
      <c r="E50" s="946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63"/>
      <c r="AW50" s="963"/>
    </row>
    <row r="51" spans="1:49" x14ac:dyDescent="0.3">
      <c r="A51" s="955"/>
      <c r="B51" s="56"/>
      <c r="C51" s="53"/>
      <c r="D51" s="941"/>
      <c r="E51" s="947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62"/>
      <c r="AW51" s="962"/>
    </row>
    <row r="52" spans="1:49" x14ac:dyDescent="0.3">
      <c r="A52" s="955"/>
      <c r="B52" s="56"/>
      <c r="C52" s="53"/>
      <c r="D52" s="941"/>
      <c r="E52" s="947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62"/>
      <c r="AW52" s="962"/>
    </row>
    <row r="53" spans="1:49" x14ac:dyDescent="0.3">
      <c r="A53" s="955"/>
      <c r="B53" s="57"/>
      <c r="C53" s="53"/>
      <c r="D53" s="942"/>
      <c r="E53" s="948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62"/>
      <c r="AW53" s="962"/>
    </row>
    <row r="54" spans="1:49" x14ac:dyDescent="0.3">
      <c r="A54" s="955">
        <v>46159</v>
      </c>
      <c r="B54" s="55"/>
      <c r="C54" s="53"/>
      <c r="D54" s="103"/>
      <c r="E54" s="957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62"/>
      <c r="AW54" s="962"/>
    </row>
    <row r="55" spans="1:49" x14ac:dyDescent="0.3">
      <c r="A55" s="955"/>
      <c r="B55" s="56"/>
      <c r="C55" s="53"/>
      <c r="D55" s="103"/>
      <c r="E55" s="958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62"/>
      <c r="AW55" s="962"/>
    </row>
    <row r="56" spans="1:49" x14ac:dyDescent="0.3">
      <c r="A56" s="955"/>
      <c r="B56" s="56"/>
      <c r="C56" s="53"/>
      <c r="D56" s="103"/>
      <c r="E56" s="958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62"/>
      <c r="AW56" s="962"/>
    </row>
    <row r="57" spans="1:49" x14ac:dyDescent="0.3">
      <c r="A57" s="955"/>
      <c r="B57" s="57"/>
      <c r="C57" s="53"/>
      <c r="D57" s="103"/>
      <c r="E57" s="959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60"/>
      <c r="AW57" s="960"/>
    </row>
    <row r="58" spans="1:49" x14ac:dyDescent="0.3">
      <c r="A58" s="955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63"/>
      <c r="AW58" s="963"/>
    </row>
    <row r="59" spans="1:49" x14ac:dyDescent="0.3">
      <c r="A59" s="955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62"/>
      <c r="AW59" s="962"/>
    </row>
    <row r="60" spans="1:49" x14ac:dyDescent="0.3">
      <c r="A60" s="955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62"/>
      <c r="AW60" s="962"/>
    </row>
    <row r="61" spans="1:49" x14ac:dyDescent="0.3">
      <c r="A61" s="955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62"/>
      <c r="AW61" s="962"/>
    </row>
    <row r="62" spans="1:49" x14ac:dyDescent="0.3">
      <c r="A62" s="955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62"/>
      <c r="AW62" s="962"/>
    </row>
    <row r="63" spans="1:49" x14ac:dyDescent="0.3">
      <c r="A63" s="955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62"/>
      <c r="AW63" s="962"/>
    </row>
    <row r="64" spans="1:49" x14ac:dyDescent="0.3">
      <c r="A64" s="955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62"/>
      <c r="AW64" s="962"/>
    </row>
    <row r="65" spans="1:49" x14ac:dyDescent="0.3">
      <c r="A65" s="955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60"/>
      <c r="AW65" s="960"/>
    </row>
    <row r="66" spans="1:49" x14ac:dyDescent="0.3">
      <c r="A66" s="955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63"/>
      <c r="AW66" s="963"/>
    </row>
    <row r="67" spans="1:49" x14ac:dyDescent="0.3">
      <c r="A67" s="955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62"/>
      <c r="AW67" s="962"/>
    </row>
    <row r="68" spans="1:49" x14ac:dyDescent="0.3">
      <c r="A68" s="955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62"/>
      <c r="AW68" s="962"/>
    </row>
    <row r="69" spans="1:49" x14ac:dyDescent="0.3">
      <c r="A69" s="955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62"/>
      <c r="AW69" s="962"/>
    </row>
    <row r="70" spans="1:49" x14ac:dyDescent="0.3">
      <c r="A70" s="955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62"/>
      <c r="AW70" s="962"/>
    </row>
    <row r="71" spans="1:49" x14ac:dyDescent="0.3">
      <c r="A71" s="955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62"/>
      <c r="AW71" s="962"/>
    </row>
    <row r="72" spans="1:49" x14ac:dyDescent="0.3">
      <c r="A72" s="955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62"/>
      <c r="AW72" s="962"/>
    </row>
    <row r="73" spans="1:49" x14ac:dyDescent="0.3">
      <c r="A73" s="955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60"/>
      <c r="AW73" s="960"/>
    </row>
    <row r="74" spans="1:49" x14ac:dyDescent="0.3">
      <c r="A74" s="955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63"/>
      <c r="AW74" s="963"/>
    </row>
    <row r="75" spans="1:49" x14ac:dyDescent="0.3">
      <c r="A75" s="955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62"/>
      <c r="AW75" s="962"/>
    </row>
    <row r="76" spans="1:49" x14ac:dyDescent="0.3">
      <c r="A76" s="955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62"/>
      <c r="AW76" s="962"/>
    </row>
    <row r="77" spans="1:49" x14ac:dyDescent="0.3">
      <c r="A77" s="955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62"/>
      <c r="AW77" s="962"/>
    </row>
    <row r="78" spans="1:49" x14ac:dyDescent="0.3">
      <c r="A78" s="955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62"/>
      <c r="AW78" s="962"/>
    </row>
    <row r="79" spans="1:49" x14ac:dyDescent="0.3">
      <c r="A79" s="955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62"/>
      <c r="AW79" s="962"/>
    </row>
    <row r="80" spans="1:49" x14ac:dyDescent="0.3">
      <c r="A80" s="955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62"/>
      <c r="AW80" s="962"/>
    </row>
    <row r="81" spans="1:49" x14ac:dyDescent="0.3">
      <c r="A81" s="955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60"/>
      <c r="AW81" s="960"/>
    </row>
    <row r="82" spans="1:49" x14ac:dyDescent="0.3">
      <c r="A82" s="955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63"/>
      <c r="AW82" s="963"/>
    </row>
    <row r="83" spans="1:49" x14ac:dyDescent="0.3">
      <c r="A83" s="955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62"/>
      <c r="AW83" s="962"/>
    </row>
    <row r="84" spans="1:49" x14ac:dyDescent="0.3">
      <c r="A84" s="955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62"/>
      <c r="AW84" s="962"/>
    </row>
    <row r="85" spans="1:49" x14ac:dyDescent="0.3">
      <c r="A85" s="955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62"/>
      <c r="AW85" s="962"/>
    </row>
    <row r="86" spans="1:49" x14ac:dyDescent="0.3">
      <c r="A86" s="955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62"/>
      <c r="AW86" s="962"/>
    </row>
    <row r="87" spans="1:49" x14ac:dyDescent="0.3">
      <c r="A87" s="955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62"/>
      <c r="AW87" s="962"/>
    </row>
    <row r="88" spans="1:49" x14ac:dyDescent="0.3">
      <c r="A88" s="955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62"/>
      <c r="AW88" s="962"/>
    </row>
    <row r="89" spans="1:49" x14ac:dyDescent="0.3">
      <c r="A89" s="955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60"/>
      <c r="AW89" s="960"/>
    </row>
    <row r="90" spans="1:49" x14ac:dyDescent="0.3">
      <c r="A90" s="955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63"/>
      <c r="AW90" s="963"/>
    </row>
    <row r="91" spans="1:49" x14ac:dyDescent="0.3">
      <c r="A91" s="955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62"/>
      <c r="AW91" s="962"/>
    </row>
    <row r="92" spans="1:49" x14ac:dyDescent="0.3">
      <c r="A92" s="955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62"/>
      <c r="AW92" s="962"/>
    </row>
    <row r="93" spans="1:49" x14ac:dyDescent="0.3">
      <c r="A93" s="955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62"/>
      <c r="AW93" s="962"/>
    </row>
    <row r="94" spans="1:49" x14ac:dyDescent="0.3">
      <c r="A94" s="955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62"/>
      <c r="AW94" s="962"/>
    </row>
    <row r="95" spans="1:49" x14ac:dyDescent="0.3">
      <c r="A95" s="955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62"/>
      <c r="AW95" s="962"/>
    </row>
    <row r="96" spans="1:49" x14ac:dyDescent="0.3">
      <c r="A96" s="955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62"/>
      <c r="AW96" s="962"/>
    </row>
    <row r="97" spans="1:49" x14ac:dyDescent="0.3">
      <c r="A97" s="955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60"/>
      <c r="AW97" s="960"/>
    </row>
    <row r="98" spans="1:49" x14ac:dyDescent="0.3">
      <c r="A98" s="955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63"/>
      <c r="AW98" s="963"/>
    </row>
    <row r="99" spans="1:49" x14ac:dyDescent="0.3">
      <c r="A99" s="955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62"/>
      <c r="AW99" s="962"/>
    </row>
    <row r="100" spans="1:49" x14ac:dyDescent="0.3">
      <c r="A100" s="955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62"/>
      <c r="AW100" s="962"/>
    </row>
    <row r="101" spans="1:49" x14ac:dyDescent="0.3">
      <c r="A101" s="955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62"/>
      <c r="AW101" s="962"/>
    </row>
    <row r="102" spans="1:49" x14ac:dyDescent="0.3">
      <c r="A102" s="955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62"/>
      <c r="AW102" s="962"/>
    </row>
    <row r="103" spans="1:49" x14ac:dyDescent="0.3">
      <c r="A103" s="955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62"/>
      <c r="AW103" s="962"/>
    </row>
    <row r="104" spans="1:49" x14ac:dyDescent="0.3">
      <c r="A104" s="955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62"/>
      <c r="AW104" s="962"/>
    </row>
    <row r="105" spans="1:49" x14ac:dyDescent="0.3">
      <c r="A105" s="955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60"/>
      <c r="AW105" s="960"/>
    </row>
    <row r="106" spans="1:49" x14ac:dyDescent="0.3">
      <c r="A106" s="955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63"/>
      <c r="AW106" s="963"/>
    </row>
    <row r="107" spans="1:49" x14ac:dyDescent="0.3">
      <c r="A107" s="955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62"/>
      <c r="AW107" s="962"/>
    </row>
    <row r="108" spans="1:49" x14ac:dyDescent="0.3">
      <c r="A108" s="955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62"/>
      <c r="AW108" s="962"/>
    </row>
    <row r="109" spans="1:49" x14ac:dyDescent="0.3">
      <c r="A109" s="955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62"/>
      <c r="AW109" s="962"/>
    </row>
    <row r="110" spans="1:49" x14ac:dyDescent="0.3">
      <c r="A110" s="955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62"/>
      <c r="AW110" s="962"/>
    </row>
    <row r="111" spans="1:49" x14ac:dyDescent="0.3">
      <c r="A111" s="955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62"/>
      <c r="AW111" s="962"/>
    </row>
    <row r="112" spans="1:49" x14ac:dyDescent="0.3">
      <c r="A112" s="955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62"/>
      <c r="AW112" s="962"/>
    </row>
    <row r="113" spans="1:49" x14ac:dyDescent="0.3">
      <c r="A113" s="955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60"/>
      <c r="AW113" s="960"/>
    </row>
    <row r="114" spans="1:49" x14ac:dyDescent="0.3">
      <c r="A114" s="955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63"/>
      <c r="AW114" s="963"/>
    </row>
    <row r="115" spans="1:49" x14ac:dyDescent="0.3">
      <c r="A115" s="955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62"/>
      <c r="AW115" s="962"/>
    </row>
    <row r="116" spans="1:49" x14ac:dyDescent="0.3">
      <c r="A116" s="955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62"/>
      <c r="AW116" s="962"/>
    </row>
    <row r="117" spans="1:49" x14ac:dyDescent="0.3">
      <c r="A117" s="955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62"/>
      <c r="AW117" s="962"/>
    </row>
    <row r="118" spans="1:49" x14ac:dyDescent="0.3">
      <c r="A118" s="955">
        <v>46175</v>
      </c>
      <c r="B118" s="55"/>
      <c r="C118" s="53"/>
      <c r="D118" s="940"/>
      <c r="E118" s="946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62"/>
      <c r="AW118" s="962"/>
    </row>
    <row r="119" spans="1:49" x14ac:dyDescent="0.3">
      <c r="A119" s="955"/>
      <c r="B119" s="56"/>
      <c r="C119" s="53"/>
      <c r="D119" s="941"/>
      <c r="E119" s="947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62"/>
      <c r="AW119" s="962"/>
    </row>
    <row r="120" spans="1:49" x14ac:dyDescent="0.3">
      <c r="A120" s="955"/>
      <c r="B120" s="56"/>
      <c r="C120" s="53"/>
      <c r="D120" s="941"/>
      <c r="E120" s="947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62"/>
      <c r="AW120" s="962"/>
    </row>
    <row r="121" spans="1:49" x14ac:dyDescent="0.3">
      <c r="A121" s="955"/>
      <c r="B121" s="57"/>
      <c r="C121" s="53"/>
      <c r="D121" s="942"/>
      <c r="E121" s="948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60"/>
      <c r="AW121" s="960"/>
    </row>
    <row r="122" spans="1:49" x14ac:dyDescent="0.3">
      <c r="A122" s="955">
        <v>46176</v>
      </c>
      <c r="B122" s="55"/>
      <c r="C122" s="53"/>
      <c r="D122" s="940"/>
      <c r="E122" s="946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63"/>
      <c r="AW122" s="963"/>
    </row>
    <row r="123" spans="1:49" x14ac:dyDescent="0.3">
      <c r="A123" s="955"/>
      <c r="B123" s="56"/>
      <c r="C123" s="53"/>
      <c r="D123" s="941"/>
      <c r="E123" s="947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62"/>
      <c r="AW123" s="962"/>
    </row>
    <row r="124" spans="1:49" x14ac:dyDescent="0.3">
      <c r="A124" s="955"/>
      <c r="B124" s="56"/>
      <c r="C124" s="53"/>
      <c r="D124" s="941"/>
      <c r="E124" s="947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62"/>
      <c r="AW124" s="962"/>
    </row>
    <row r="125" spans="1:49" x14ac:dyDescent="0.3">
      <c r="A125" s="955"/>
      <c r="B125" s="57"/>
      <c r="C125" s="53"/>
      <c r="D125" s="942"/>
      <c r="E125" s="948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62"/>
      <c r="AW125" s="962"/>
    </row>
    <row r="126" spans="1:49" x14ac:dyDescent="0.3">
      <c r="A126" s="955">
        <v>46177</v>
      </c>
      <c r="B126" s="55"/>
      <c r="C126" s="53"/>
      <c r="D126" s="940"/>
      <c r="E126" s="946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62"/>
      <c r="AW126" s="962"/>
    </row>
    <row r="127" spans="1:49" x14ac:dyDescent="0.3">
      <c r="A127" s="955"/>
      <c r="B127" s="56"/>
      <c r="C127" s="53"/>
      <c r="D127" s="941"/>
      <c r="E127" s="947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62"/>
      <c r="AW127" s="962"/>
    </row>
    <row r="128" spans="1:49" x14ac:dyDescent="0.3">
      <c r="A128" s="955"/>
      <c r="B128" s="56"/>
      <c r="C128" s="53"/>
      <c r="D128" s="941"/>
      <c r="E128" s="947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62"/>
      <c r="AW128" s="962"/>
    </row>
    <row r="129" spans="1:49" x14ac:dyDescent="0.3">
      <c r="A129" s="955"/>
      <c r="B129" s="57"/>
      <c r="C129" s="53"/>
      <c r="D129" s="942"/>
      <c r="E129" s="948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60"/>
      <c r="AW129" s="960"/>
    </row>
    <row r="130" spans="1:49" x14ac:dyDescent="0.3">
      <c r="A130" s="21"/>
      <c r="B130" s="21"/>
      <c r="C130" s="21"/>
      <c r="D130" s="955"/>
      <c r="E130" s="961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63"/>
      <c r="AW130" s="963"/>
    </row>
    <row r="131" spans="1:49" x14ac:dyDescent="0.3">
      <c r="A131" s="21"/>
      <c r="B131" s="21"/>
      <c r="C131" s="21"/>
      <c r="D131" s="960"/>
      <c r="E131" s="962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62"/>
      <c r="AW131" s="962"/>
    </row>
    <row r="132" spans="1:49" x14ac:dyDescent="0.3">
      <c r="A132" s="21"/>
      <c r="B132" s="21"/>
      <c r="C132" s="21"/>
      <c r="D132" s="960"/>
      <c r="E132" s="962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62"/>
      <c r="AW132" s="962"/>
    </row>
    <row r="133" spans="1:49" x14ac:dyDescent="0.3">
      <c r="A133" s="21"/>
      <c r="B133" s="21"/>
      <c r="C133" s="21"/>
      <c r="D133" s="960"/>
      <c r="E133" s="962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62"/>
      <c r="AW133" s="962"/>
    </row>
    <row r="134" spans="1:49" x14ac:dyDescent="0.3">
      <c r="A134" s="21"/>
      <c r="B134" s="21"/>
      <c r="C134" s="21"/>
      <c r="D134" s="960"/>
      <c r="E134" s="962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62"/>
      <c r="AW134" s="962"/>
    </row>
    <row r="135" spans="1:49" x14ac:dyDescent="0.3">
      <c r="A135" s="21"/>
      <c r="B135" s="21"/>
      <c r="C135" s="21"/>
      <c r="D135" s="960"/>
      <c r="E135" s="962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62"/>
      <c r="AW135" s="962"/>
    </row>
    <row r="136" spans="1:49" x14ac:dyDescent="0.3">
      <c r="A136" s="21"/>
      <c r="B136" s="21"/>
      <c r="C136" s="21"/>
      <c r="D136" s="960"/>
      <c r="E136" s="962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62"/>
      <c r="AW136" s="962"/>
    </row>
    <row r="137" spans="1:49" x14ac:dyDescent="0.3">
      <c r="A137" s="21"/>
      <c r="B137" s="21"/>
      <c r="C137" s="21"/>
      <c r="D137" s="960"/>
      <c r="E137" s="960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60"/>
      <c r="AW137" s="960"/>
    </row>
    <row r="138" spans="1:49" x14ac:dyDescent="0.3">
      <c r="A138" s="21"/>
      <c r="B138" s="21"/>
      <c r="C138" s="21"/>
      <c r="D138" s="955"/>
      <c r="E138" s="961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63"/>
      <c r="AW138" s="963"/>
    </row>
    <row r="139" spans="1:49" x14ac:dyDescent="0.3">
      <c r="A139" s="21"/>
      <c r="B139" s="21"/>
      <c r="C139" s="21"/>
      <c r="D139" s="960"/>
      <c r="E139" s="962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62"/>
      <c r="AW139" s="962"/>
    </row>
    <row r="140" spans="1:49" x14ac:dyDescent="0.3">
      <c r="A140" s="21"/>
      <c r="B140" s="21"/>
      <c r="C140" s="21"/>
      <c r="D140" s="960"/>
      <c r="E140" s="962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62"/>
      <c r="AW140" s="962"/>
    </row>
    <row r="141" spans="1:49" x14ac:dyDescent="0.3">
      <c r="A141" s="21"/>
      <c r="B141" s="21"/>
      <c r="C141" s="21"/>
      <c r="D141" s="960"/>
      <c r="E141" s="962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62"/>
      <c r="AW141" s="962"/>
    </row>
    <row r="142" spans="1:49" x14ac:dyDescent="0.3">
      <c r="A142" s="21"/>
      <c r="B142" s="21"/>
      <c r="C142" s="21"/>
      <c r="D142" s="960"/>
      <c r="E142" s="962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62"/>
      <c r="AW142" s="962"/>
    </row>
    <row r="143" spans="1:49" x14ac:dyDescent="0.3">
      <c r="A143" s="21"/>
      <c r="B143" s="21"/>
      <c r="C143" s="21"/>
      <c r="D143" s="960"/>
      <c r="E143" s="962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62"/>
      <c r="AW143" s="962"/>
    </row>
    <row r="144" spans="1:49" x14ac:dyDescent="0.3">
      <c r="A144" s="21"/>
      <c r="B144" s="21"/>
      <c r="C144" s="21"/>
      <c r="D144" s="960"/>
      <c r="E144" s="962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62"/>
      <c r="AW144" s="962"/>
    </row>
    <row r="145" spans="1:49" x14ac:dyDescent="0.3">
      <c r="A145" s="21"/>
      <c r="B145" s="21"/>
      <c r="C145" s="21"/>
      <c r="D145" s="960"/>
      <c r="E145" s="960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60"/>
      <c r="AW145" s="960"/>
    </row>
    <row r="146" spans="1:49" x14ac:dyDescent="0.3">
      <c r="A146" s="21"/>
      <c r="B146" s="21"/>
      <c r="C146" s="21"/>
      <c r="D146" s="955"/>
      <c r="E146" s="961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63"/>
      <c r="AW146" s="963"/>
    </row>
    <row r="147" spans="1:49" x14ac:dyDescent="0.3">
      <c r="A147" s="21"/>
      <c r="B147" s="21"/>
      <c r="C147" s="21"/>
      <c r="D147" s="960"/>
      <c r="E147" s="962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62"/>
      <c r="AW147" s="962"/>
    </row>
    <row r="148" spans="1:49" x14ac:dyDescent="0.3">
      <c r="A148" s="21"/>
      <c r="B148" s="21"/>
      <c r="C148" s="21"/>
      <c r="D148" s="960"/>
      <c r="E148" s="962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62"/>
      <c r="AW148" s="962"/>
    </row>
    <row r="149" spans="1:49" x14ac:dyDescent="0.3">
      <c r="A149" s="21"/>
      <c r="B149" s="21"/>
      <c r="C149" s="21"/>
      <c r="D149" s="960"/>
      <c r="E149" s="962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62"/>
      <c r="AW149" s="962"/>
    </row>
    <row r="150" spans="1:49" x14ac:dyDescent="0.3">
      <c r="A150" s="21"/>
      <c r="B150" s="21"/>
      <c r="C150" s="21"/>
      <c r="D150" s="960"/>
      <c r="E150" s="962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62"/>
      <c r="AW150" s="962"/>
    </row>
    <row r="151" spans="1:49" x14ac:dyDescent="0.3">
      <c r="A151" s="21"/>
      <c r="B151" s="21"/>
      <c r="C151" s="21"/>
      <c r="D151" s="960"/>
      <c r="E151" s="962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62"/>
      <c r="AW151" s="962"/>
    </row>
    <row r="152" spans="1:49" x14ac:dyDescent="0.3">
      <c r="A152" s="21"/>
      <c r="B152" s="21"/>
      <c r="C152" s="21"/>
      <c r="D152" s="960"/>
      <c r="E152" s="962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62"/>
      <c r="AW152" s="962"/>
    </row>
    <row r="153" spans="1:49" x14ac:dyDescent="0.3">
      <c r="A153" s="21"/>
      <c r="B153" s="21"/>
      <c r="C153" s="21"/>
      <c r="D153" s="960"/>
      <c r="E153" s="960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60"/>
      <c r="AW153" s="960"/>
    </row>
    <row r="154" spans="1:49" x14ac:dyDescent="0.3">
      <c r="A154" s="21"/>
      <c r="B154" s="21"/>
      <c r="C154" s="21"/>
      <c r="D154" s="955"/>
      <c r="E154" s="961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63"/>
      <c r="AW154" s="963"/>
    </row>
    <row r="155" spans="1:49" x14ac:dyDescent="0.3">
      <c r="A155" s="21"/>
      <c r="B155" s="21"/>
      <c r="C155" s="21"/>
      <c r="D155" s="960"/>
      <c r="E155" s="962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62"/>
      <c r="AW155" s="962"/>
    </row>
    <row r="156" spans="1:49" x14ac:dyDescent="0.3">
      <c r="A156" s="21"/>
      <c r="B156" s="21"/>
      <c r="C156" s="21"/>
      <c r="D156" s="960"/>
      <c r="E156" s="962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62"/>
      <c r="AW156" s="962"/>
    </row>
    <row r="157" spans="1:49" x14ac:dyDescent="0.3">
      <c r="A157" s="21"/>
      <c r="B157" s="21"/>
      <c r="C157" s="21"/>
      <c r="D157" s="960"/>
      <c r="E157" s="962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62"/>
      <c r="AW157" s="962"/>
    </row>
    <row r="158" spans="1:49" x14ac:dyDescent="0.3">
      <c r="A158" s="21"/>
      <c r="B158" s="21"/>
      <c r="C158" s="21"/>
      <c r="D158" s="960"/>
      <c r="E158" s="962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62"/>
      <c r="AW158" s="962"/>
    </row>
    <row r="159" spans="1:49" x14ac:dyDescent="0.3">
      <c r="A159" s="21"/>
      <c r="B159" s="21"/>
      <c r="C159" s="21"/>
      <c r="D159" s="960"/>
      <c r="E159" s="962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62"/>
      <c r="AW159" s="962"/>
    </row>
    <row r="160" spans="1:49" x14ac:dyDescent="0.3">
      <c r="A160" s="21"/>
      <c r="B160" s="21"/>
      <c r="C160" s="21"/>
      <c r="D160" s="960"/>
      <c r="E160" s="962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62"/>
      <c r="AW160" s="962"/>
    </row>
    <row r="161" spans="1:49" x14ac:dyDescent="0.3">
      <c r="A161" s="21"/>
      <c r="B161" s="21"/>
      <c r="C161" s="21"/>
      <c r="D161" s="960"/>
      <c r="E161" s="960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60"/>
      <c r="AW161" s="960"/>
    </row>
    <row r="162" spans="1:49" x14ac:dyDescent="0.3">
      <c r="A162" s="21"/>
      <c r="B162" s="21"/>
      <c r="C162" s="21"/>
      <c r="D162" s="955"/>
      <c r="E162" s="961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63"/>
      <c r="AW162" s="963"/>
    </row>
    <row r="163" spans="1:49" x14ac:dyDescent="0.3">
      <c r="A163" s="21"/>
      <c r="B163" s="21"/>
      <c r="C163" s="21"/>
      <c r="D163" s="960"/>
      <c r="E163" s="962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62"/>
      <c r="AW163" s="962"/>
    </row>
    <row r="164" spans="1:49" x14ac:dyDescent="0.3">
      <c r="A164" s="21"/>
      <c r="B164" s="21"/>
      <c r="C164" s="21"/>
      <c r="D164" s="960"/>
      <c r="E164" s="962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62"/>
      <c r="AW164" s="962"/>
    </row>
    <row r="165" spans="1:49" x14ac:dyDescent="0.3">
      <c r="A165" s="21"/>
      <c r="B165" s="21"/>
      <c r="C165" s="21"/>
      <c r="D165" s="960"/>
      <c r="E165" s="962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62"/>
      <c r="AW165" s="962"/>
    </row>
    <row r="166" spans="1:49" x14ac:dyDescent="0.3">
      <c r="A166" s="21"/>
      <c r="B166" s="21"/>
      <c r="C166" s="21"/>
      <c r="D166" s="960"/>
      <c r="E166" s="962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62"/>
      <c r="AW166" s="962"/>
    </row>
    <row r="167" spans="1:49" x14ac:dyDescent="0.3">
      <c r="A167" s="21"/>
      <c r="B167" s="21"/>
      <c r="C167" s="21"/>
      <c r="D167" s="960"/>
      <c r="E167" s="962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62"/>
      <c r="AW167" s="962"/>
    </row>
    <row r="168" spans="1:49" x14ac:dyDescent="0.3">
      <c r="A168" s="21"/>
      <c r="B168" s="21"/>
      <c r="C168" s="21"/>
      <c r="D168" s="960"/>
      <c r="E168" s="962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62"/>
      <c r="AW168" s="962"/>
    </row>
    <row r="169" spans="1:49" x14ac:dyDescent="0.3">
      <c r="A169" s="21"/>
      <c r="B169" s="21"/>
      <c r="C169" s="21"/>
      <c r="D169" s="960"/>
      <c r="E169" s="960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60"/>
      <c r="AW169" s="960"/>
    </row>
    <row r="170" spans="1:49" x14ac:dyDescent="0.3">
      <c r="A170" s="21"/>
      <c r="B170" s="21"/>
      <c r="C170" s="21"/>
      <c r="D170" s="955"/>
      <c r="E170" s="961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63"/>
      <c r="AW170" s="963"/>
    </row>
    <row r="171" spans="1:49" x14ac:dyDescent="0.3">
      <c r="A171" s="21"/>
      <c r="B171" s="21"/>
      <c r="C171" s="21"/>
      <c r="D171" s="960"/>
      <c r="E171" s="962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62"/>
      <c r="AW171" s="962"/>
    </row>
    <row r="172" spans="1:49" x14ac:dyDescent="0.3">
      <c r="A172" s="21"/>
      <c r="B172" s="21"/>
      <c r="C172" s="21"/>
      <c r="D172" s="960"/>
      <c r="E172" s="962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62"/>
      <c r="AW172" s="962"/>
    </row>
    <row r="173" spans="1:49" x14ac:dyDescent="0.3">
      <c r="A173" s="21"/>
      <c r="B173" s="21"/>
      <c r="C173" s="21"/>
      <c r="D173" s="960"/>
      <c r="E173" s="962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62"/>
      <c r="AW173" s="962"/>
    </row>
    <row r="174" spans="1:49" x14ac:dyDescent="0.3">
      <c r="A174" s="21"/>
      <c r="B174" s="21"/>
      <c r="C174" s="21"/>
      <c r="D174" s="960"/>
      <c r="E174" s="962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62"/>
      <c r="AW174" s="962"/>
    </row>
    <row r="175" spans="1:49" x14ac:dyDescent="0.3">
      <c r="A175" s="21"/>
      <c r="B175" s="21"/>
      <c r="C175" s="21"/>
      <c r="D175" s="960"/>
      <c r="E175" s="962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62"/>
      <c r="AW175" s="962"/>
    </row>
    <row r="176" spans="1:49" x14ac:dyDescent="0.3">
      <c r="A176" s="21"/>
      <c r="B176" s="21"/>
      <c r="C176" s="21"/>
      <c r="D176" s="960"/>
      <c r="E176" s="962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62"/>
      <c r="AW176" s="962"/>
    </row>
    <row r="177" spans="1:49" x14ac:dyDescent="0.3">
      <c r="A177" s="21"/>
      <c r="B177" s="21"/>
      <c r="C177" s="21"/>
      <c r="D177" s="960"/>
      <c r="E177" s="960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60"/>
      <c r="AW177" s="960"/>
    </row>
    <row r="178" spans="1:49" x14ac:dyDescent="0.3">
      <c r="A178" s="21"/>
      <c r="B178" s="21"/>
      <c r="C178" s="21"/>
      <c r="D178" s="955"/>
      <c r="E178" s="961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63"/>
      <c r="AW178" s="963"/>
    </row>
    <row r="179" spans="1:49" x14ac:dyDescent="0.3">
      <c r="A179" s="21"/>
      <c r="B179" s="21"/>
      <c r="C179" s="21"/>
      <c r="D179" s="960"/>
      <c r="E179" s="962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62"/>
      <c r="AW179" s="962"/>
    </row>
    <row r="180" spans="1:49" x14ac:dyDescent="0.3">
      <c r="A180" s="21"/>
      <c r="B180" s="21"/>
      <c r="C180" s="21"/>
      <c r="D180" s="960"/>
      <c r="E180" s="962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62"/>
      <c r="AW180" s="962"/>
    </row>
    <row r="181" spans="1:49" x14ac:dyDescent="0.3">
      <c r="A181" s="21"/>
      <c r="B181" s="21"/>
      <c r="C181" s="21"/>
      <c r="D181" s="960"/>
      <c r="E181" s="962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62"/>
      <c r="AW181" s="962"/>
    </row>
    <row r="182" spans="1:49" x14ac:dyDescent="0.3">
      <c r="A182" s="21"/>
      <c r="B182" s="21"/>
      <c r="C182" s="21"/>
      <c r="D182" s="960"/>
      <c r="E182" s="962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62"/>
      <c r="AW182" s="962"/>
    </row>
    <row r="183" spans="1:49" x14ac:dyDescent="0.3">
      <c r="A183" s="21"/>
      <c r="B183" s="21"/>
      <c r="C183" s="21"/>
      <c r="D183" s="960"/>
      <c r="E183" s="962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62"/>
      <c r="AW183" s="962"/>
    </row>
    <row r="184" spans="1:49" x14ac:dyDescent="0.3">
      <c r="A184" s="21"/>
      <c r="B184" s="21"/>
      <c r="C184" s="21"/>
      <c r="D184" s="960"/>
      <c r="E184" s="962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62"/>
      <c r="AW184" s="962"/>
    </row>
    <row r="185" spans="1:49" x14ac:dyDescent="0.3">
      <c r="A185" s="21"/>
      <c r="B185" s="21"/>
      <c r="C185" s="21"/>
      <c r="D185" s="960"/>
      <c r="E185" s="960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60"/>
      <c r="AW185" s="960"/>
    </row>
    <row r="186" spans="1:49" x14ac:dyDescent="0.3">
      <c r="A186" s="21"/>
      <c r="B186" s="21"/>
      <c r="C186" s="21"/>
      <c r="D186" s="955"/>
      <c r="E186" s="961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63"/>
      <c r="AW186" s="963"/>
    </row>
    <row r="187" spans="1:49" x14ac:dyDescent="0.3">
      <c r="A187" s="21"/>
      <c r="B187" s="21"/>
      <c r="C187" s="21"/>
      <c r="D187" s="960"/>
      <c r="E187" s="962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62"/>
      <c r="AW187" s="962"/>
    </row>
    <row r="188" spans="1:49" x14ac:dyDescent="0.3">
      <c r="A188" s="21"/>
      <c r="B188" s="21"/>
      <c r="C188" s="21"/>
      <c r="D188" s="960"/>
      <c r="E188" s="962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62"/>
      <c r="AW188" s="962"/>
    </row>
    <row r="189" spans="1:49" x14ac:dyDescent="0.3">
      <c r="A189" s="21"/>
      <c r="B189" s="21"/>
      <c r="C189" s="21"/>
      <c r="D189" s="960"/>
      <c r="E189" s="962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62"/>
      <c r="AW189" s="962"/>
    </row>
    <row r="190" spans="1:49" x14ac:dyDescent="0.3">
      <c r="A190" s="21"/>
      <c r="B190" s="21"/>
      <c r="C190" s="21"/>
      <c r="D190" s="960"/>
      <c r="E190" s="962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62"/>
      <c r="AW190" s="962"/>
    </row>
    <row r="191" spans="1:49" x14ac:dyDescent="0.3">
      <c r="A191" s="21"/>
      <c r="B191" s="21"/>
      <c r="C191" s="21"/>
      <c r="D191" s="960"/>
      <c r="E191" s="962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62"/>
      <c r="AW191" s="962"/>
    </row>
    <row r="192" spans="1:49" x14ac:dyDescent="0.3">
      <c r="A192" s="21"/>
      <c r="B192" s="21"/>
      <c r="C192" s="21"/>
      <c r="D192" s="960"/>
      <c r="E192" s="962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62"/>
      <c r="AW192" s="962"/>
    </row>
    <row r="193" spans="1:49" x14ac:dyDescent="0.3">
      <c r="A193" s="21"/>
      <c r="B193" s="21"/>
      <c r="C193" s="21"/>
      <c r="D193" s="960"/>
      <c r="E193" s="960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60"/>
      <c r="AW193" s="960"/>
    </row>
    <row r="194" spans="1:49" x14ac:dyDescent="0.3">
      <c r="A194" s="21"/>
      <c r="B194" s="21"/>
      <c r="C194" s="21"/>
      <c r="D194" s="955"/>
      <c r="E194" s="961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63"/>
      <c r="AW194" s="963"/>
    </row>
    <row r="195" spans="1:49" x14ac:dyDescent="0.3">
      <c r="A195" s="21"/>
      <c r="B195" s="21"/>
      <c r="C195" s="21"/>
      <c r="D195" s="960"/>
      <c r="E195" s="962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62"/>
      <c r="AW195" s="962"/>
    </row>
    <row r="196" spans="1:49" x14ac:dyDescent="0.3">
      <c r="A196" s="21"/>
      <c r="B196" s="21"/>
      <c r="C196" s="21"/>
      <c r="D196" s="960"/>
      <c r="E196" s="962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62"/>
      <c r="AW196" s="962"/>
    </row>
    <row r="197" spans="1:49" x14ac:dyDescent="0.3">
      <c r="A197" s="21"/>
      <c r="B197" s="21"/>
      <c r="C197" s="21"/>
      <c r="D197" s="960"/>
      <c r="E197" s="962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62"/>
      <c r="AW197" s="962"/>
    </row>
    <row r="198" spans="1:49" x14ac:dyDescent="0.3">
      <c r="A198" s="21"/>
      <c r="B198" s="21"/>
      <c r="C198" s="21"/>
      <c r="D198" s="960"/>
      <c r="E198" s="962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62"/>
      <c r="AW198" s="962"/>
    </row>
    <row r="199" spans="1:49" x14ac:dyDescent="0.3">
      <c r="A199" s="21"/>
      <c r="B199" s="21"/>
      <c r="C199" s="21"/>
      <c r="D199" s="960"/>
      <c r="E199" s="962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62"/>
      <c r="AW199" s="962"/>
    </row>
    <row r="200" spans="1:49" x14ac:dyDescent="0.3">
      <c r="A200" s="21"/>
      <c r="B200" s="21"/>
      <c r="C200" s="21"/>
      <c r="D200" s="960"/>
      <c r="E200" s="962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62"/>
      <c r="AW200" s="962"/>
    </row>
    <row r="201" spans="1:49" x14ac:dyDescent="0.3">
      <c r="A201" s="21"/>
      <c r="B201" s="21"/>
      <c r="C201" s="21"/>
      <c r="D201" s="960"/>
      <c r="E201" s="960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60"/>
      <c r="AW201" s="960"/>
    </row>
    <row r="202" spans="1:49" x14ac:dyDescent="0.3">
      <c r="A202" s="21"/>
      <c r="B202" s="21"/>
      <c r="C202" s="21"/>
      <c r="D202" s="955"/>
      <c r="E202" s="961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63"/>
      <c r="AW202" s="963"/>
    </row>
    <row r="203" spans="1:49" x14ac:dyDescent="0.3">
      <c r="A203" s="21"/>
      <c r="B203" s="21"/>
      <c r="C203" s="21"/>
      <c r="D203" s="960"/>
      <c r="E203" s="962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62"/>
      <c r="AW203" s="962"/>
    </row>
    <row r="204" spans="1:49" x14ac:dyDescent="0.3">
      <c r="A204" s="21"/>
      <c r="B204" s="21"/>
      <c r="C204" s="21"/>
      <c r="D204" s="960"/>
      <c r="E204" s="962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62"/>
      <c r="AW204" s="962"/>
    </row>
    <row r="205" spans="1:49" x14ac:dyDescent="0.3">
      <c r="A205" s="21"/>
      <c r="B205" s="21"/>
      <c r="C205" s="21"/>
      <c r="D205" s="960"/>
      <c r="E205" s="962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62"/>
      <c r="AW205" s="962"/>
    </row>
    <row r="206" spans="1:49" x14ac:dyDescent="0.3">
      <c r="A206" s="21"/>
      <c r="B206" s="21"/>
      <c r="C206" s="21"/>
      <c r="D206" s="960"/>
      <c r="E206" s="962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62"/>
      <c r="AW206" s="962"/>
    </row>
    <row r="207" spans="1:49" x14ac:dyDescent="0.3">
      <c r="A207" s="21"/>
      <c r="B207" s="21"/>
      <c r="C207" s="21"/>
      <c r="D207" s="960"/>
      <c r="E207" s="962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62"/>
      <c r="AW207" s="962"/>
    </row>
    <row r="208" spans="1:49" x14ac:dyDescent="0.3">
      <c r="A208" s="21"/>
      <c r="B208" s="21"/>
      <c r="C208" s="21"/>
      <c r="D208" s="960"/>
      <c r="E208" s="962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62"/>
      <c r="AW208" s="962"/>
    </row>
    <row r="209" spans="1:49" x14ac:dyDescent="0.3">
      <c r="A209" s="21"/>
      <c r="B209" s="21"/>
      <c r="C209" s="21"/>
      <c r="D209" s="960"/>
      <c r="E209" s="960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60"/>
      <c r="AW209" s="960"/>
    </row>
    <row r="210" spans="1:49" x14ac:dyDescent="0.3">
      <c r="A210" s="21"/>
      <c r="B210" s="21"/>
      <c r="C210" s="21"/>
      <c r="D210" s="955"/>
      <c r="E210" s="961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63"/>
      <c r="AW210" s="963"/>
    </row>
    <row r="211" spans="1:49" x14ac:dyDescent="0.3">
      <c r="A211" s="21"/>
      <c r="B211" s="21"/>
      <c r="C211" s="21"/>
      <c r="D211" s="960"/>
      <c r="E211" s="962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62"/>
      <c r="AW211" s="962"/>
    </row>
    <row r="212" spans="1:49" x14ac:dyDescent="0.3">
      <c r="A212" s="21"/>
      <c r="B212" s="21"/>
      <c r="C212" s="21"/>
      <c r="D212" s="960"/>
      <c r="E212" s="962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62"/>
      <c r="AW212" s="962"/>
    </row>
    <row r="213" spans="1:49" x14ac:dyDescent="0.3">
      <c r="A213" s="21"/>
      <c r="B213" s="21"/>
      <c r="C213" s="21"/>
      <c r="D213" s="960"/>
      <c r="E213" s="962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62"/>
      <c r="AW213" s="962"/>
    </row>
    <row r="214" spans="1:49" x14ac:dyDescent="0.3">
      <c r="A214" s="21"/>
      <c r="B214" s="21"/>
      <c r="C214" s="21"/>
      <c r="D214" s="960"/>
      <c r="E214" s="962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62"/>
      <c r="AW214" s="962"/>
    </row>
    <row r="215" spans="1:49" x14ac:dyDescent="0.3">
      <c r="A215" s="21"/>
      <c r="B215" s="21"/>
      <c r="C215" s="21"/>
      <c r="D215" s="960"/>
      <c r="E215" s="962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62"/>
      <c r="AW215" s="962"/>
    </row>
    <row r="216" spans="1:49" x14ac:dyDescent="0.3">
      <c r="A216" s="21"/>
      <c r="B216" s="21"/>
      <c r="C216" s="21"/>
      <c r="D216" s="960"/>
      <c r="E216" s="962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62"/>
      <c r="AW216" s="962"/>
    </row>
    <row r="217" spans="1:49" x14ac:dyDescent="0.3">
      <c r="A217" s="21"/>
      <c r="B217" s="21"/>
      <c r="C217" s="21"/>
      <c r="D217" s="960"/>
      <c r="E217" s="960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60"/>
      <c r="AW217" s="960"/>
    </row>
    <row r="218" spans="1:49" x14ac:dyDescent="0.3">
      <c r="A218" s="21"/>
      <c r="B218" s="21"/>
      <c r="C218" s="21"/>
      <c r="D218" s="955"/>
      <c r="E218" s="961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63"/>
      <c r="AW218" s="963"/>
    </row>
    <row r="219" spans="1:49" x14ac:dyDescent="0.3">
      <c r="A219" s="21"/>
      <c r="B219" s="21"/>
      <c r="C219" s="21"/>
      <c r="D219" s="960"/>
      <c r="E219" s="962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62"/>
      <c r="AW219" s="962"/>
    </row>
    <row r="220" spans="1:49" x14ac:dyDescent="0.3">
      <c r="A220" s="21"/>
      <c r="B220" s="21"/>
      <c r="C220" s="21"/>
      <c r="D220" s="960"/>
      <c r="E220" s="962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62"/>
      <c r="AW220" s="962"/>
    </row>
    <row r="221" spans="1:49" x14ac:dyDescent="0.3">
      <c r="A221" s="21"/>
      <c r="B221" s="21"/>
      <c r="C221" s="21"/>
      <c r="D221" s="960"/>
      <c r="E221" s="962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62"/>
      <c r="AW221" s="962"/>
    </row>
    <row r="222" spans="1:49" x14ac:dyDescent="0.3">
      <c r="A222" s="21"/>
      <c r="B222" s="21"/>
      <c r="C222" s="21"/>
      <c r="D222" s="960"/>
      <c r="E222" s="962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62"/>
      <c r="AW222" s="962"/>
    </row>
    <row r="223" spans="1:49" x14ac:dyDescent="0.3">
      <c r="A223" s="21"/>
      <c r="B223" s="21"/>
      <c r="C223" s="21"/>
      <c r="D223" s="960"/>
      <c r="E223" s="962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62"/>
      <c r="AW223" s="962"/>
    </row>
    <row r="224" spans="1:49" x14ac:dyDescent="0.3">
      <c r="A224" s="21"/>
      <c r="B224" s="21"/>
      <c r="C224" s="21"/>
      <c r="D224" s="960"/>
      <c r="E224" s="962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62"/>
      <c r="AW224" s="962"/>
    </row>
    <row r="225" spans="1:49" x14ac:dyDescent="0.3">
      <c r="A225" s="21"/>
      <c r="B225" s="21"/>
      <c r="C225" s="21"/>
      <c r="D225" s="960"/>
      <c r="E225" s="960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60"/>
      <c r="AW225" s="960"/>
    </row>
    <row r="226" spans="1:49" x14ac:dyDescent="0.3">
      <c r="A226" s="21"/>
      <c r="B226" s="21"/>
      <c r="C226" s="21"/>
      <c r="D226" s="955"/>
      <c r="E226" s="961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63"/>
      <c r="AW226" s="963"/>
    </row>
    <row r="227" spans="1:49" x14ac:dyDescent="0.3">
      <c r="A227" s="21"/>
      <c r="B227" s="21"/>
      <c r="C227" s="21"/>
      <c r="D227" s="960"/>
      <c r="E227" s="962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62"/>
      <c r="AW227" s="962"/>
    </row>
    <row r="228" spans="1:49" x14ac:dyDescent="0.3">
      <c r="A228" s="21"/>
      <c r="B228" s="21"/>
      <c r="C228" s="21"/>
      <c r="D228" s="960"/>
      <c r="E228" s="962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62"/>
      <c r="AW228" s="962"/>
    </row>
    <row r="229" spans="1:49" x14ac:dyDescent="0.3">
      <c r="A229" s="21"/>
      <c r="B229" s="21"/>
      <c r="C229" s="21"/>
      <c r="D229" s="960"/>
      <c r="E229" s="962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62"/>
      <c r="AW229" s="962"/>
    </row>
    <row r="230" spans="1:49" x14ac:dyDescent="0.3">
      <c r="A230" s="21"/>
      <c r="B230" s="21"/>
      <c r="C230" s="21"/>
      <c r="D230" s="960"/>
      <c r="E230" s="962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62"/>
      <c r="AW230" s="962"/>
    </row>
    <row r="231" spans="1:49" x14ac:dyDescent="0.3">
      <c r="A231" s="21"/>
      <c r="B231" s="21"/>
      <c r="C231" s="21"/>
      <c r="D231" s="960"/>
      <c r="E231" s="962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62"/>
      <c r="AW231" s="962"/>
    </row>
    <row r="232" spans="1:49" x14ac:dyDescent="0.3">
      <c r="A232" s="21"/>
      <c r="B232" s="21"/>
      <c r="C232" s="21"/>
      <c r="D232" s="960"/>
      <c r="E232" s="962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62"/>
      <c r="AW232" s="962"/>
    </row>
    <row r="233" spans="1:49" x14ac:dyDescent="0.3">
      <c r="A233" s="21"/>
      <c r="B233" s="21"/>
      <c r="C233" s="21"/>
      <c r="D233" s="960"/>
      <c r="E233" s="960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60"/>
      <c r="AW233" s="960"/>
    </row>
    <row r="234" spans="1:49" x14ac:dyDescent="0.3">
      <c r="A234" s="21"/>
      <c r="B234" s="21"/>
      <c r="C234" s="21"/>
      <c r="D234" s="955"/>
      <c r="E234" s="961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63"/>
      <c r="AW234" s="963"/>
    </row>
    <row r="235" spans="1:49" x14ac:dyDescent="0.3">
      <c r="A235" s="21"/>
      <c r="B235" s="21"/>
      <c r="C235" s="21"/>
      <c r="D235" s="960"/>
      <c r="E235" s="962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62"/>
      <c r="AW235" s="962"/>
    </row>
    <row r="236" spans="1:49" x14ac:dyDescent="0.3">
      <c r="A236" s="21"/>
      <c r="B236" s="21"/>
      <c r="C236" s="21"/>
      <c r="D236" s="960"/>
      <c r="E236" s="962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62"/>
      <c r="AW236" s="962"/>
    </row>
    <row r="237" spans="1:49" x14ac:dyDescent="0.3">
      <c r="A237" s="21"/>
      <c r="B237" s="21"/>
      <c r="C237" s="21"/>
      <c r="D237" s="960"/>
      <c r="E237" s="962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62"/>
      <c r="AW237" s="962"/>
    </row>
    <row r="238" spans="1:49" x14ac:dyDescent="0.3">
      <c r="A238" s="21"/>
      <c r="B238" s="21"/>
      <c r="C238" s="21"/>
      <c r="D238" s="960"/>
      <c r="E238" s="962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62"/>
      <c r="AW238" s="962"/>
    </row>
    <row r="239" spans="1:49" x14ac:dyDescent="0.3">
      <c r="A239" s="21"/>
      <c r="B239" s="21"/>
      <c r="C239" s="21"/>
      <c r="D239" s="960"/>
      <c r="E239" s="962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62"/>
      <c r="AW239" s="962"/>
    </row>
    <row r="240" spans="1:49" x14ac:dyDescent="0.3">
      <c r="A240" s="21"/>
      <c r="B240" s="21"/>
      <c r="C240" s="21"/>
      <c r="D240" s="960"/>
      <c r="E240" s="962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62"/>
      <c r="AW240" s="962"/>
    </row>
    <row r="241" spans="1:49" x14ac:dyDescent="0.3">
      <c r="A241" s="21"/>
      <c r="B241" s="21"/>
      <c r="C241" s="21"/>
      <c r="D241" s="960"/>
      <c r="E241" s="960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60"/>
      <c r="AW241" s="960"/>
    </row>
    <row r="242" spans="1:49" x14ac:dyDescent="0.3">
      <c r="A242" s="21"/>
      <c r="B242" s="21"/>
      <c r="C242" s="21"/>
      <c r="D242" s="955"/>
      <c r="E242" s="961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63"/>
      <c r="AW242" s="963"/>
    </row>
    <row r="243" spans="1:49" x14ac:dyDescent="0.3">
      <c r="A243" s="21"/>
      <c r="B243" s="21"/>
      <c r="C243" s="21"/>
      <c r="D243" s="960"/>
      <c r="E243" s="962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62"/>
      <c r="AW243" s="962"/>
    </row>
    <row r="244" spans="1:49" x14ac:dyDescent="0.3">
      <c r="A244" s="21"/>
      <c r="B244" s="21"/>
      <c r="C244" s="21"/>
      <c r="D244" s="960"/>
      <c r="E244" s="962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62"/>
      <c r="AW244" s="962"/>
    </row>
    <row r="245" spans="1:49" x14ac:dyDescent="0.3">
      <c r="A245" s="21"/>
      <c r="B245" s="21"/>
      <c r="C245" s="21"/>
      <c r="D245" s="960"/>
      <c r="E245" s="962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62"/>
      <c r="AW245" s="962"/>
    </row>
    <row r="246" spans="1:49" x14ac:dyDescent="0.3">
      <c r="A246" s="21"/>
      <c r="B246" s="21"/>
      <c r="C246" s="21"/>
      <c r="D246" s="960"/>
      <c r="E246" s="962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62"/>
      <c r="AW246" s="962"/>
    </row>
    <row r="247" spans="1:49" x14ac:dyDescent="0.3">
      <c r="A247" s="21"/>
      <c r="B247" s="21"/>
      <c r="C247" s="21"/>
      <c r="D247" s="960"/>
      <c r="E247" s="962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62"/>
      <c r="AW247" s="962"/>
    </row>
    <row r="248" spans="1:49" x14ac:dyDescent="0.3">
      <c r="A248" s="21"/>
      <c r="B248" s="21"/>
      <c r="C248" s="21"/>
      <c r="D248" s="960"/>
      <c r="E248" s="962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62"/>
      <c r="AW248" s="962"/>
    </row>
    <row r="249" spans="1:49" x14ac:dyDescent="0.3">
      <c r="A249" s="21"/>
      <c r="B249" s="21"/>
      <c r="C249" s="21"/>
      <c r="D249" s="960"/>
      <c r="E249" s="960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60"/>
      <c r="AW249" s="960"/>
    </row>
    <row r="250" spans="1:49" x14ac:dyDescent="0.3">
      <c r="A250" s="21"/>
      <c r="B250" s="21"/>
      <c r="C250" s="21"/>
      <c r="D250" s="955"/>
      <c r="E250" s="961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63"/>
      <c r="AW250" s="963"/>
    </row>
    <row r="251" spans="1:49" x14ac:dyDescent="0.3">
      <c r="A251" s="21"/>
      <c r="B251" s="21"/>
      <c r="C251" s="21"/>
      <c r="D251" s="960"/>
      <c r="E251" s="962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62"/>
      <c r="AW251" s="962"/>
    </row>
    <row r="252" spans="1:49" x14ac:dyDescent="0.3">
      <c r="A252" s="21"/>
      <c r="B252" s="21"/>
      <c r="C252" s="21"/>
      <c r="D252" s="960"/>
      <c r="E252" s="962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62"/>
      <c r="AW252" s="962"/>
    </row>
    <row r="253" spans="1:49" x14ac:dyDescent="0.3">
      <c r="A253" s="21"/>
      <c r="B253" s="21"/>
      <c r="C253" s="21"/>
      <c r="D253" s="960"/>
      <c r="E253" s="962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62"/>
      <c r="AW253" s="962"/>
    </row>
    <row r="254" spans="1:49" x14ac:dyDescent="0.3">
      <c r="A254" s="21"/>
      <c r="B254" s="21"/>
      <c r="C254" s="21"/>
      <c r="D254" s="960"/>
      <c r="E254" s="962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62"/>
      <c r="AW254" s="962"/>
    </row>
    <row r="255" spans="1:49" x14ac:dyDescent="0.3">
      <c r="A255" s="21"/>
      <c r="B255" s="21"/>
      <c r="C255" s="21"/>
      <c r="D255" s="960"/>
      <c r="E255" s="962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62"/>
      <c r="AW255" s="962"/>
    </row>
    <row r="256" spans="1:49" x14ac:dyDescent="0.3">
      <c r="A256" s="21"/>
      <c r="B256" s="21"/>
      <c r="C256" s="21"/>
      <c r="D256" s="960"/>
      <c r="E256" s="962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62"/>
      <c r="AW256" s="962"/>
    </row>
    <row r="257" spans="1:49" x14ac:dyDescent="0.3">
      <c r="A257" s="21"/>
      <c r="B257" s="21"/>
      <c r="C257" s="21"/>
      <c r="D257" s="960"/>
      <c r="E257" s="960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60"/>
      <c r="AW257" s="960"/>
    </row>
    <row r="258" spans="1:49" x14ac:dyDescent="0.3">
      <c r="A258" s="21"/>
      <c r="B258" s="21"/>
      <c r="C258" s="21"/>
      <c r="D258" s="955"/>
      <c r="E258" s="961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63"/>
      <c r="AW258" s="963"/>
    </row>
    <row r="259" spans="1:49" x14ac:dyDescent="0.3">
      <c r="A259" s="21"/>
      <c r="B259" s="21"/>
      <c r="C259" s="21"/>
      <c r="D259" s="960"/>
      <c r="E259" s="962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62"/>
      <c r="AW259" s="962"/>
    </row>
    <row r="260" spans="1:49" x14ac:dyDescent="0.3">
      <c r="A260" s="21"/>
      <c r="B260" s="21"/>
      <c r="C260" s="21"/>
      <c r="D260" s="960"/>
      <c r="E260" s="962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62"/>
      <c r="AW260" s="962"/>
    </row>
    <row r="261" spans="1:49" x14ac:dyDescent="0.3">
      <c r="A261" s="21"/>
      <c r="B261" s="21"/>
      <c r="C261" s="21"/>
      <c r="D261" s="960"/>
      <c r="E261" s="962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62"/>
      <c r="AW261" s="962"/>
    </row>
    <row r="262" spans="1:49" x14ac:dyDescent="0.3">
      <c r="A262" s="21"/>
      <c r="B262" s="21"/>
      <c r="C262" s="21"/>
      <c r="D262" s="960"/>
      <c r="E262" s="962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62"/>
      <c r="AW262" s="962"/>
    </row>
    <row r="263" spans="1:49" x14ac:dyDescent="0.3">
      <c r="A263" s="21"/>
      <c r="B263" s="21"/>
      <c r="C263" s="21"/>
      <c r="D263" s="960"/>
      <c r="E263" s="962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62"/>
      <c r="AW263" s="962"/>
    </row>
    <row r="264" spans="1:49" x14ac:dyDescent="0.3">
      <c r="A264" s="21"/>
      <c r="B264" s="21"/>
      <c r="C264" s="21"/>
      <c r="D264" s="960"/>
      <c r="E264" s="962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62"/>
      <c r="AW264" s="962"/>
    </row>
    <row r="265" spans="1:49" x14ac:dyDescent="0.3">
      <c r="A265" s="21"/>
      <c r="B265" s="21"/>
      <c r="C265" s="21"/>
      <c r="D265" s="960"/>
      <c r="E265" s="960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60"/>
      <c r="AW265" s="960"/>
    </row>
    <row r="266" spans="1:49" x14ac:dyDescent="0.3">
      <c r="A266" s="21"/>
      <c r="B266" s="21"/>
      <c r="C266" s="21"/>
      <c r="D266" s="955"/>
      <c r="E266" s="961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63"/>
      <c r="AW266" s="963"/>
    </row>
    <row r="267" spans="1:49" x14ac:dyDescent="0.3">
      <c r="A267" s="21"/>
      <c r="B267" s="21"/>
      <c r="C267" s="21"/>
      <c r="D267" s="960"/>
      <c r="E267" s="962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62"/>
      <c r="AW267" s="962"/>
    </row>
    <row r="268" spans="1:49" x14ac:dyDescent="0.3">
      <c r="A268" s="21"/>
      <c r="B268" s="21"/>
      <c r="C268" s="21"/>
      <c r="D268" s="960"/>
      <c r="E268" s="962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62"/>
      <c r="AW268" s="962"/>
    </row>
    <row r="269" spans="1:49" x14ac:dyDescent="0.3">
      <c r="A269" s="21"/>
      <c r="B269" s="21"/>
      <c r="C269" s="21"/>
      <c r="D269" s="960"/>
      <c r="E269" s="962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62"/>
      <c r="AW269" s="962"/>
    </row>
    <row r="270" spans="1:49" x14ac:dyDescent="0.3">
      <c r="A270" s="21"/>
      <c r="B270" s="21"/>
      <c r="C270" s="21"/>
      <c r="D270" s="960"/>
      <c r="E270" s="962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62"/>
      <c r="AW270" s="962"/>
    </row>
    <row r="271" spans="1:49" x14ac:dyDescent="0.3">
      <c r="A271" s="21"/>
      <c r="B271" s="21"/>
      <c r="C271" s="21"/>
      <c r="D271" s="960"/>
      <c r="E271" s="962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62"/>
      <c r="AW271" s="962"/>
    </row>
    <row r="272" spans="1:49" x14ac:dyDescent="0.3">
      <c r="A272" s="21"/>
      <c r="B272" s="21"/>
      <c r="C272" s="21"/>
      <c r="D272" s="960"/>
      <c r="E272" s="962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62"/>
      <c r="AW272" s="962"/>
    </row>
    <row r="273" spans="1:49" x14ac:dyDescent="0.3">
      <c r="A273" s="21"/>
      <c r="B273" s="21"/>
      <c r="C273" s="21"/>
      <c r="D273" s="960"/>
      <c r="E273" s="960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60"/>
      <c r="AW273" s="960"/>
    </row>
    <row r="274" spans="1:49" x14ac:dyDescent="0.3">
      <c r="A274" s="21"/>
      <c r="B274" s="21"/>
      <c r="C274" s="21"/>
      <c r="D274" s="955"/>
      <c r="E274" s="961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63"/>
      <c r="AW274" s="963"/>
    </row>
    <row r="275" spans="1:49" x14ac:dyDescent="0.3">
      <c r="A275" s="21"/>
      <c r="B275" s="21"/>
      <c r="C275" s="21"/>
      <c r="D275" s="960"/>
      <c r="E275" s="962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62"/>
      <c r="AW275" s="962"/>
    </row>
    <row r="276" spans="1:49" x14ac:dyDescent="0.3">
      <c r="A276" s="21"/>
      <c r="B276" s="21"/>
      <c r="C276" s="21"/>
      <c r="D276" s="960"/>
      <c r="E276" s="962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62"/>
      <c r="AW276" s="962"/>
    </row>
    <row r="277" spans="1:49" x14ac:dyDescent="0.3">
      <c r="A277" s="21"/>
      <c r="B277" s="21"/>
      <c r="C277" s="21"/>
      <c r="D277" s="960"/>
      <c r="E277" s="962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62"/>
      <c r="AW277" s="962"/>
    </row>
    <row r="278" spans="1:49" x14ac:dyDescent="0.3">
      <c r="A278" s="21"/>
      <c r="B278" s="21"/>
      <c r="C278" s="21"/>
      <c r="D278" s="960"/>
      <c r="E278" s="962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62"/>
      <c r="AW278" s="962"/>
    </row>
    <row r="279" spans="1:49" x14ac:dyDescent="0.3">
      <c r="A279" s="21"/>
      <c r="B279" s="21"/>
      <c r="C279" s="21"/>
      <c r="D279" s="960"/>
      <c r="E279" s="962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62"/>
      <c r="AW279" s="962"/>
    </row>
    <row r="280" spans="1:49" x14ac:dyDescent="0.3">
      <c r="A280" s="21"/>
      <c r="B280" s="21"/>
      <c r="C280" s="21"/>
      <c r="D280" s="960"/>
      <c r="E280" s="962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62"/>
      <c r="AW280" s="962"/>
    </row>
    <row r="281" spans="1:49" x14ac:dyDescent="0.3">
      <c r="A281" s="21"/>
      <c r="B281" s="21"/>
      <c r="C281" s="21"/>
      <c r="D281" s="960"/>
      <c r="E281" s="960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60"/>
      <c r="AW281" s="960"/>
    </row>
    <row r="282" spans="1:49" x14ac:dyDescent="0.3">
      <c r="A282" s="21"/>
      <c r="B282" s="21"/>
      <c r="C282" s="21"/>
      <c r="D282" s="955"/>
      <c r="E282" s="961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63"/>
      <c r="AW282" s="963"/>
    </row>
    <row r="283" spans="1:49" x14ac:dyDescent="0.3">
      <c r="A283" s="21"/>
      <c r="B283" s="21"/>
      <c r="C283" s="21"/>
      <c r="D283" s="960"/>
      <c r="E283" s="962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62"/>
      <c r="AW283" s="962"/>
    </row>
    <row r="284" spans="1:49" x14ac:dyDescent="0.3">
      <c r="A284" s="21"/>
      <c r="B284" s="21"/>
      <c r="C284" s="21"/>
      <c r="D284" s="960"/>
      <c r="E284" s="962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62"/>
      <c r="AW284" s="962"/>
    </row>
    <row r="285" spans="1:49" x14ac:dyDescent="0.3">
      <c r="A285" s="21"/>
      <c r="B285" s="21"/>
      <c r="C285" s="21"/>
      <c r="D285" s="960"/>
      <c r="E285" s="962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62"/>
      <c r="AW285" s="962"/>
    </row>
    <row r="286" spans="1:49" x14ac:dyDescent="0.3">
      <c r="A286" s="21"/>
      <c r="B286" s="21"/>
      <c r="C286" s="21"/>
      <c r="D286" s="960"/>
      <c r="E286" s="962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62"/>
      <c r="AW286" s="962"/>
    </row>
    <row r="287" spans="1:49" x14ac:dyDescent="0.3">
      <c r="A287" s="21"/>
      <c r="B287" s="21"/>
      <c r="C287" s="21"/>
      <c r="D287" s="960"/>
      <c r="E287" s="962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62"/>
      <c r="AW287" s="962"/>
    </row>
    <row r="288" spans="1:49" x14ac:dyDescent="0.3">
      <c r="A288" s="21"/>
      <c r="B288" s="21"/>
      <c r="C288" s="21"/>
      <c r="D288" s="960"/>
      <c r="E288" s="962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62"/>
      <c r="AW288" s="962"/>
    </row>
    <row r="289" spans="1:49" x14ac:dyDescent="0.3">
      <c r="A289" s="21"/>
      <c r="B289" s="21"/>
      <c r="C289" s="21"/>
      <c r="D289" s="960"/>
      <c r="E289" s="960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60"/>
      <c r="AW289" s="96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7" t="s">
        <v>72</v>
      </c>
      <c r="G1" s="977"/>
      <c r="H1" s="977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Milling and Leach Feed</vt:lpstr>
      <vt:lpstr>Au Cal Leaching Tank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2026-09-13T06:23:10Z</dcterms:modified>
</cp:coreProperties>
</file>